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vnozare.pri\vm\Redirect_profiles\VM_Sandra_Kasparenko\My Documents\mani_virzitie_normativie_akti\2019\Grozijumi_MKnot851_no_2020 Svetlana\uz_saskanosanu_elektroniski 29.11.2019\"/>
    </mc:Choice>
  </mc:AlternateContent>
  <xr:revisionPtr revIDLastSave="0" documentId="13_ncr:1_{6DFC99F3-B16E-44F6-B391-A0656A66248D}" xr6:coauthVersionLast="41" xr6:coauthVersionMax="41" xr10:uidLastSave="{00000000-0000-0000-0000-000000000000}"/>
  <bookViews>
    <workbookView xWindow="-120" yWindow="-120" windowWidth="29040" windowHeight="15840" tabRatio="809" firstSheet="5" activeTab="10" xr2:uid="{00000000-000D-0000-FFFF-FFFF00000000}"/>
  </bookViews>
  <sheets>
    <sheet name="29_01_H_2020" sheetId="11" state="hidden" r:id="rId1"/>
    <sheet name="Pārējās ministrijas MK66" sheetId="3" r:id="rId2"/>
    <sheet name="Pārējās ministrijas MK851" sheetId="4" r:id="rId3"/>
    <sheet name="VM padotibas iest MK66" sheetId="1" r:id="rId4"/>
    <sheet name="VM NMPD MK851" sheetId="2" r:id="rId5"/>
    <sheet name="LM_līgumorg" sheetId="6" r:id="rId6"/>
    <sheet name="IEM_kapitsab" sheetId="7" r:id="rId7"/>
    <sheet name="IZM_pašv_1" sheetId="9" r:id="rId8"/>
    <sheet name="IZM_pašv_2" sheetId="10" r:id="rId9"/>
    <sheet name="rezidenti" sheetId="18" r:id="rId10"/>
    <sheet name="caur tarifiem " sheetId="25" r:id="rId11"/>
  </sheets>
  <externalReferences>
    <externalReference r:id="rId12"/>
  </externalReferences>
  <definedNames>
    <definedName name="_xlnm._FilterDatabase" localSheetId="7" hidden="1">IZM_pašv_1!$A$100:$I$185</definedName>
    <definedName name="_xlnm._FilterDatabase" localSheetId="3" hidden="1">'VM padotibas iest MK66'!$B$2:$AB$49</definedName>
    <definedName name="_xlnm.Print_Area" localSheetId="10">'caur tarifiem '!$A:$J</definedName>
    <definedName name="_xlnm.Print_Area" localSheetId="6">IEM_kapitsab!$A:$J</definedName>
    <definedName name="_xlnm.Print_Area" localSheetId="7">IZM_pašv_1!$A:$I</definedName>
    <definedName name="_xlnm.Print_Area" localSheetId="8">IZM_pašv_2!$A:$Z</definedName>
    <definedName name="_xlnm.Print_Area" localSheetId="5">LM_līgumorg!$A:$H</definedName>
    <definedName name="_xlnm.Print_Area" localSheetId="1">'Pārējās ministrijas MK66'!$A:$T</definedName>
    <definedName name="_xlnm.Print_Area" localSheetId="9">rezidenti!$A:$H</definedName>
    <definedName name="_xlnm.Print_Area" localSheetId="4">'VM NMPD MK851'!$A:$G</definedName>
    <definedName name="_xlnm.Print_Area" localSheetId="3">'VM padotibas iest MK66'!$B:$U</definedName>
    <definedName name="_xlnm.Print_Titles" localSheetId="7">IZM_pašv_1!$6:$7</definedName>
    <definedName name="_xlnm.Print_Titles" localSheetId="5">LM_līgumorg!$4:$6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25" l="1"/>
  <c r="I21" i="25"/>
  <c r="G32" i="25" l="1"/>
  <c r="I32" i="25" s="1"/>
  <c r="E20" i="25" l="1"/>
  <c r="E19" i="25" s="1"/>
  <c r="C20" i="25"/>
  <c r="C19" i="25" s="1"/>
  <c r="E17" i="25"/>
  <c r="F17" i="25" s="1"/>
  <c r="G17" i="25" s="1"/>
  <c r="H17" i="25" s="1"/>
  <c r="I17" i="25" s="1"/>
  <c r="E16" i="25"/>
  <c r="F16" i="25" s="1"/>
  <c r="G16" i="25" s="1"/>
  <c r="H16" i="25" s="1"/>
  <c r="I16" i="25" s="1"/>
  <c r="E15" i="25"/>
  <c r="F15" i="25" s="1"/>
  <c r="C14" i="25"/>
  <c r="E12" i="25"/>
  <c r="F12" i="25" s="1"/>
  <c r="G12" i="25" s="1"/>
  <c r="H12" i="25" s="1"/>
  <c r="I12" i="25" s="1"/>
  <c r="E11" i="25"/>
  <c r="F11" i="25" s="1"/>
  <c r="G11" i="25" s="1"/>
  <c r="H11" i="25" s="1"/>
  <c r="I11" i="25" s="1"/>
  <c r="E10" i="25"/>
  <c r="C9" i="25"/>
  <c r="C21" i="25" l="1"/>
  <c r="E9" i="25"/>
  <c r="E14" i="25"/>
  <c r="F20" i="25"/>
  <c r="G20" i="25" s="1"/>
  <c r="H20" i="25" s="1"/>
  <c r="I20" i="25" s="1"/>
  <c r="G15" i="25"/>
  <c r="H15" i="25" s="1"/>
  <c r="I15" i="25" s="1"/>
  <c r="F14" i="25"/>
  <c r="F10" i="25"/>
  <c r="F19" i="25" l="1"/>
  <c r="F9" i="25"/>
  <c r="G10" i="25"/>
  <c r="G21" i="25" l="1"/>
  <c r="H10" i="25"/>
  <c r="I10" i="25" l="1"/>
  <c r="H21" i="25"/>
  <c r="H26" i="18" l="1"/>
  <c r="H28" i="18" s="1"/>
  <c r="H29" i="18" s="1"/>
  <c r="G26" i="18"/>
  <c r="G28" i="18" s="1"/>
  <c r="E26" i="18" l="1"/>
  <c r="E28" i="18" s="1"/>
  <c r="E32" i="18" s="1"/>
  <c r="D26" i="18"/>
  <c r="J8" i="7" l="1"/>
  <c r="I11" i="9" l="1"/>
  <c r="K253" i="1"/>
  <c r="L253" i="1" l="1"/>
  <c r="N253" i="1" s="1"/>
  <c r="J11" i="3"/>
  <c r="M253" i="1" l="1"/>
  <c r="O253" i="1"/>
  <c r="P253" i="1" s="1"/>
  <c r="K11" i="3"/>
  <c r="M11" i="3" s="1"/>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01" i="9"/>
  <c r="I186"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2" i="9"/>
  <c r="J55" i="7"/>
  <c r="J56" i="7"/>
  <c r="J57" i="7"/>
  <c r="J58" i="7"/>
  <c r="J59" i="7"/>
  <c r="J60" i="7"/>
  <c r="J61" i="7"/>
  <c r="J62" i="7"/>
  <c r="J63" i="7"/>
  <c r="J64" i="7"/>
  <c r="J65" i="7"/>
  <c r="J54" i="7"/>
  <c r="J34" i="7"/>
  <c r="J35" i="7"/>
  <c r="J36" i="7"/>
  <c r="J37" i="7"/>
  <c r="J38" i="7"/>
  <c r="J39" i="7"/>
  <c r="J40" i="7"/>
  <c r="J41" i="7"/>
  <c r="J42" i="7"/>
  <c r="J43" i="7"/>
  <c r="J44" i="7"/>
  <c r="J45" i="7"/>
  <c r="J46" i="7"/>
  <c r="J47" i="7"/>
  <c r="J48" i="7"/>
  <c r="J49" i="7"/>
  <c r="J50" i="7"/>
  <c r="J51" i="7"/>
  <c r="J52" i="7"/>
  <c r="J33" i="7"/>
  <c r="J9" i="7"/>
  <c r="J10" i="7"/>
  <c r="J11" i="7"/>
  <c r="J12" i="7"/>
  <c r="J13" i="7"/>
  <c r="J14" i="7"/>
  <c r="J15" i="7"/>
  <c r="J16" i="7"/>
  <c r="J17" i="7"/>
  <c r="J18" i="7"/>
  <c r="J19" i="7"/>
  <c r="J20" i="7"/>
  <c r="J21" i="7"/>
  <c r="J22" i="7"/>
  <c r="J23" i="7"/>
  <c r="J24" i="7"/>
  <c r="J25" i="7"/>
  <c r="J26" i="7"/>
  <c r="J27" i="7"/>
  <c r="J28" i="7"/>
  <c r="J29" i="7"/>
  <c r="J30" i="7"/>
  <c r="J31" i="7"/>
  <c r="K301" i="1"/>
  <c r="K302" i="1"/>
  <c r="K303" i="1"/>
  <c r="K304" i="1"/>
  <c r="K305" i="1"/>
  <c r="K306" i="1"/>
  <c r="K307" i="1"/>
  <c r="K308" i="1"/>
  <c r="K300" i="1"/>
  <c r="K285" i="1"/>
  <c r="K286" i="1"/>
  <c r="K287" i="1"/>
  <c r="K288" i="1"/>
  <c r="K289" i="1"/>
  <c r="K290" i="1"/>
  <c r="K291" i="1"/>
  <c r="K292" i="1"/>
  <c r="K293" i="1"/>
  <c r="L293" i="1" s="1"/>
  <c r="K284" i="1"/>
  <c r="K279" i="1"/>
  <c r="K280" i="1"/>
  <c r="K281" i="1"/>
  <c r="L281" i="1" s="1"/>
  <c r="K282" i="1"/>
  <c r="K278" i="1"/>
  <c r="K265" i="1"/>
  <c r="K266" i="1"/>
  <c r="K267" i="1"/>
  <c r="K268" i="1"/>
  <c r="K269" i="1"/>
  <c r="K270" i="1"/>
  <c r="L270" i="1" s="1"/>
  <c r="K271" i="1"/>
  <c r="K272" i="1"/>
  <c r="K273" i="1"/>
  <c r="K274" i="1"/>
  <c r="L274" i="1" s="1"/>
  <c r="K275" i="1"/>
  <c r="K276" i="1"/>
  <c r="K262" i="1"/>
  <c r="K263" i="1"/>
  <c r="K264" i="1"/>
  <c r="K261" i="1"/>
  <c r="K180" i="1"/>
  <c r="K181" i="1"/>
  <c r="K182" i="1"/>
  <c r="K183" i="1"/>
  <c r="K184" i="1"/>
  <c r="K185" i="1"/>
  <c r="K186" i="1"/>
  <c r="K187" i="1"/>
  <c r="K188" i="1"/>
  <c r="K189" i="1"/>
  <c r="K190" i="1"/>
  <c r="K191" i="1"/>
  <c r="K192" i="1"/>
  <c r="L192" i="1" s="1"/>
  <c r="K193" i="1"/>
  <c r="K194" i="1"/>
  <c r="K195" i="1"/>
  <c r="K196" i="1"/>
  <c r="L196" i="1" s="1"/>
  <c r="K197" i="1"/>
  <c r="K198" i="1"/>
  <c r="K199" i="1"/>
  <c r="K200" i="1"/>
  <c r="L200" i="1" s="1"/>
  <c r="K201" i="1"/>
  <c r="K202" i="1"/>
  <c r="K203" i="1"/>
  <c r="K204" i="1"/>
  <c r="L204" i="1" s="1"/>
  <c r="K205" i="1"/>
  <c r="K206" i="1"/>
  <c r="K207" i="1"/>
  <c r="K208" i="1"/>
  <c r="L208" i="1" s="1"/>
  <c r="K209" i="1"/>
  <c r="K210" i="1"/>
  <c r="L210" i="1" s="1"/>
  <c r="K211" i="1"/>
  <c r="K212" i="1"/>
  <c r="L212" i="1" s="1"/>
  <c r="K213" i="1"/>
  <c r="K214" i="1"/>
  <c r="L214" i="1" s="1"/>
  <c r="K215" i="1"/>
  <c r="K216" i="1"/>
  <c r="L216" i="1" s="1"/>
  <c r="K217" i="1"/>
  <c r="K218" i="1"/>
  <c r="L218" i="1" s="1"/>
  <c r="K219" i="1"/>
  <c r="K220" i="1"/>
  <c r="L220" i="1" s="1"/>
  <c r="K221" i="1"/>
  <c r="K222" i="1"/>
  <c r="K223" i="1"/>
  <c r="K224" i="1"/>
  <c r="L224" i="1" s="1"/>
  <c r="K225" i="1"/>
  <c r="K226" i="1"/>
  <c r="L226" i="1" s="1"/>
  <c r="K227" i="1"/>
  <c r="K228" i="1"/>
  <c r="K229" i="1"/>
  <c r="K230" i="1"/>
  <c r="L230" i="1" s="1"/>
  <c r="K231" i="1"/>
  <c r="K232" i="1"/>
  <c r="K233" i="1"/>
  <c r="K234" i="1"/>
  <c r="L234" i="1" s="1"/>
  <c r="K235" i="1"/>
  <c r="K236" i="1"/>
  <c r="K237" i="1"/>
  <c r="K238" i="1"/>
  <c r="K239" i="1"/>
  <c r="K240" i="1"/>
  <c r="K241" i="1"/>
  <c r="K242" i="1"/>
  <c r="K243" i="1"/>
  <c r="K244" i="1"/>
  <c r="K245" i="1"/>
  <c r="K246" i="1"/>
  <c r="K247" i="1"/>
  <c r="K248" i="1"/>
  <c r="K249" i="1"/>
  <c r="K250" i="1"/>
  <c r="K251" i="1"/>
  <c r="K252" i="1"/>
  <c r="K254" i="1"/>
  <c r="K255" i="1"/>
  <c r="K179" i="1"/>
  <c r="K169" i="1"/>
  <c r="K170" i="1"/>
  <c r="K171" i="1"/>
  <c r="K172" i="1"/>
  <c r="K168"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09" i="1"/>
  <c r="K102" i="1"/>
  <c r="K101" i="1"/>
  <c r="K97" i="1"/>
  <c r="K98" i="1"/>
  <c r="K96" i="1"/>
  <c r="K93" i="1"/>
  <c r="K84" i="1"/>
  <c r="K85" i="1"/>
  <c r="K86" i="1"/>
  <c r="K83" i="1"/>
  <c r="K67" i="1"/>
  <c r="K68" i="1"/>
  <c r="K69" i="1"/>
  <c r="K70" i="1"/>
  <c r="K71" i="1"/>
  <c r="K72" i="1"/>
  <c r="K73" i="1"/>
  <c r="K74" i="1"/>
  <c r="K75" i="1"/>
  <c r="K76" i="1"/>
  <c r="K77" i="1"/>
  <c r="K78" i="1"/>
  <c r="K79" i="1"/>
  <c r="L79" i="1" s="1"/>
  <c r="K80" i="1"/>
  <c r="K66" i="1"/>
  <c r="K55" i="1"/>
  <c r="K56" i="1"/>
  <c r="K57" i="1"/>
  <c r="K58" i="1"/>
  <c r="K59" i="1"/>
  <c r="K60" i="1"/>
  <c r="K61" i="1"/>
  <c r="K62" i="1"/>
  <c r="K63" i="1"/>
  <c r="K54" i="1"/>
  <c r="K46" i="1"/>
  <c r="K47" i="1"/>
  <c r="K45" i="1"/>
  <c r="K30" i="1"/>
  <c r="K31" i="1"/>
  <c r="K32" i="1"/>
  <c r="K33" i="1"/>
  <c r="K34" i="1"/>
  <c r="K35" i="1"/>
  <c r="K36" i="1"/>
  <c r="K37" i="1"/>
  <c r="K38" i="1"/>
  <c r="K39" i="1"/>
  <c r="K40" i="1"/>
  <c r="K41" i="1"/>
  <c r="K42" i="1"/>
  <c r="K29" i="1"/>
  <c r="K9" i="1"/>
  <c r="K10" i="1"/>
  <c r="K11" i="1"/>
  <c r="K12" i="1"/>
  <c r="K13" i="1"/>
  <c r="K14" i="1"/>
  <c r="K15" i="1"/>
  <c r="K16" i="1"/>
  <c r="K17" i="1"/>
  <c r="K18" i="1"/>
  <c r="K19" i="1"/>
  <c r="K20" i="1"/>
  <c r="K21" i="1"/>
  <c r="K22" i="1"/>
  <c r="K23" i="1"/>
  <c r="K24" i="1"/>
  <c r="K25" i="1"/>
  <c r="L25" i="1" s="1"/>
  <c r="K26" i="1"/>
  <c r="K8" i="1"/>
  <c r="G30" i="4"/>
  <c r="G29" i="4"/>
  <c r="G19" i="4"/>
  <c r="G20" i="4"/>
  <c r="G21" i="4"/>
  <c r="G18" i="4"/>
  <c r="G33" i="4"/>
  <c r="G26" i="4"/>
  <c r="G25" i="4"/>
  <c r="G12" i="4"/>
  <c r="G13" i="4"/>
  <c r="G14" i="4"/>
  <c r="G15" i="4"/>
  <c r="G11" i="4"/>
  <c r="J315" i="3"/>
  <c r="J314" i="3"/>
  <c r="J309" i="3"/>
  <c r="J310" i="3"/>
  <c r="J311" i="3"/>
  <c r="K311" i="3" s="1"/>
  <c r="J312" i="3"/>
  <c r="J308" i="3"/>
  <c r="J305" i="3"/>
  <c r="J285" i="3"/>
  <c r="J286" i="3"/>
  <c r="J287" i="3"/>
  <c r="J288" i="3"/>
  <c r="J289" i="3"/>
  <c r="J290" i="3"/>
  <c r="J291" i="3"/>
  <c r="J292" i="3"/>
  <c r="J293" i="3"/>
  <c r="J294" i="3"/>
  <c r="J295" i="3"/>
  <c r="J296" i="3"/>
  <c r="J297" i="3"/>
  <c r="K297" i="3" s="1"/>
  <c r="J298" i="3"/>
  <c r="J299" i="3"/>
  <c r="J300" i="3"/>
  <c r="J301" i="3"/>
  <c r="K301" i="3" s="1"/>
  <c r="J302" i="3"/>
  <c r="J284" i="3"/>
  <c r="J282" i="3"/>
  <c r="J281" i="3"/>
  <c r="J271" i="3"/>
  <c r="J272" i="3"/>
  <c r="J273" i="3"/>
  <c r="J270" i="3"/>
  <c r="J264" i="3"/>
  <c r="J265" i="3"/>
  <c r="J266" i="3"/>
  <c r="K266" i="3" s="1"/>
  <c r="J263" i="3"/>
  <c r="J256" i="3"/>
  <c r="J257" i="3"/>
  <c r="J258" i="3"/>
  <c r="J255" i="3"/>
  <c r="J253" i="3"/>
  <c r="J237" i="3"/>
  <c r="J238" i="3"/>
  <c r="J239" i="3"/>
  <c r="K239" i="3" s="1"/>
  <c r="J240" i="3"/>
  <c r="J241" i="3"/>
  <c r="J236" i="3"/>
  <c r="J229" i="3"/>
  <c r="J230" i="3"/>
  <c r="J231" i="3"/>
  <c r="K231" i="3" s="1"/>
  <c r="J228" i="3"/>
  <c r="J217" i="3"/>
  <c r="J218" i="3"/>
  <c r="J219" i="3"/>
  <c r="K219" i="3" s="1"/>
  <c r="J220" i="3"/>
  <c r="J221" i="3"/>
  <c r="J222" i="3"/>
  <c r="J223" i="3"/>
  <c r="K223" i="3" s="1"/>
  <c r="J224" i="3"/>
  <c r="J225" i="3"/>
  <c r="J216" i="3"/>
  <c r="J197" i="3"/>
  <c r="J198" i="3"/>
  <c r="J199" i="3"/>
  <c r="J200" i="3"/>
  <c r="J201" i="3"/>
  <c r="K201" i="3" s="1"/>
  <c r="J202" i="3"/>
  <c r="J203" i="3"/>
  <c r="J204" i="3"/>
  <c r="J205" i="3"/>
  <c r="K205" i="3" s="1"/>
  <c r="J206" i="3"/>
  <c r="J207" i="3"/>
  <c r="J208" i="3"/>
  <c r="J209" i="3"/>
  <c r="K209" i="3" s="1"/>
  <c r="J210" i="3"/>
  <c r="J211" i="3"/>
  <c r="J212" i="3"/>
  <c r="J213" i="3"/>
  <c r="K213" i="3" s="1"/>
  <c r="J196" i="3"/>
  <c r="J186" i="3"/>
  <c r="J187" i="3"/>
  <c r="J188" i="3"/>
  <c r="K188" i="3" s="1"/>
  <c r="J189" i="3"/>
  <c r="J190" i="3"/>
  <c r="J185" i="3"/>
  <c r="J182" i="3"/>
  <c r="J167" i="3"/>
  <c r="J168" i="3"/>
  <c r="J169" i="3"/>
  <c r="J170" i="3"/>
  <c r="J171" i="3"/>
  <c r="J172" i="3"/>
  <c r="J173" i="3"/>
  <c r="J174" i="3"/>
  <c r="J175" i="3"/>
  <c r="K175" i="3" s="1"/>
  <c r="J176" i="3"/>
  <c r="J177" i="3"/>
  <c r="J166" i="3"/>
  <c r="J150" i="3"/>
  <c r="J151" i="3"/>
  <c r="J152" i="3"/>
  <c r="J153" i="3"/>
  <c r="J154" i="3"/>
  <c r="J155" i="3"/>
  <c r="J156" i="3"/>
  <c r="J157" i="3"/>
  <c r="J158" i="3"/>
  <c r="J159" i="3"/>
  <c r="J160" i="3"/>
  <c r="J161" i="3"/>
  <c r="J162" i="3"/>
  <c r="K162" i="3" s="1"/>
  <c r="J163" i="3"/>
  <c r="J149" i="3"/>
  <c r="J144" i="3"/>
  <c r="J135" i="3"/>
  <c r="J136" i="3"/>
  <c r="J137" i="3"/>
  <c r="K137" i="3" s="1"/>
  <c r="J138" i="3"/>
  <c r="J139" i="3"/>
  <c r="J140" i="3"/>
  <c r="J141" i="3"/>
  <c r="J134" i="3"/>
  <c r="J129" i="3"/>
  <c r="J130" i="3"/>
  <c r="J131" i="3"/>
  <c r="J128" i="3"/>
  <c r="J115" i="3"/>
  <c r="J116" i="3"/>
  <c r="J117" i="3"/>
  <c r="K117" i="3" s="1"/>
  <c r="J118" i="3"/>
  <c r="J119" i="3"/>
  <c r="J120" i="3"/>
  <c r="J121" i="3"/>
  <c r="K121" i="3" s="1"/>
  <c r="J122" i="3"/>
  <c r="J123" i="3"/>
  <c r="J114" i="3"/>
  <c r="J101" i="3"/>
  <c r="J102" i="3"/>
  <c r="J103" i="3"/>
  <c r="J104" i="3"/>
  <c r="J105" i="3"/>
  <c r="J106" i="3"/>
  <c r="J107" i="3"/>
  <c r="J108" i="3"/>
  <c r="J109" i="3"/>
  <c r="K109" i="3" s="1"/>
  <c r="J110" i="3"/>
  <c r="J111" i="3"/>
  <c r="J100" i="3"/>
  <c r="J86" i="3"/>
  <c r="J87" i="3"/>
  <c r="J88" i="3"/>
  <c r="K88" i="3" s="1"/>
  <c r="J85" i="3"/>
  <c r="J92" i="3"/>
  <c r="J93" i="3"/>
  <c r="J94" i="3"/>
  <c r="J95" i="3"/>
  <c r="J91" i="3"/>
  <c r="J80" i="3"/>
  <c r="J81" i="3"/>
  <c r="J82" i="3"/>
  <c r="J79" i="3"/>
  <c r="J73" i="3"/>
  <c r="J72" i="3"/>
  <c r="J40" i="3"/>
  <c r="J41" i="3"/>
  <c r="J42" i="3"/>
  <c r="J43" i="3"/>
  <c r="J44" i="3"/>
  <c r="J45" i="3"/>
  <c r="J46" i="3"/>
  <c r="J47" i="3"/>
  <c r="J48" i="3"/>
  <c r="K48" i="3" s="1"/>
  <c r="J49" i="3"/>
  <c r="J50" i="3"/>
  <c r="J51" i="3"/>
  <c r="J52" i="3"/>
  <c r="K52" i="3" s="1"/>
  <c r="J53" i="3"/>
  <c r="J54" i="3"/>
  <c r="J55" i="3"/>
  <c r="J56" i="3"/>
  <c r="K56" i="3" s="1"/>
  <c r="J57" i="3"/>
  <c r="J58" i="3"/>
  <c r="J59" i="3"/>
  <c r="J39" i="3"/>
  <c r="J63" i="3"/>
  <c r="J64" i="3"/>
  <c r="J65" i="3"/>
  <c r="K65" i="3" s="1"/>
  <c r="J62" i="3"/>
  <c r="K53" i="3" l="1"/>
  <c r="M53" i="3"/>
  <c r="K45" i="3"/>
  <c r="K79" i="3"/>
  <c r="M79" i="3"/>
  <c r="K92" i="3"/>
  <c r="M92" i="3"/>
  <c r="K86" i="3"/>
  <c r="K101" i="3"/>
  <c r="L101" i="3" s="1"/>
  <c r="M101" i="3"/>
  <c r="M117" i="3"/>
  <c r="L117" i="3"/>
  <c r="K141" i="3"/>
  <c r="M141" i="3" s="1"/>
  <c r="K160" i="3"/>
  <c r="L160" i="3" s="1"/>
  <c r="K152" i="3"/>
  <c r="L152" i="3" s="1"/>
  <c r="K185" i="3"/>
  <c r="M185" i="3"/>
  <c r="K212" i="3"/>
  <c r="M212" i="3"/>
  <c r="K204" i="3"/>
  <c r="M204" i="3"/>
  <c r="K200" i="3"/>
  <c r="M200" i="3"/>
  <c r="K222" i="3"/>
  <c r="M222" i="3"/>
  <c r="K230" i="3"/>
  <c r="M230" i="3"/>
  <c r="K253" i="3"/>
  <c r="M253" i="3"/>
  <c r="K264" i="3"/>
  <c r="M264" i="3"/>
  <c r="K302" i="3"/>
  <c r="K294" i="3"/>
  <c r="K312" i="3"/>
  <c r="M312" i="3"/>
  <c r="K62" i="3"/>
  <c r="M62" i="3"/>
  <c r="K39" i="3"/>
  <c r="M39" i="3"/>
  <c r="M56" i="3"/>
  <c r="L56" i="3"/>
  <c r="P56" i="3" s="1"/>
  <c r="N56" i="3"/>
  <c r="O56" i="3" s="1"/>
  <c r="M52" i="3"/>
  <c r="L52" i="3"/>
  <c r="N52" i="3"/>
  <c r="O52" i="3" s="1"/>
  <c r="M48" i="3"/>
  <c r="L48" i="3"/>
  <c r="N48" i="3"/>
  <c r="O48" i="3" s="1"/>
  <c r="K44" i="3"/>
  <c r="K40" i="3"/>
  <c r="M40" i="3"/>
  <c r="M82" i="3"/>
  <c r="K82" i="3"/>
  <c r="K95" i="3"/>
  <c r="M95" i="3"/>
  <c r="K85" i="3"/>
  <c r="K100" i="3"/>
  <c r="M100" i="3"/>
  <c r="K108" i="3"/>
  <c r="K104" i="3"/>
  <c r="M104" i="3"/>
  <c r="K114" i="3"/>
  <c r="K120" i="3"/>
  <c r="M120" i="3"/>
  <c r="M116" i="3"/>
  <c r="K116" i="3"/>
  <c r="L116" i="3" s="1"/>
  <c r="K130" i="3"/>
  <c r="L130" i="3" s="1"/>
  <c r="M130" i="3"/>
  <c r="M140" i="3"/>
  <c r="K140" i="3"/>
  <c r="L140" i="3" s="1"/>
  <c r="K136" i="3"/>
  <c r="L136" i="3" s="1"/>
  <c r="M136" i="3"/>
  <c r="M163" i="3"/>
  <c r="K163" i="3"/>
  <c r="K159" i="3"/>
  <c r="L159" i="3" s="1"/>
  <c r="M159" i="3"/>
  <c r="K155" i="3"/>
  <c r="L155" i="3" s="1"/>
  <c r="K151" i="3"/>
  <c r="L151" i="3" s="1"/>
  <c r="M151" i="3"/>
  <c r="M176" i="3"/>
  <c r="K176" i="3"/>
  <c r="K172" i="3"/>
  <c r="L172" i="3" s="1"/>
  <c r="M172" i="3"/>
  <c r="K168" i="3"/>
  <c r="L168" i="3" s="1"/>
  <c r="K190" i="3"/>
  <c r="L190" i="3" s="1"/>
  <c r="K186" i="3"/>
  <c r="L186" i="3" s="1"/>
  <c r="K211" i="3"/>
  <c r="M211" i="3"/>
  <c r="M207" i="3"/>
  <c r="K207" i="3"/>
  <c r="K203" i="3"/>
  <c r="M203" i="3"/>
  <c r="M199" i="3"/>
  <c r="K199" i="3"/>
  <c r="K225" i="3"/>
  <c r="M225" i="3" s="1"/>
  <c r="K221" i="3"/>
  <c r="K217" i="3"/>
  <c r="M229" i="3"/>
  <c r="K229" i="3"/>
  <c r="M239" i="3"/>
  <c r="L239" i="3"/>
  <c r="N239" i="3"/>
  <c r="O239" i="3" s="1"/>
  <c r="K255" i="3"/>
  <c r="M255" i="3"/>
  <c r="K263" i="3"/>
  <c r="M263" i="3"/>
  <c r="K270" i="3"/>
  <c r="M270" i="3"/>
  <c r="K281" i="3"/>
  <c r="M281" i="3"/>
  <c r="M301" i="3"/>
  <c r="L301" i="3"/>
  <c r="N301" i="3"/>
  <c r="O301" i="3" s="1"/>
  <c r="M297" i="3"/>
  <c r="N297" i="3"/>
  <c r="O297" i="3" s="1"/>
  <c r="L297" i="3"/>
  <c r="K293" i="3"/>
  <c r="M293" i="3"/>
  <c r="K289" i="3"/>
  <c r="M289" i="3"/>
  <c r="K285" i="3"/>
  <c r="M285" i="3"/>
  <c r="M311" i="3"/>
  <c r="L311" i="3"/>
  <c r="N311" i="3"/>
  <c r="O311" i="3" s="1"/>
  <c r="K315" i="3"/>
  <c r="K63" i="3"/>
  <c r="M63" i="3" s="1"/>
  <c r="K57" i="3"/>
  <c r="K49" i="3"/>
  <c r="M49" i="3"/>
  <c r="M41" i="3"/>
  <c r="K41" i="3"/>
  <c r="K91" i="3"/>
  <c r="M91" i="3"/>
  <c r="M109" i="3"/>
  <c r="L109" i="3"/>
  <c r="N109" i="3"/>
  <c r="O109" i="3" s="1"/>
  <c r="K105" i="3"/>
  <c r="M105" i="3"/>
  <c r="M121" i="3"/>
  <c r="L121" i="3"/>
  <c r="N121" i="3"/>
  <c r="O121" i="3" s="1"/>
  <c r="M131" i="3"/>
  <c r="K131" i="3"/>
  <c r="L131" i="3" s="1"/>
  <c r="M137" i="3"/>
  <c r="L137" i="3"/>
  <c r="K149" i="3"/>
  <c r="K156" i="3"/>
  <c r="L156" i="3" s="1"/>
  <c r="M156" i="3"/>
  <c r="K177" i="3"/>
  <c r="L177" i="3" s="1"/>
  <c r="K173" i="3"/>
  <c r="L173" i="3" s="1"/>
  <c r="M173" i="3"/>
  <c r="K169" i="3"/>
  <c r="L169" i="3" s="1"/>
  <c r="K187" i="3"/>
  <c r="L187" i="3" s="1"/>
  <c r="M187" i="3"/>
  <c r="K208" i="3"/>
  <c r="K216" i="3"/>
  <c r="M216" i="3"/>
  <c r="M218" i="3"/>
  <c r="K218" i="3"/>
  <c r="K240" i="3"/>
  <c r="M240" i="3"/>
  <c r="K256" i="3"/>
  <c r="K271" i="3"/>
  <c r="M271" i="3"/>
  <c r="K298" i="3"/>
  <c r="K290" i="3"/>
  <c r="M290" i="3"/>
  <c r="M286" i="3"/>
  <c r="K286" i="3"/>
  <c r="K314" i="3"/>
  <c r="M314" i="3"/>
  <c r="M65" i="3"/>
  <c r="L65" i="3"/>
  <c r="N65" i="3"/>
  <c r="O65" i="3" s="1"/>
  <c r="K59" i="3"/>
  <c r="M59" i="3"/>
  <c r="K55" i="3"/>
  <c r="M55" i="3"/>
  <c r="K51" i="3"/>
  <c r="M51" i="3"/>
  <c r="K47" i="3"/>
  <c r="M47" i="3"/>
  <c r="K43" i="3"/>
  <c r="M43" i="3"/>
  <c r="K72" i="3"/>
  <c r="M72" i="3"/>
  <c r="K81" i="3"/>
  <c r="M81" i="3"/>
  <c r="K94" i="3"/>
  <c r="M94" i="3"/>
  <c r="M88" i="3"/>
  <c r="L88" i="3"/>
  <c r="P88" i="3" s="1"/>
  <c r="N88" i="3"/>
  <c r="O88" i="3" s="1"/>
  <c r="K111" i="3"/>
  <c r="L111" i="3" s="1"/>
  <c r="M111" i="3"/>
  <c r="M107" i="3"/>
  <c r="K107" i="3"/>
  <c r="K103" i="3"/>
  <c r="L103" i="3" s="1"/>
  <c r="M103" i="3"/>
  <c r="K123" i="3"/>
  <c r="L123" i="3" s="1"/>
  <c r="K119" i="3"/>
  <c r="L119" i="3" s="1"/>
  <c r="K115" i="3"/>
  <c r="L115" i="3" s="1"/>
  <c r="K129" i="3"/>
  <c r="L129" i="3" s="1"/>
  <c r="M129" i="3"/>
  <c r="M139" i="3"/>
  <c r="K139" i="3"/>
  <c r="L139" i="3" s="1"/>
  <c r="K135" i="3"/>
  <c r="L135" i="3" s="1"/>
  <c r="M135" i="3"/>
  <c r="M162" i="3"/>
  <c r="L162" i="3"/>
  <c r="K158" i="3"/>
  <c r="L158" i="3" s="1"/>
  <c r="M158" i="3"/>
  <c r="K154" i="3"/>
  <c r="L154" i="3" s="1"/>
  <c r="K150" i="3"/>
  <c r="L150" i="3" s="1"/>
  <c r="M150" i="3"/>
  <c r="M175" i="3"/>
  <c r="L175" i="3"/>
  <c r="K171" i="3"/>
  <c r="L171" i="3" s="1"/>
  <c r="M171" i="3"/>
  <c r="K167" i="3"/>
  <c r="L167" i="3" s="1"/>
  <c r="K189" i="3"/>
  <c r="L189" i="3" s="1"/>
  <c r="M189" i="3"/>
  <c r="K196" i="3"/>
  <c r="K210" i="3"/>
  <c r="K206" i="3"/>
  <c r="K202" i="3"/>
  <c r="M202" i="3" s="1"/>
  <c r="K198" i="3"/>
  <c r="K224" i="3"/>
  <c r="M224" i="3"/>
  <c r="K220" i="3"/>
  <c r="K228" i="3"/>
  <c r="M228" i="3"/>
  <c r="K236" i="3"/>
  <c r="K238" i="3"/>
  <c r="M238" i="3" s="1"/>
  <c r="K258" i="3"/>
  <c r="M266" i="3"/>
  <c r="L266" i="3"/>
  <c r="N266" i="3"/>
  <c r="O266" i="3" s="1"/>
  <c r="K273" i="3"/>
  <c r="K282" i="3"/>
  <c r="M282" i="3"/>
  <c r="K300" i="3"/>
  <c r="M300" i="3"/>
  <c r="K296" i="3"/>
  <c r="M296" i="3"/>
  <c r="K292" i="3"/>
  <c r="M292" i="3"/>
  <c r="K288" i="3"/>
  <c r="M288" i="3"/>
  <c r="K305" i="3"/>
  <c r="M305" i="3"/>
  <c r="K310" i="3"/>
  <c r="M310" i="3" s="1"/>
  <c r="K64" i="3"/>
  <c r="K58" i="3"/>
  <c r="M58" i="3"/>
  <c r="K54" i="3"/>
  <c r="K50" i="3"/>
  <c r="M50" i="3"/>
  <c r="K46" i="3"/>
  <c r="K42" i="3"/>
  <c r="M42" i="3"/>
  <c r="K73" i="3"/>
  <c r="M73" i="3"/>
  <c r="K80" i="3"/>
  <c r="M80" i="3"/>
  <c r="K93" i="3"/>
  <c r="M93" i="3"/>
  <c r="K87" i="3"/>
  <c r="K110" i="3"/>
  <c r="K106" i="3"/>
  <c r="M106" i="3"/>
  <c r="K102" i="3"/>
  <c r="L102" i="3" s="1"/>
  <c r="M102" i="3"/>
  <c r="K122" i="3"/>
  <c r="M122" i="3"/>
  <c r="K118" i="3"/>
  <c r="L118" i="3" s="1"/>
  <c r="M118" i="3"/>
  <c r="K128" i="3"/>
  <c r="M128" i="3"/>
  <c r="K134" i="3"/>
  <c r="M134" i="3"/>
  <c r="K138" i="3"/>
  <c r="L138" i="3" s="1"/>
  <c r="M138" i="3"/>
  <c r="K144" i="3"/>
  <c r="M144" i="3"/>
  <c r="K161" i="3"/>
  <c r="L161" i="3" s="1"/>
  <c r="M161" i="3"/>
  <c r="K157" i="3"/>
  <c r="L157" i="3" s="1"/>
  <c r="M157" i="3"/>
  <c r="K153" i="3"/>
  <c r="L153" i="3" s="1"/>
  <c r="M153" i="3"/>
  <c r="K166" i="3"/>
  <c r="M166" i="3"/>
  <c r="K174" i="3"/>
  <c r="L174" i="3" s="1"/>
  <c r="M174" i="3"/>
  <c r="K170" i="3"/>
  <c r="L170" i="3" s="1"/>
  <c r="M170" i="3"/>
  <c r="K182" i="3"/>
  <c r="M182" i="3"/>
  <c r="M188" i="3"/>
  <c r="L188" i="3"/>
  <c r="M213" i="3"/>
  <c r="N213" i="3"/>
  <c r="O213" i="3" s="1"/>
  <c r="L213" i="3"/>
  <c r="M209" i="3"/>
  <c r="L209" i="3"/>
  <c r="N209" i="3"/>
  <c r="O209" i="3" s="1"/>
  <c r="M205" i="3"/>
  <c r="N205" i="3"/>
  <c r="O205" i="3" s="1"/>
  <c r="L205" i="3"/>
  <c r="P205" i="3" s="1"/>
  <c r="M201" i="3"/>
  <c r="L201" i="3"/>
  <c r="N201" i="3"/>
  <c r="O201" i="3" s="1"/>
  <c r="K197" i="3"/>
  <c r="M197" i="3"/>
  <c r="M223" i="3"/>
  <c r="L223" i="3"/>
  <c r="N223" i="3"/>
  <c r="O223" i="3" s="1"/>
  <c r="M219" i="3"/>
  <c r="L219" i="3"/>
  <c r="N219" i="3"/>
  <c r="O219" i="3" s="1"/>
  <c r="M231" i="3"/>
  <c r="L231" i="3"/>
  <c r="P231" i="3" s="1"/>
  <c r="N231" i="3"/>
  <c r="O231" i="3" s="1"/>
  <c r="K241" i="3"/>
  <c r="M241" i="3"/>
  <c r="M237" i="3"/>
  <c r="K237" i="3"/>
  <c r="K257" i="3"/>
  <c r="M257" i="3"/>
  <c r="M265" i="3"/>
  <c r="K265" i="3"/>
  <c r="K272" i="3"/>
  <c r="M272" i="3" s="1"/>
  <c r="K284" i="3"/>
  <c r="K299" i="3"/>
  <c r="K295" i="3"/>
  <c r="K291" i="3"/>
  <c r="M291" i="3"/>
  <c r="M287" i="3"/>
  <c r="K287" i="3"/>
  <c r="K308" i="3"/>
  <c r="M308" i="3"/>
  <c r="M309" i="3"/>
  <c r="K309" i="3"/>
  <c r="L23" i="1"/>
  <c r="N23" i="1" s="1"/>
  <c r="L11" i="1"/>
  <c r="N11" i="1"/>
  <c r="L34" i="1"/>
  <c r="N34" i="1" s="1"/>
  <c r="L60" i="1"/>
  <c r="N60" i="1"/>
  <c r="L75" i="1"/>
  <c r="N75" i="1" s="1"/>
  <c r="L67" i="1"/>
  <c r="N67" i="1"/>
  <c r="L97" i="1"/>
  <c r="N97" i="1" s="1"/>
  <c r="L151" i="1"/>
  <c r="N151" i="1" s="1"/>
  <c r="L143" i="1"/>
  <c r="N143" i="1" s="1"/>
  <c r="L131" i="1"/>
  <c r="N131" i="1"/>
  <c r="L119" i="1"/>
  <c r="N119" i="1" s="1"/>
  <c r="L170" i="1"/>
  <c r="N170" i="1"/>
  <c r="L245" i="1"/>
  <c r="N245" i="1" s="1"/>
  <c r="L233" i="1"/>
  <c r="N233" i="1"/>
  <c r="L221" i="1"/>
  <c r="N221" i="1" s="1"/>
  <c r="L209" i="1"/>
  <c r="N209" i="1" s="1"/>
  <c r="L197" i="1"/>
  <c r="N197" i="1" s="1"/>
  <c r="L185" i="1"/>
  <c r="N185" i="1"/>
  <c r="N270" i="1"/>
  <c r="M270" i="1"/>
  <c r="O270" i="1"/>
  <c r="P270" i="1" s="1"/>
  <c r="L266" i="1"/>
  <c r="L289" i="1"/>
  <c r="N289" i="1"/>
  <c r="L302" i="1"/>
  <c r="N302" i="1" s="1"/>
  <c r="L22" i="1"/>
  <c r="L18" i="1"/>
  <c r="L14" i="1"/>
  <c r="L10" i="1"/>
  <c r="L41" i="1"/>
  <c r="N41" i="1"/>
  <c r="L37" i="1"/>
  <c r="L33" i="1"/>
  <c r="N33" i="1" s="1"/>
  <c r="L45" i="1"/>
  <c r="L63" i="1"/>
  <c r="N63" i="1"/>
  <c r="L59" i="1"/>
  <c r="L55" i="1"/>
  <c r="N55" i="1"/>
  <c r="L78" i="1"/>
  <c r="L74" i="1"/>
  <c r="N74" i="1"/>
  <c r="L70" i="1"/>
  <c r="L83" i="1"/>
  <c r="N83" i="1" s="1"/>
  <c r="L93" i="1"/>
  <c r="L101" i="1"/>
  <c r="N101" i="1"/>
  <c r="L162" i="1"/>
  <c r="L158" i="1"/>
  <c r="N158" i="1"/>
  <c r="L154" i="1"/>
  <c r="L150" i="1"/>
  <c r="N150" i="1"/>
  <c r="L146" i="1"/>
  <c r="L142" i="1"/>
  <c r="N142" i="1" s="1"/>
  <c r="L138" i="1"/>
  <c r="L134" i="1"/>
  <c r="N134" i="1"/>
  <c r="L130" i="1"/>
  <c r="L126" i="1"/>
  <c r="N126" i="1"/>
  <c r="L122" i="1"/>
  <c r="L118" i="1"/>
  <c r="N118" i="1"/>
  <c r="L114" i="1"/>
  <c r="L168" i="1"/>
  <c r="N168" i="1" s="1"/>
  <c r="L169" i="1"/>
  <c r="L252" i="1"/>
  <c r="N252" i="1"/>
  <c r="L248" i="1"/>
  <c r="L244" i="1"/>
  <c r="N244" i="1"/>
  <c r="L240" i="1"/>
  <c r="L236" i="1"/>
  <c r="N236" i="1"/>
  <c r="L232" i="1"/>
  <c r="L228" i="1"/>
  <c r="N228" i="1" s="1"/>
  <c r="N224" i="1"/>
  <c r="M224" i="1"/>
  <c r="O224" i="1"/>
  <c r="P224" i="1" s="1"/>
  <c r="N220" i="1"/>
  <c r="O220" i="1"/>
  <c r="P220" i="1" s="1"/>
  <c r="M220" i="1"/>
  <c r="N216" i="1"/>
  <c r="M216" i="1"/>
  <c r="O216" i="1"/>
  <c r="P216" i="1" s="1"/>
  <c r="N212" i="1"/>
  <c r="M212" i="1"/>
  <c r="O212" i="1"/>
  <c r="P212" i="1" s="1"/>
  <c r="N208" i="1"/>
  <c r="M208" i="1"/>
  <c r="O208" i="1"/>
  <c r="P208" i="1" s="1"/>
  <c r="N204" i="1"/>
  <c r="M204" i="1"/>
  <c r="O204" i="1"/>
  <c r="P204" i="1" s="1"/>
  <c r="N200" i="1"/>
  <c r="M200" i="1"/>
  <c r="O200" i="1"/>
  <c r="P200" i="1" s="1"/>
  <c r="N196" i="1"/>
  <c r="M196" i="1"/>
  <c r="O196" i="1"/>
  <c r="P196" i="1" s="1"/>
  <c r="N192" i="1"/>
  <c r="M192" i="1"/>
  <c r="O192" i="1"/>
  <c r="P192" i="1" s="1"/>
  <c r="L188" i="1"/>
  <c r="N188" i="1"/>
  <c r="L184" i="1"/>
  <c r="N184" i="1"/>
  <c r="L180" i="1"/>
  <c r="N180" i="1"/>
  <c r="L262" i="1"/>
  <c r="N262" i="1"/>
  <c r="L273" i="1"/>
  <c r="N273" i="1"/>
  <c r="L269" i="1"/>
  <c r="N269" i="1"/>
  <c r="L265" i="1"/>
  <c r="N265" i="1"/>
  <c r="L280" i="1"/>
  <c r="L292" i="1"/>
  <c r="N292" i="1" s="1"/>
  <c r="L288" i="1"/>
  <c r="N288" i="1"/>
  <c r="L300" i="1"/>
  <c r="N300" i="1" s="1"/>
  <c r="L305" i="1"/>
  <c r="N305" i="1"/>
  <c r="L301" i="1"/>
  <c r="N301" i="1" s="1"/>
  <c r="L19" i="1"/>
  <c r="N19" i="1" s="1"/>
  <c r="L42" i="1"/>
  <c r="N42" i="1"/>
  <c r="L30" i="1"/>
  <c r="N30" i="1" s="1"/>
  <c r="N79" i="1"/>
  <c r="O79" i="1"/>
  <c r="P79" i="1" s="1"/>
  <c r="M79" i="1"/>
  <c r="L84" i="1"/>
  <c r="N84" i="1"/>
  <c r="L159" i="1"/>
  <c r="L155" i="1"/>
  <c r="N155" i="1" s="1"/>
  <c r="L139" i="1"/>
  <c r="L123" i="1"/>
  <c r="N123" i="1"/>
  <c r="L111" i="1"/>
  <c r="L249" i="1"/>
  <c r="N249" i="1"/>
  <c r="L237" i="1"/>
  <c r="L225" i="1"/>
  <c r="L213" i="1"/>
  <c r="N213" i="1" s="1"/>
  <c r="L201" i="1"/>
  <c r="N201" i="1" s="1"/>
  <c r="L189" i="1"/>
  <c r="N274" i="1"/>
  <c r="M274" i="1"/>
  <c r="O274" i="1"/>
  <c r="P274" i="1" s="1"/>
  <c r="N281" i="1"/>
  <c r="M281" i="1"/>
  <c r="O281" i="1"/>
  <c r="P281" i="1" s="1"/>
  <c r="L285" i="1"/>
  <c r="N285" i="1"/>
  <c r="L26" i="1"/>
  <c r="N26" i="1"/>
  <c r="N25" i="1"/>
  <c r="O25" i="1"/>
  <c r="P25" i="1" s="1"/>
  <c r="M25" i="1"/>
  <c r="Q25" i="1" s="1"/>
  <c r="L21" i="1"/>
  <c r="L17" i="1"/>
  <c r="N17" i="1"/>
  <c r="L13" i="1"/>
  <c r="L9" i="1"/>
  <c r="N9" i="1" s="1"/>
  <c r="L40" i="1"/>
  <c r="L36" i="1"/>
  <c r="L32" i="1"/>
  <c r="L47" i="1"/>
  <c r="N47" i="1"/>
  <c r="L62" i="1"/>
  <c r="L58" i="1"/>
  <c r="N58" i="1" s="1"/>
  <c r="L66" i="1"/>
  <c r="L77" i="1"/>
  <c r="N77" i="1"/>
  <c r="L73" i="1"/>
  <c r="L69" i="1"/>
  <c r="L86" i="1"/>
  <c r="L96" i="1"/>
  <c r="N96" i="1" s="1"/>
  <c r="L102" i="1"/>
  <c r="L161" i="1"/>
  <c r="N161" i="1"/>
  <c r="L157" i="1"/>
  <c r="L153" i="1"/>
  <c r="N153" i="1"/>
  <c r="L149" i="1"/>
  <c r="L145" i="1"/>
  <c r="N145" i="1"/>
  <c r="L141" i="1"/>
  <c r="L137" i="1"/>
  <c r="N137" i="1" s="1"/>
  <c r="L133" i="1"/>
  <c r="L129" i="1"/>
  <c r="N129" i="1"/>
  <c r="L125" i="1"/>
  <c r="L121" i="1"/>
  <c r="N121" i="1"/>
  <c r="L117" i="1"/>
  <c r="L113" i="1"/>
  <c r="N113" i="1"/>
  <c r="L172" i="1"/>
  <c r="L179" i="1"/>
  <c r="N179" i="1" s="1"/>
  <c r="L251" i="1"/>
  <c r="L247" i="1"/>
  <c r="N247" i="1"/>
  <c r="L243" i="1"/>
  <c r="L239" i="1"/>
  <c r="N239" i="1"/>
  <c r="L235" i="1"/>
  <c r="L231" i="1"/>
  <c r="N231" i="1"/>
  <c r="L227" i="1"/>
  <c r="L223" i="1"/>
  <c r="N223" i="1" s="1"/>
  <c r="L219" i="1"/>
  <c r="L215" i="1"/>
  <c r="N215" i="1"/>
  <c r="L211" i="1"/>
  <c r="L207" i="1"/>
  <c r="N207" i="1"/>
  <c r="L203" i="1"/>
  <c r="L199" i="1"/>
  <c r="N199" i="1"/>
  <c r="L195" i="1"/>
  <c r="L191" i="1"/>
  <c r="N191" i="1" s="1"/>
  <c r="L187" i="1"/>
  <c r="L183" i="1"/>
  <c r="N183" i="1"/>
  <c r="L261" i="1"/>
  <c r="L276" i="1"/>
  <c r="L272" i="1"/>
  <c r="N272" i="1"/>
  <c r="L268" i="1"/>
  <c r="N268" i="1" s="1"/>
  <c r="L278" i="1"/>
  <c r="N278" i="1"/>
  <c r="L279" i="1"/>
  <c r="N279" i="1" s="1"/>
  <c r="L291" i="1"/>
  <c r="N291" i="1"/>
  <c r="L287" i="1"/>
  <c r="N287" i="1" s="1"/>
  <c r="L308" i="1"/>
  <c r="N308" i="1" s="1"/>
  <c r="L304" i="1"/>
  <c r="L15" i="1"/>
  <c r="L38" i="1"/>
  <c r="L54" i="1"/>
  <c r="N54" i="1" s="1"/>
  <c r="L56" i="1"/>
  <c r="L71" i="1"/>
  <c r="N71" i="1" s="1"/>
  <c r="L163" i="1"/>
  <c r="L147" i="1"/>
  <c r="N147" i="1" s="1"/>
  <c r="L135" i="1"/>
  <c r="L127" i="1"/>
  <c r="N127" i="1" s="1"/>
  <c r="L115" i="1"/>
  <c r="L254" i="1"/>
  <c r="N254" i="1" s="1"/>
  <c r="L241" i="1"/>
  <c r="L229" i="1"/>
  <c r="N229" i="1" s="1"/>
  <c r="L217" i="1"/>
  <c r="L205" i="1"/>
  <c r="N205" i="1" s="1"/>
  <c r="L193" i="1"/>
  <c r="L181" i="1"/>
  <c r="N181" i="1" s="1"/>
  <c r="L263" i="1"/>
  <c r="N293" i="1"/>
  <c r="O293" i="1"/>
  <c r="P293" i="1" s="1"/>
  <c r="M293" i="1"/>
  <c r="L306" i="1"/>
  <c r="N306" i="1"/>
  <c r="L24" i="1"/>
  <c r="N24" i="1" s="1"/>
  <c r="L20" i="1"/>
  <c r="N20" i="1"/>
  <c r="L16" i="1"/>
  <c r="N16" i="1" s="1"/>
  <c r="L12" i="1"/>
  <c r="N12" i="1"/>
  <c r="L29" i="1"/>
  <c r="N29" i="1" s="1"/>
  <c r="L39" i="1"/>
  <c r="N39" i="1"/>
  <c r="L35" i="1"/>
  <c r="N35" i="1" s="1"/>
  <c r="L31" i="1"/>
  <c r="N31" i="1"/>
  <c r="L46" i="1"/>
  <c r="L61" i="1"/>
  <c r="N61" i="1"/>
  <c r="L57" i="1"/>
  <c r="N57" i="1" s="1"/>
  <c r="L80" i="1"/>
  <c r="N80" i="1"/>
  <c r="L76" i="1"/>
  <c r="N76" i="1" s="1"/>
  <c r="L72" i="1"/>
  <c r="N72" i="1"/>
  <c r="L68" i="1"/>
  <c r="N68" i="1" s="1"/>
  <c r="L85" i="1"/>
  <c r="N85" i="1" s="1"/>
  <c r="L98" i="1"/>
  <c r="L109" i="1"/>
  <c r="N109" i="1" s="1"/>
  <c r="N160" i="1"/>
  <c r="L160" i="1"/>
  <c r="L156" i="1"/>
  <c r="N156" i="1" s="1"/>
  <c r="L152" i="1"/>
  <c r="N152" i="1" s="1"/>
  <c r="L148" i="1"/>
  <c r="N148" i="1" s="1"/>
  <c r="L144" i="1"/>
  <c r="N144" i="1" s="1"/>
  <c r="L140" i="1"/>
  <c r="N140" i="1" s="1"/>
  <c r="L136" i="1"/>
  <c r="N136" i="1" s="1"/>
  <c r="L132" i="1"/>
  <c r="N132" i="1" s="1"/>
  <c r="N128" i="1"/>
  <c r="L128" i="1"/>
  <c r="L124" i="1"/>
  <c r="N124" i="1" s="1"/>
  <c r="L120" i="1"/>
  <c r="N120" i="1" s="1"/>
  <c r="L116" i="1"/>
  <c r="N116" i="1" s="1"/>
  <c r="L112" i="1"/>
  <c r="N112" i="1" s="1"/>
  <c r="L171" i="1"/>
  <c r="N171" i="1" s="1"/>
  <c r="L255" i="1"/>
  <c r="L250" i="1"/>
  <c r="N250" i="1" s="1"/>
  <c r="L246" i="1"/>
  <c r="N246" i="1" s="1"/>
  <c r="L242" i="1"/>
  <c r="N242" i="1" s="1"/>
  <c r="L238" i="1"/>
  <c r="N238" i="1" s="1"/>
  <c r="N234" i="1"/>
  <c r="O234" i="1"/>
  <c r="P234" i="1" s="1"/>
  <c r="M234" i="1"/>
  <c r="N230" i="1"/>
  <c r="M230" i="1"/>
  <c r="O230" i="1"/>
  <c r="P230" i="1" s="1"/>
  <c r="N226" i="1"/>
  <c r="M226" i="1"/>
  <c r="O226" i="1"/>
  <c r="P226" i="1" s="1"/>
  <c r="L222" i="1"/>
  <c r="N222" i="1" s="1"/>
  <c r="N218" i="1"/>
  <c r="O218" i="1"/>
  <c r="P218" i="1" s="1"/>
  <c r="M218" i="1"/>
  <c r="N214" i="1"/>
  <c r="M214" i="1"/>
  <c r="O214" i="1"/>
  <c r="P214" i="1" s="1"/>
  <c r="N210" i="1"/>
  <c r="M210" i="1"/>
  <c r="O210" i="1"/>
  <c r="P210" i="1" s="1"/>
  <c r="L206" i="1"/>
  <c r="L202" i="1"/>
  <c r="L198" i="1"/>
  <c r="L194" i="1"/>
  <c r="L190" i="1"/>
  <c r="L186" i="1"/>
  <c r="L182" i="1"/>
  <c r="L264" i="1"/>
  <c r="L275" i="1"/>
  <c r="N275" i="1"/>
  <c r="L271" i="1"/>
  <c r="L267" i="1"/>
  <c r="L282" i="1"/>
  <c r="L284" i="1"/>
  <c r="N284" i="1" s="1"/>
  <c r="L290" i="1"/>
  <c r="L286" i="1"/>
  <c r="N286" i="1"/>
  <c r="L307" i="1"/>
  <c r="N307" i="1"/>
  <c r="L303" i="1"/>
  <c r="Q253" i="1"/>
  <c r="L8" i="1"/>
  <c r="N8" i="1" s="1"/>
  <c r="L11" i="3"/>
  <c r="N11" i="3"/>
  <c r="O11" i="3" s="1"/>
  <c r="J12" i="3"/>
  <c r="J13" i="3"/>
  <c r="J14" i="3"/>
  <c r="K14" i="3" s="1"/>
  <c r="J15" i="3"/>
  <c r="J16" i="3"/>
  <c r="J17" i="3"/>
  <c r="J18" i="3"/>
  <c r="K18" i="3" s="1"/>
  <c r="J19" i="3"/>
  <c r="J20" i="3"/>
  <c r="J21" i="3"/>
  <c r="J22" i="3"/>
  <c r="K22" i="3" s="1"/>
  <c r="J23" i="3"/>
  <c r="J24" i="3"/>
  <c r="J25" i="3"/>
  <c r="J26" i="3"/>
  <c r="K26" i="3" s="1"/>
  <c r="J27" i="3"/>
  <c r="J28" i="3"/>
  <c r="J29" i="3"/>
  <c r="J30" i="3"/>
  <c r="K30" i="3" s="1"/>
  <c r="J31" i="3"/>
  <c r="J32" i="3"/>
  <c r="J33" i="3"/>
  <c r="J34" i="3"/>
  <c r="K34" i="3" s="1"/>
  <c r="J35" i="3"/>
  <c r="J36" i="3"/>
  <c r="K35" i="3" l="1"/>
  <c r="M35" i="3"/>
  <c r="K19" i="3"/>
  <c r="M19" i="3"/>
  <c r="N295" i="3"/>
  <c r="O295" i="3" s="1"/>
  <c r="L295" i="3"/>
  <c r="L258" i="3"/>
  <c r="N258" i="3"/>
  <c r="O258" i="3" s="1"/>
  <c r="N206" i="3"/>
  <c r="O206" i="3" s="1"/>
  <c r="L206" i="3"/>
  <c r="N298" i="3"/>
  <c r="O298" i="3" s="1"/>
  <c r="L298" i="3"/>
  <c r="L315" i="3"/>
  <c r="P315" i="3" s="1"/>
  <c r="N315" i="3"/>
  <c r="O315" i="3" s="1"/>
  <c r="L221" i="3"/>
  <c r="N221" i="3"/>
  <c r="O221" i="3" s="1"/>
  <c r="L114" i="3"/>
  <c r="N85" i="3"/>
  <c r="O85" i="3" s="1"/>
  <c r="L85" i="3"/>
  <c r="L44" i="3"/>
  <c r="N44" i="3"/>
  <c r="O44" i="3" s="1"/>
  <c r="N294" i="3"/>
  <c r="O294" i="3" s="1"/>
  <c r="L294" i="3"/>
  <c r="M34" i="3"/>
  <c r="L34" i="3"/>
  <c r="P34" i="3" s="1"/>
  <c r="Q34" i="3" s="1"/>
  <c r="R34" i="3" s="1"/>
  <c r="N34" i="3"/>
  <c r="O34" i="3" s="1"/>
  <c r="M26" i="3"/>
  <c r="L26" i="3"/>
  <c r="N26" i="3"/>
  <c r="O26" i="3" s="1"/>
  <c r="M18" i="3"/>
  <c r="L18" i="3"/>
  <c r="N18" i="3"/>
  <c r="O18" i="3" s="1"/>
  <c r="L299" i="3"/>
  <c r="P299" i="3" s="1"/>
  <c r="Q299" i="3" s="1"/>
  <c r="R299" i="3" s="1"/>
  <c r="N299" i="3"/>
  <c r="O299" i="3" s="1"/>
  <c r="L197" i="3"/>
  <c r="N197" i="3"/>
  <c r="O197" i="3" s="1"/>
  <c r="P209" i="3"/>
  <c r="L182" i="3"/>
  <c r="L128" i="3"/>
  <c r="N106" i="3"/>
  <c r="O106" i="3" s="1"/>
  <c r="L106" i="3"/>
  <c r="P106" i="3" s="1"/>
  <c r="L80" i="3"/>
  <c r="P80" i="3" s="1"/>
  <c r="N80" i="3"/>
  <c r="O80" i="3" s="1"/>
  <c r="N58" i="3"/>
  <c r="O58" i="3" s="1"/>
  <c r="L58" i="3"/>
  <c r="P58" i="3" s="1"/>
  <c r="L296" i="3"/>
  <c r="P296" i="3" s="1"/>
  <c r="N296" i="3"/>
  <c r="O296" i="3" s="1"/>
  <c r="P266" i="3"/>
  <c r="Q266" i="3" s="1"/>
  <c r="R266" i="3" s="1"/>
  <c r="N210" i="3"/>
  <c r="O210" i="3" s="1"/>
  <c r="L210" i="3"/>
  <c r="L43" i="3"/>
  <c r="P43" i="3" s="1"/>
  <c r="Q43" i="3" s="1"/>
  <c r="R43" i="3" s="1"/>
  <c r="N43" i="3"/>
  <c r="O43" i="3" s="1"/>
  <c r="L59" i="3"/>
  <c r="P59" i="3" s="1"/>
  <c r="N59" i="3"/>
  <c r="O59" i="3" s="1"/>
  <c r="L105" i="3"/>
  <c r="P105" i="3" s="1"/>
  <c r="N105" i="3"/>
  <c r="O105" i="3" s="1"/>
  <c r="L285" i="3"/>
  <c r="N285" i="3"/>
  <c r="O285" i="3" s="1"/>
  <c r="L293" i="3"/>
  <c r="P293" i="3" s="1"/>
  <c r="N293" i="3"/>
  <c r="O293" i="3" s="1"/>
  <c r="N281" i="3"/>
  <c r="O281" i="3" s="1"/>
  <c r="L281" i="3"/>
  <c r="P281" i="3" s="1"/>
  <c r="Q281" i="3" s="1"/>
  <c r="R281" i="3" s="1"/>
  <c r="N263" i="3"/>
  <c r="O263" i="3" s="1"/>
  <c r="L263" i="3"/>
  <c r="L217" i="3"/>
  <c r="N217" i="3"/>
  <c r="O217" i="3" s="1"/>
  <c r="N62" i="3"/>
  <c r="O62" i="3" s="1"/>
  <c r="L62" i="3"/>
  <c r="L264" i="3"/>
  <c r="P264" i="3" s="1"/>
  <c r="Q264" i="3" s="1"/>
  <c r="R264" i="3" s="1"/>
  <c r="N264" i="3"/>
  <c r="O264" i="3" s="1"/>
  <c r="L200" i="3"/>
  <c r="P200" i="3" s="1"/>
  <c r="N200" i="3"/>
  <c r="O200" i="3" s="1"/>
  <c r="M152" i="3"/>
  <c r="L92" i="3"/>
  <c r="P92" i="3" s="1"/>
  <c r="Q92" i="3" s="1"/>
  <c r="R92" i="3" s="1"/>
  <c r="N92" i="3"/>
  <c r="O92" i="3" s="1"/>
  <c r="K33" i="3"/>
  <c r="M33" i="3"/>
  <c r="K25" i="3"/>
  <c r="K21" i="3"/>
  <c r="M13" i="3"/>
  <c r="K13" i="3"/>
  <c r="Q204" i="1"/>
  <c r="N308" i="3"/>
  <c r="O308" i="3" s="1"/>
  <c r="L308" i="3"/>
  <c r="P308" i="3" s="1"/>
  <c r="Q308" i="3" s="1"/>
  <c r="R308" i="3" s="1"/>
  <c r="L291" i="3"/>
  <c r="N291" i="3"/>
  <c r="O291" i="3" s="1"/>
  <c r="M299" i="3"/>
  <c r="L257" i="3"/>
  <c r="P257" i="3" s="1"/>
  <c r="Q257" i="3" s="1"/>
  <c r="R257" i="3" s="1"/>
  <c r="N257" i="3"/>
  <c r="O257" i="3" s="1"/>
  <c r="L241" i="3"/>
  <c r="N241" i="3"/>
  <c r="O241" i="3" s="1"/>
  <c r="P223" i="3"/>
  <c r="N110" i="3"/>
  <c r="O110" i="3" s="1"/>
  <c r="L110" i="3"/>
  <c r="N46" i="3"/>
  <c r="O46" i="3" s="1"/>
  <c r="L46" i="3"/>
  <c r="N54" i="3"/>
  <c r="O54" i="3" s="1"/>
  <c r="L54" i="3"/>
  <c r="P54" i="3" s="1"/>
  <c r="L64" i="3"/>
  <c r="N64" i="3"/>
  <c r="O64" i="3" s="1"/>
  <c r="N273" i="3"/>
  <c r="O273" i="3" s="1"/>
  <c r="L273" i="3"/>
  <c r="P273" i="3" s="1"/>
  <c r="N228" i="3"/>
  <c r="O228" i="3" s="1"/>
  <c r="L228" i="3"/>
  <c r="L224" i="3"/>
  <c r="N224" i="3"/>
  <c r="O224" i="3" s="1"/>
  <c r="M210" i="3"/>
  <c r="M119" i="3"/>
  <c r="N314" i="3"/>
  <c r="O314" i="3" s="1"/>
  <c r="L314" i="3"/>
  <c r="P314" i="3" s="1"/>
  <c r="L290" i="3"/>
  <c r="P290" i="3" s="1"/>
  <c r="Q290" i="3" s="1"/>
  <c r="R290" i="3" s="1"/>
  <c r="N290" i="3"/>
  <c r="O290" i="3" s="1"/>
  <c r="L271" i="3"/>
  <c r="N271" i="3"/>
  <c r="O271" i="3" s="1"/>
  <c r="L240" i="3"/>
  <c r="P240" i="3" s="1"/>
  <c r="Q240" i="3" s="1"/>
  <c r="R240" i="3" s="1"/>
  <c r="N240" i="3"/>
  <c r="O240" i="3" s="1"/>
  <c r="N216" i="3"/>
  <c r="O216" i="3" s="1"/>
  <c r="L216" i="3"/>
  <c r="P216" i="3" s="1"/>
  <c r="P121" i="3"/>
  <c r="N91" i="3"/>
  <c r="O91" i="3" s="1"/>
  <c r="L91" i="3"/>
  <c r="N49" i="3"/>
  <c r="O49" i="3" s="1"/>
  <c r="L49" i="3"/>
  <c r="P49" i="3" s="1"/>
  <c r="Q49" i="3" s="1"/>
  <c r="R49" i="3" s="1"/>
  <c r="P311" i="3"/>
  <c r="Q311" i="3" s="1"/>
  <c r="R311" i="3" s="1"/>
  <c r="P297" i="3"/>
  <c r="P301" i="3"/>
  <c r="M217" i="3"/>
  <c r="N203" i="3"/>
  <c r="O203" i="3" s="1"/>
  <c r="L203" i="3"/>
  <c r="N211" i="3"/>
  <c r="O211" i="3" s="1"/>
  <c r="L211" i="3"/>
  <c r="P211" i="3" s="1"/>
  <c r="M190" i="3"/>
  <c r="N120" i="3"/>
  <c r="O120" i="3" s="1"/>
  <c r="L120" i="3"/>
  <c r="P120" i="3" s="1"/>
  <c r="L104" i="3"/>
  <c r="P104" i="3" s="1"/>
  <c r="Q104" i="3" s="1"/>
  <c r="R104" i="3" s="1"/>
  <c r="N104" i="3"/>
  <c r="O104" i="3" s="1"/>
  <c r="L100" i="3"/>
  <c r="L95" i="3"/>
  <c r="P95" i="3" s="1"/>
  <c r="N95" i="3"/>
  <c r="O95" i="3" s="1"/>
  <c r="L40" i="3"/>
  <c r="N40" i="3"/>
  <c r="O40" i="3" s="1"/>
  <c r="P48" i="3"/>
  <c r="N302" i="3"/>
  <c r="O302" i="3" s="1"/>
  <c r="L302" i="3"/>
  <c r="L86" i="3"/>
  <c r="N86" i="3"/>
  <c r="O86" i="3" s="1"/>
  <c r="K31" i="3"/>
  <c r="M31" i="3"/>
  <c r="K27" i="3"/>
  <c r="M27" i="3"/>
  <c r="K23" i="3"/>
  <c r="M23" i="3"/>
  <c r="K15" i="3"/>
  <c r="M15" i="3"/>
  <c r="N284" i="3"/>
  <c r="O284" i="3" s="1"/>
  <c r="L284" i="3"/>
  <c r="P284" i="3" s="1"/>
  <c r="L87" i="3"/>
  <c r="N87" i="3"/>
  <c r="O87" i="3" s="1"/>
  <c r="N310" i="3"/>
  <c r="O310" i="3" s="1"/>
  <c r="L310" i="3"/>
  <c r="P310" i="3" s="1"/>
  <c r="Q310" i="3" s="1"/>
  <c r="R310" i="3" s="1"/>
  <c r="N236" i="3"/>
  <c r="O236" i="3" s="1"/>
  <c r="L236" i="3"/>
  <c r="L220" i="3"/>
  <c r="N220" i="3"/>
  <c r="O220" i="3" s="1"/>
  <c r="L198" i="3"/>
  <c r="N198" i="3"/>
  <c r="O198" i="3" s="1"/>
  <c r="N196" i="3"/>
  <c r="O196" i="3" s="1"/>
  <c r="L196" i="3"/>
  <c r="L256" i="3"/>
  <c r="P256" i="3" s="1"/>
  <c r="N256" i="3"/>
  <c r="O256" i="3" s="1"/>
  <c r="L208" i="3"/>
  <c r="N208" i="3"/>
  <c r="O208" i="3" s="1"/>
  <c r="L149" i="3"/>
  <c r="N57" i="3"/>
  <c r="O57" i="3" s="1"/>
  <c r="L57" i="3"/>
  <c r="P57" i="3" s="1"/>
  <c r="Q57" i="3" s="1"/>
  <c r="R57" i="3" s="1"/>
  <c r="L108" i="3"/>
  <c r="N108" i="3"/>
  <c r="O108" i="3" s="1"/>
  <c r="L141" i="3"/>
  <c r="L45" i="3"/>
  <c r="N45" i="3"/>
  <c r="O45" i="3" s="1"/>
  <c r="M30" i="3"/>
  <c r="L30" i="3"/>
  <c r="N30" i="3"/>
  <c r="O30" i="3" s="1"/>
  <c r="M22" i="3"/>
  <c r="L22" i="3"/>
  <c r="P22" i="3" s="1"/>
  <c r="Q22" i="3" s="1"/>
  <c r="R22" i="3" s="1"/>
  <c r="N22" i="3"/>
  <c r="O22" i="3" s="1"/>
  <c r="M14" i="3"/>
  <c r="L14" i="3"/>
  <c r="N14" i="3"/>
  <c r="O14" i="3" s="1"/>
  <c r="L272" i="3"/>
  <c r="P272" i="3" s="1"/>
  <c r="N272" i="3"/>
  <c r="O272" i="3" s="1"/>
  <c r="L122" i="3"/>
  <c r="P122" i="3" s="1"/>
  <c r="N122" i="3"/>
  <c r="O122" i="3" s="1"/>
  <c r="M87" i="3"/>
  <c r="L42" i="3"/>
  <c r="N42" i="3"/>
  <c r="O42" i="3" s="1"/>
  <c r="N50" i="3"/>
  <c r="O50" i="3" s="1"/>
  <c r="L50" i="3"/>
  <c r="P50" i="3" s="1"/>
  <c r="L288" i="3"/>
  <c r="N288" i="3"/>
  <c r="O288" i="3" s="1"/>
  <c r="L282" i="3"/>
  <c r="N282" i="3"/>
  <c r="O282" i="3" s="1"/>
  <c r="N238" i="3"/>
  <c r="O238" i="3" s="1"/>
  <c r="L238" i="3"/>
  <c r="P238" i="3" s="1"/>
  <c r="Q238" i="3" s="1"/>
  <c r="R238" i="3" s="1"/>
  <c r="N202" i="3"/>
  <c r="O202" i="3" s="1"/>
  <c r="L202" i="3"/>
  <c r="P202" i="3" s="1"/>
  <c r="Q202" i="3" s="1"/>
  <c r="L81" i="3"/>
  <c r="N81" i="3"/>
  <c r="O81" i="3" s="1"/>
  <c r="L51" i="3"/>
  <c r="N51" i="3"/>
  <c r="O51" i="3" s="1"/>
  <c r="L63" i="3"/>
  <c r="N63" i="3"/>
  <c r="O63" i="3" s="1"/>
  <c r="P239" i="3"/>
  <c r="L225" i="3"/>
  <c r="N225" i="3"/>
  <c r="O225" i="3" s="1"/>
  <c r="P52" i="3"/>
  <c r="M294" i="3"/>
  <c r="N230" i="3"/>
  <c r="O230" i="3" s="1"/>
  <c r="L230" i="3"/>
  <c r="P230" i="3" s="1"/>
  <c r="Q230" i="3" s="1"/>
  <c r="R230" i="3" s="1"/>
  <c r="L212" i="3"/>
  <c r="P212" i="3" s="1"/>
  <c r="Q212" i="3" s="1"/>
  <c r="R212" i="3" s="1"/>
  <c r="N212" i="3"/>
  <c r="O212" i="3" s="1"/>
  <c r="M45" i="3"/>
  <c r="M29" i="3"/>
  <c r="K29" i="3"/>
  <c r="K17" i="3"/>
  <c r="M17" i="3"/>
  <c r="Q234" i="1"/>
  <c r="R234" i="1" s="1"/>
  <c r="S234" i="1" s="1"/>
  <c r="K36" i="3"/>
  <c r="M32" i="3"/>
  <c r="K32" i="3"/>
  <c r="K28" i="3"/>
  <c r="M24" i="3"/>
  <c r="K24" i="3"/>
  <c r="K20" i="3"/>
  <c r="K16" i="3"/>
  <c r="M16" i="3"/>
  <c r="K12" i="3"/>
  <c r="Q210" i="1"/>
  <c r="R210" i="1" s="1"/>
  <c r="S210" i="1" s="1"/>
  <c r="Q293" i="1"/>
  <c r="L309" i="3"/>
  <c r="N309" i="3"/>
  <c r="O309" i="3" s="1"/>
  <c r="N287" i="3"/>
  <c r="O287" i="3" s="1"/>
  <c r="L287" i="3"/>
  <c r="P287" i="3" s="1"/>
  <c r="Q287" i="3" s="1"/>
  <c r="R287" i="3" s="1"/>
  <c r="M295" i="3"/>
  <c r="M284" i="3"/>
  <c r="L265" i="3"/>
  <c r="N265" i="3"/>
  <c r="O265" i="3" s="1"/>
  <c r="L237" i="3"/>
  <c r="N237" i="3"/>
  <c r="O237" i="3" s="1"/>
  <c r="P219" i="3"/>
  <c r="P201" i="3"/>
  <c r="P213" i="3"/>
  <c r="L166" i="3"/>
  <c r="N144" i="3"/>
  <c r="O144" i="3" s="1"/>
  <c r="L144" i="3"/>
  <c r="P144" i="3" s="1"/>
  <c r="Q144" i="3" s="1"/>
  <c r="R144" i="3" s="1"/>
  <c r="L134" i="3"/>
  <c r="M110" i="3"/>
  <c r="N93" i="3"/>
  <c r="O93" i="3" s="1"/>
  <c r="L93" i="3"/>
  <c r="P93" i="3" s="1"/>
  <c r="L73" i="3"/>
  <c r="N73" i="3"/>
  <c r="O73" i="3" s="1"/>
  <c r="M46" i="3"/>
  <c r="M54" i="3"/>
  <c r="M64" i="3"/>
  <c r="N305" i="3"/>
  <c r="O305" i="3" s="1"/>
  <c r="L305" i="3"/>
  <c r="L292" i="3"/>
  <c r="N292" i="3"/>
  <c r="O292" i="3" s="1"/>
  <c r="L300" i="3"/>
  <c r="P300" i="3" s="1"/>
  <c r="N300" i="3"/>
  <c r="O300" i="3" s="1"/>
  <c r="M273" i="3"/>
  <c r="M258" i="3"/>
  <c r="M236" i="3"/>
  <c r="M220" i="3"/>
  <c r="M198" i="3"/>
  <c r="M206" i="3"/>
  <c r="M196" i="3"/>
  <c r="M167" i="3"/>
  <c r="M154" i="3"/>
  <c r="M115" i="3"/>
  <c r="M123" i="3"/>
  <c r="N107" i="3"/>
  <c r="O107" i="3" s="1"/>
  <c r="L107" i="3"/>
  <c r="N94" i="3"/>
  <c r="O94" i="3" s="1"/>
  <c r="L94" i="3"/>
  <c r="P94" i="3" s="1"/>
  <c r="N72" i="3"/>
  <c r="O72" i="3" s="1"/>
  <c r="L72" i="3"/>
  <c r="L47" i="3"/>
  <c r="N47" i="3"/>
  <c r="O47" i="3" s="1"/>
  <c r="L55" i="3"/>
  <c r="P55" i="3" s="1"/>
  <c r="Q55" i="3" s="1"/>
  <c r="R55" i="3" s="1"/>
  <c r="N55" i="3"/>
  <c r="O55" i="3" s="1"/>
  <c r="P65" i="3"/>
  <c r="L286" i="3"/>
  <c r="P286" i="3" s="1"/>
  <c r="Q286" i="3" s="1"/>
  <c r="R286" i="3" s="1"/>
  <c r="N286" i="3"/>
  <c r="O286" i="3" s="1"/>
  <c r="M298" i="3"/>
  <c r="M256" i="3"/>
  <c r="N218" i="3"/>
  <c r="O218" i="3" s="1"/>
  <c r="L218" i="3"/>
  <c r="M208" i="3"/>
  <c r="M169" i="3"/>
  <c r="M177" i="3"/>
  <c r="M149" i="3"/>
  <c r="P109" i="3"/>
  <c r="L41" i="3"/>
  <c r="P41" i="3" s="1"/>
  <c r="Q41" i="3" s="1"/>
  <c r="R41" i="3" s="1"/>
  <c r="N41" i="3"/>
  <c r="O41" i="3" s="1"/>
  <c r="M57" i="3"/>
  <c r="M315" i="3"/>
  <c r="L289" i="3"/>
  <c r="P289" i="3" s="1"/>
  <c r="Q289" i="3" s="1"/>
  <c r="R289" i="3" s="1"/>
  <c r="N289" i="3"/>
  <c r="O289" i="3" s="1"/>
  <c r="N270" i="3"/>
  <c r="O270" i="3" s="1"/>
  <c r="L270" i="3"/>
  <c r="P270" i="3" s="1"/>
  <c r="N255" i="3"/>
  <c r="O255" i="3" s="1"/>
  <c r="L255" i="3"/>
  <c r="L229" i="3"/>
  <c r="N229" i="3"/>
  <c r="O229" i="3" s="1"/>
  <c r="M221" i="3"/>
  <c r="L199" i="3"/>
  <c r="P199" i="3" s="1"/>
  <c r="N199" i="3"/>
  <c r="O199" i="3" s="1"/>
  <c r="L207" i="3"/>
  <c r="N207" i="3"/>
  <c r="O207" i="3" s="1"/>
  <c r="M186" i="3"/>
  <c r="M168" i="3"/>
  <c r="L176" i="3"/>
  <c r="M155" i="3"/>
  <c r="L163" i="3"/>
  <c r="M114" i="3"/>
  <c r="M108" i="3"/>
  <c r="M85" i="3"/>
  <c r="L82" i="3"/>
  <c r="P82" i="3" s="1"/>
  <c r="N82" i="3"/>
  <c r="O82" i="3" s="1"/>
  <c r="M44" i="3"/>
  <c r="N39" i="3"/>
  <c r="O39" i="3" s="1"/>
  <c r="L39" i="3"/>
  <c r="P39" i="3" s="1"/>
  <c r="L312" i="3"/>
  <c r="N312" i="3"/>
  <c r="O312" i="3" s="1"/>
  <c r="M302" i="3"/>
  <c r="N253" i="3"/>
  <c r="O253" i="3" s="1"/>
  <c r="L253" i="3"/>
  <c r="L222" i="3"/>
  <c r="N222" i="3"/>
  <c r="O222" i="3" s="1"/>
  <c r="L204" i="3"/>
  <c r="P204" i="3" s="1"/>
  <c r="Q204" i="3" s="1"/>
  <c r="R204" i="3" s="1"/>
  <c r="N204" i="3"/>
  <c r="O204" i="3" s="1"/>
  <c r="L185" i="3"/>
  <c r="M160" i="3"/>
  <c r="M86" i="3"/>
  <c r="N79" i="3"/>
  <c r="O79" i="3" s="1"/>
  <c r="L79" i="3"/>
  <c r="P79" i="3" s="1"/>
  <c r="N53" i="3"/>
  <c r="O53" i="3" s="1"/>
  <c r="L53" i="3"/>
  <c r="M282" i="1"/>
  <c r="O282" i="1"/>
  <c r="P282" i="1" s="1"/>
  <c r="M264" i="1"/>
  <c r="O264" i="1"/>
  <c r="P264" i="1" s="1"/>
  <c r="M202" i="1"/>
  <c r="O202" i="1"/>
  <c r="P202" i="1" s="1"/>
  <c r="M46" i="1"/>
  <c r="O193" i="1"/>
  <c r="P193" i="1" s="1"/>
  <c r="M193" i="1"/>
  <c r="M115" i="1"/>
  <c r="O115" i="1"/>
  <c r="P115" i="1" s="1"/>
  <c r="M56" i="1"/>
  <c r="O56" i="1"/>
  <c r="P56" i="1" s="1"/>
  <c r="O276" i="1"/>
  <c r="P276" i="1" s="1"/>
  <c r="M276" i="1"/>
  <c r="M203" i="1"/>
  <c r="O203" i="1"/>
  <c r="P203" i="1" s="1"/>
  <c r="M227" i="1"/>
  <c r="O227" i="1"/>
  <c r="P227" i="1" s="1"/>
  <c r="M251" i="1"/>
  <c r="O251" i="1"/>
  <c r="P251" i="1" s="1"/>
  <c r="M117" i="1"/>
  <c r="O117" i="1"/>
  <c r="P117" i="1" s="1"/>
  <c r="M141" i="1"/>
  <c r="O141" i="1"/>
  <c r="P141" i="1" s="1"/>
  <c r="M86" i="1"/>
  <c r="O86" i="1"/>
  <c r="P86" i="1" s="1"/>
  <c r="O66" i="1"/>
  <c r="P66" i="1" s="1"/>
  <c r="M66" i="1"/>
  <c r="O40" i="1"/>
  <c r="P40" i="1" s="1"/>
  <c r="M40" i="1"/>
  <c r="M21" i="1"/>
  <c r="O21" i="1"/>
  <c r="P21" i="1" s="1"/>
  <c r="O189" i="1"/>
  <c r="P189" i="1" s="1"/>
  <c r="M189" i="1"/>
  <c r="M111" i="1"/>
  <c r="O111" i="1"/>
  <c r="P111" i="1" s="1"/>
  <c r="M139" i="1"/>
  <c r="O139" i="1"/>
  <c r="P139" i="1" s="1"/>
  <c r="M159" i="1"/>
  <c r="O159" i="1"/>
  <c r="P159" i="1" s="1"/>
  <c r="M232" i="1"/>
  <c r="O232" i="1"/>
  <c r="P232" i="1" s="1"/>
  <c r="M169" i="1"/>
  <c r="O169" i="1"/>
  <c r="P169" i="1" s="1"/>
  <c r="M130" i="1"/>
  <c r="O130" i="1"/>
  <c r="P130" i="1" s="1"/>
  <c r="M154" i="1"/>
  <c r="O154" i="1"/>
  <c r="P154" i="1" s="1"/>
  <c r="M70" i="1"/>
  <c r="O70" i="1"/>
  <c r="P70" i="1" s="1"/>
  <c r="M59" i="1"/>
  <c r="O59" i="1"/>
  <c r="P59" i="1" s="1"/>
  <c r="M37" i="1"/>
  <c r="O37" i="1"/>
  <c r="P37" i="1" s="1"/>
  <c r="M18" i="1"/>
  <c r="O18" i="1"/>
  <c r="P18" i="1" s="1"/>
  <c r="M182" i="1"/>
  <c r="O182" i="1"/>
  <c r="P182" i="1" s="1"/>
  <c r="O190" i="1"/>
  <c r="P190" i="1" s="1"/>
  <c r="M190" i="1"/>
  <c r="O198" i="1"/>
  <c r="P198" i="1" s="1"/>
  <c r="M198" i="1"/>
  <c r="O206" i="1"/>
  <c r="P206" i="1" s="1"/>
  <c r="M206" i="1"/>
  <c r="Q218" i="1"/>
  <c r="M35" i="1"/>
  <c r="O35" i="1"/>
  <c r="P35" i="1" s="1"/>
  <c r="O29" i="1"/>
  <c r="P29" i="1" s="1"/>
  <c r="M29" i="1"/>
  <c r="M16" i="1"/>
  <c r="O16" i="1"/>
  <c r="P16" i="1" s="1"/>
  <c r="M24" i="1"/>
  <c r="Q24" i="1" s="1"/>
  <c r="R24" i="1" s="1"/>
  <c r="S24" i="1" s="1"/>
  <c r="O24" i="1"/>
  <c r="P24" i="1" s="1"/>
  <c r="M254" i="1"/>
  <c r="O254" i="1"/>
  <c r="P254" i="1" s="1"/>
  <c r="O15" i="1"/>
  <c r="P15" i="1" s="1"/>
  <c r="M15" i="1"/>
  <c r="M287" i="1"/>
  <c r="O287" i="1"/>
  <c r="P287" i="1" s="1"/>
  <c r="M279" i="1"/>
  <c r="Q279" i="1" s="1"/>
  <c r="R279" i="1" s="1"/>
  <c r="S279" i="1" s="1"/>
  <c r="O279" i="1"/>
  <c r="P279" i="1" s="1"/>
  <c r="N276" i="1"/>
  <c r="O69" i="1"/>
  <c r="P69" i="1" s="1"/>
  <c r="M69" i="1"/>
  <c r="M36" i="1"/>
  <c r="O36" i="1"/>
  <c r="P36" i="1" s="1"/>
  <c r="O26" i="1"/>
  <c r="P26" i="1" s="1"/>
  <c r="M26" i="1"/>
  <c r="Q26" i="1" s="1"/>
  <c r="R26" i="1" s="1"/>
  <c r="S26" i="1" s="1"/>
  <c r="Q274" i="1"/>
  <c r="O225" i="1"/>
  <c r="P225" i="1" s="1"/>
  <c r="M225" i="1"/>
  <c r="M42" i="1"/>
  <c r="Q42" i="1" s="1"/>
  <c r="R42" i="1" s="1"/>
  <c r="S42" i="1" s="1"/>
  <c r="O42" i="1"/>
  <c r="P42" i="1" s="1"/>
  <c r="M301" i="1"/>
  <c r="O301" i="1"/>
  <c r="P301" i="1" s="1"/>
  <c r="O300" i="1"/>
  <c r="P300" i="1" s="1"/>
  <c r="M300" i="1"/>
  <c r="M292" i="1"/>
  <c r="O292" i="1"/>
  <c r="P292" i="1" s="1"/>
  <c r="M265" i="1"/>
  <c r="Q265" i="1" s="1"/>
  <c r="R265" i="1" s="1"/>
  <c r="S265" i="1" s="1"/>
  <c r="O265" i="1"/>
  <c r="P265" i="1" s="1"/>
  <c r="M273" i="1"/>
  <c r="O273" i="1"/>
  <c r="P273" i="1" s="1"/>
  <c r="M180" i="1"/>
  <c r="Q180" i="1" s="1"/>
  <c r="O180" i="1"/>
  <c r="P180" i="1" s="1"/>
  <c r="M188" i="1"/>
  <c r="O188" i="1"/>
  <c r="P188" i="1" s="1"/>
  <c r="Q200" i="1"/>
  <c r="Q216" i="1"/>
  <c r="M14" i="1"/>
  <c r="O14" i="1"/>
  <c r="P14" i="1" s="1"/>
  <c r="O22" i="1"/>
  <c r="P22" i="1" s="1"/>
  <c r="M22" i="1"/>
  <c r="M185" i="1"/>
  <c r="O185" i="1"/>
  <c r="P185" i="1" s="1"/>
  <c r="O209" i="1"/>
  <c r="P209" i="1" s="1"/>
  <c r="M209" i="1"/>
  <c r="O233" i="1"/>
  <c r="P233" i="1" s="1"/>
  <c r="M233" i="1"/>
  <c r="M170" i="1"/>
  <c r="Q170" i="1" s="1"/>
  <c r="O170" i="1"/>
  <c r="P170" i="1" s="1"/>
  <c r="M131" i="1"/>
  <c r="O131" i="1"/>
  <c r="P131" i="1" s="1"/>
  <c r="M151" i="1"/>
  <c r="Q151" i="1" s="1"/>
  <c r="O151" i="1"/>
  <c r="P151" i="1" s="1"/>
  <c r="M67" i="1"/>
  <c r="O67" i="1"/>
  <c r="P67" i="1" s="1"/>
  <c r="M60" i="1"/>
  <c r="Q60" i="1" s="1"/>
  <c r="O60" i="1"/>
  <c r="P60" i="1" s="1"/>
  <c r="M11" i="1"/>
  <c r="O11" i="1"/>
  <c r="P11" i="1" s="1"/>
  <c r="O303" i="1"/>
  <c r="P303" i="1" s="1"/>
  <c r="M303" i="1"/>
  <c r="O186" i="1"/>
  <c r="P186" i="1" s="1"/>
  <c r="M186" i="1"/>
  <c r="M194" i="1"/>
  <c r="O194" i="1"/>
  <c r="P194" i="1" s="1"/>
  <c r="M255" i="1"/>
  <c r="O255" i="1"/>
  <c r="P255" i="1" s="1"/>
  <c r="M98" i="1"/>
  <c r="O98" i="1"/>
  <c r="P98" i="1" s="1"/>
  <c r="M263" i="1"/>
  <c r="O263" i="1"/>
  <c r="P263" i="1" s="1"/>
  <c r="M241" i="1"/>
  <c r="O241" i="1"/>
  <c r="P241" i="1" s="1"/>
  <c r="M163" i="1"/>
  <c r="O163" i="1"/>
  <c r="P163" i="1" s="1"/>
  <c r="M304" i="1"/>
  <c r="O304" i="1"/>
  <c r="P304" i="1" s="1"/>
  <c r="O268" i="1"/>
  <c r="P268" i="1" s="1"/>
  <c r="M268" i="1"/>
  <c r="M195" i="1"/>
  <c r="O195" i="1"/>
  <c r="P195" i="1" s="1"/>
  <c r="M219" i="1"/>
  <c r="O219" i="1"/>
  <c r="P219" i="1" s="1"/>
  <c r="M243" i="1"/>
  <c r="O243" i="1"/>
  <c r="P243" i="1" s="1"/>
  <c r="M125" i="1"/>
  <c r="O125" i="1"/>
  <c r="P125" i="1" s="1"/>
  <c r="M149" i="1"/>
  <c r="O149" i="1"/>
  <c r="P149" i="1" s="1"/>
  <c r="M102" i="1"/>
  <c r="O102" i="1"/>
  <c r="P102" i="1" s="1"/>
  <c r="M73" i="1"/>
  <c r="O73" i="1"/>
  <c r="P73" i="1" s="1"/>
  <c r="O32" i="1"/>
  <c r="P32" i="1" s="1"/>
  <c r="M32" i="1"/>
  <c r="M13" i="1"/>
  <c r="O13" i="1"/>
  <c r="P13" i="1" s="1"/>
  <c r="M237" i="1"/>
  <c r="O237" i="1"/>
  <c r="P237" i="1" s="1"/>
  <c r="M248" i="1"/>
  <c r="O248" i="1"/>
  <c r="P248" i="1" s="1"/>
  <c r="M122" i="1"/>
  <c r="O122" i="1"/>
  <c r="P122" i="1" s="1"/>
  <c r="M146" i="1"/>
  <c r="O146" i="1"/>
  <c r="P146" i="1" s="1"/>
  <c r="M162" i="1"/>
  <c r="O162" i="1"/>
  <c r="P162" i="1" s="1"/>
  <c r="M78" i="1"/>
  <c r="O78" i="1"/>
  <c r="P78" i="1" s="1"/>
  <c r="M45" i="1"/>
  <c r="M10" i="1"/>
  <c r="O10" i="1"/>
  <c r="P10" i="1" s="1"/>
  <c r="M266" i="1"/>
  <c r="O266" i="1"/>
  <c r="P266" i="1" s="1"/>
  <c r="N303" i="1"/>
  <c r="M286" i="1"/>
  <c r="O286" i="1"/>
  <c r="P286" i="1" s="1"/>
  <c r="M267" i="1"/>
  <c r="O267" i="1"/>
  <c r="P267" i="1" s="1"/>
  <c r="O290" i="1"/>
  <c r="P290" i="1" s="1"/>
  <c r="M290" i="1"/>
  <c r="O275" i="1"/>
  <c r="P275" i="1" s="1"/>
  <c r="M275" i="1"/>
  <c r="N190" i="1"/>
  <c r="N198" i="1"/>
  <c r="N206" i="1"/>
  <c r="Q230" i="1"/>
  <c r="R230" i="1" s="1"/>
  <c r="S230" i="1" s="1"/>
  <c r="O242" i="1"/>
  <c r="P242" i="1" s="1"/>
  <c r="M242" i="1"/>
  <c r="O250" i="1"/>
  <c r="P250" i="1" s="1"/>
  <c r="M250" i="1"/>
  <c r="O116" i="1"/>
  <c r="P116" i="1" s="1"/>
  <c r="M116" i="1"/>
  <c r="O124" i="1"/>
  <c r="P124" i="1" s="1"/>
  <c r="M124" i="1"/>
  <c r="O132" i="1"/>
  <c r="P132" i="1" s="1"/>
  <c r="M132" i="1"/>
  <c r="O140" i="1"/>
  <c r="P140" i="1" s="1"/>
  <c r="M140" i="1"/>
  <c r="O148" i="1"/>
  <c r="P148" i="1" s="1"/>
  <c r="M148" i="1"/>
  <c r="O156" i="1"/>
  <c r="P156" i="1" s="1"/>
  <c r="M156" i="1"/>
  <c r="O109" i="1"/>
  <c r="P109" i="1" s="1"/>
  <c r="M109" i="1"/>
  <c r="M85" i="1"/>
  <c r="O85" i="1"/>
  <c r="P85" i="1" s="1"/>
  <c r="M72" i="1"/>
  <c r="O72" i="1"/>
  <c r="P72" i="1" s="1"/>
  <c r="O80" i="1"/>
  <c r="P80" i="1" s="1"/>
  <c r="M80" i="1"/>
  <c r="O61" i="1"/>
  <c r="P61" i="1" s="1"/>
  <c r="M61" i="1"/>
  <c r="M181" i="1"/>
  <c r="O181" i="1"/>
  <c r="P181" i="1" s="1"/>
  <c r="O205" i="1"/>
  <c r="P205" i="1" s="1"/>
  <c r="M205" i="1"/>
  <c r="O229" i="1"/>
  <c r="P229" i="1" s="1"/>
  <c r="M229" i="1"/>
  <c r="M127" i="1"/>
  <c r="O127" i="1"/>
  <c r="P127" i="1" s="1"/>
  <c r="M147" i="1"/>
  <c r="O147" i="1"/>
  <c r="P147" i="1" s="1"/>
  <c r="M71" i="1"/>
  <c r="O71" i="1"/>
  <c r="P71" i="1" s="1"/>
  <c r="O54" i="1"/>
  <c r="P54" i="1" s="1"/>
  <c r="M54" i="1"/>
  <c r="N15" i="1"/>
  <c r="M308" i="1"/>
  <c r="O308" i="1"/>
  <c r="P308" i="1" s="1"/>
  <c r="M183" i="1"/>
  <c r="O183" i="1"/>
  <c r="P183" i="1" s="1"/>
  <c r="M191" i="1"/>
  <c r="O191" i="1"/>
  <c r="P191" i="1" s="1"/>
  <c r="M199" i="1"/>
  <c r="O199" i="1"/>
  <c r="P199" i="1" s="1"/>
  <c r="M207" i="1"/>
  <c r="O207" i="1"/>
  <c r="P207" i="1" s="1"/>
  <c r="M215" i="1"/>
  <c r="O215" i="1"/>
  <c r="P215" i="1" s="1"/>
  <c r="M223" i="1"/>
  <c r="O223" i="1"/>
  <c r="P223" i="1" s="1"/>
  <c r="M231" i="1"/>
  <c r="O231" i="1"/>
  <c r="P231" i="1" s="1"/>
  <c r="M239" i="1"/>
  <c r="O239" i="1"/>
  <c r="P239" i="1" s="1"/>
  <c r="M247" i="1"/>
  <c r="O247" i="1"/>
  <c r="P247" i="1" s="1"/>
  <c r="O179" i="1"/>
  <c r="P179" i="1" s="1"/>
  <c r="M179" i="1"/>
  <c r="M113" i="1"/>
  <c r="O113" i="1"/>
  <c r="P113" i="1" s="1"/>
  <c r="M121" i="1"/>
  <c r="O121" i="1"/>
  <c r="P121" i="1" s="1"/>
  <c r="M129" i="1"/>
  <c r="O129" i="1"/>
  <c r="P129" i="1" s="1"/>
  <c r="M137" i="1"/>
  <c r="O137" i="1"/>
  <c r="P137" i="1" s="1"/>
  <c r="M145" i="1"/>
  <c r="O145" i="1"/>
  <c r="P145" i="1" s="1"/>
  <c r="M153" i="1"/>
  <c r="O153" i="1"/>
  <c r="P153" i="1" s="1"/>
  <c r="M161" i="1"/>
  <c r="O161" i="1"/>
  <c r="P161" i="1" s="1"/>
  <c r="M96" i="1"/>
  <c r="Q96" i="1" s="1"/>
  <c r="N69" i="1"/>
  <c r="O77" i="1"/>
  <c r="P77" i="1" s="1"/>
  <c r="M77" i="1"/>
  <c r="M58" i="1"/>
  <c r="O58" i="1"/>
  <c r="P58" i="1" s="1"/>
  <c r="M47" i="1"/>
  <c r="N36" i="1"/>
  <c r="M9" i="1"/>
  <c r="O9" i="1"/>
  <c r="P9" i="1" s="1"/>
  <c r="M17" i="1"/>
  <c r="O17" i="1"/>
  <c r="P17" i="1" s="1"/>
  <c r="Q281" i="1"/>
  <c r="O201" i="1"/>
  <c r="P201" i="1" s="1"/>
  <c r="M201" i="1"/>
  <c r="N225" i="1"/>
  <c r="M249" i="1"/>
  <c r="O249" i="1"/>
  <c r="P249" i="1" s="1"/>
  <c r="M123" i="1"/>
  <c r="O123" i="1"/>
  <c r="P123" i="1" s="1"/>
  <c r="M155" i="1"/>
  <c r="O155" i="1"/>
  <c r="P155" i="1" s="1"/>
  <c r="M84" i="1"/>
  <c r="O84" i="1"/>
  <c r="P84" i="1" s="1"/>
  <c r="M280" i="1"/>
  <c r="O280" i="1"/>
  <c r="P280" i="1" s="1"/>
  <c r="Q196" i="1"/>
  <c r="Q212" i="1"/>
  <c r="M228" i="1"/>
  <c r="O228" i="1"/>
  <c r="P228" i="1" s="1"/>
  <c r="M236" i="1"/>
  <c r="O236" i="1"/>
  <c r="P236" i="1" s="1"/>
  <c r="M244" i="1"/>
  <c r="O244" i="1"/>
  <c r="P244" i="1" s="1"/>
  <c r="M252" i="1"/>
  <c r="O252" i="1"/>
  <c r="P252" i="1" s="1"/>
  <c r="O168" i="1"/>
  <c r="P168" i="1" s="1"/>
  <c r="M168" i="1"/>
  <c r="M118" i="1"/>
  <c r="O118" i="1"/>
  <c r="P118" i="1" s="1"/>
  <c r="M126" i="1"/>
  <c r="O126" i="1"/>
  <c r="P126" i="1" s="1"/>
  <c r="M134" i="1"/>
  <c r="O134" i="1"/>
  <c r="P134" i="1" s="1"/>
  <c r="M142" i="1"/>
  <c r="O142" i="1"/>
  <c r="P142" i="1" s="1"/>
  <c r="M150" i="1"/>
  <c r="O150" i="1"/>
  <c r="P150" i="1" s="1"/>
  <c r="M158" i="1"/>
  <c r="O158" i="1"/>
  <c r="P158" i="1" s="1"/>
  <c r="O101" i="1"/>
  <c r="P101" i="1" s="1"/>
  <c r="M101" i="1"/>
  <c r="O83" i="1"/>
  <c r="P83" i="1" s="1"/>
  <c r="M83" i="1"/>
  <c r="M74" i="1"/>
  <c r="O74" i="1"/>
  <c r="P74" i="1" s="1"/>
  <c r="M55" i="1"/>
  <c r="O55" i="1"/>
  <c r="P55" i="1" s="1"/>
  <c r="M63" i="1"/>
  <c r="O63" i="1"/>
  <c r="P63" i="1" s="1"/>
  <c r="M33" i="1"/>
  <c r="O33" i="1"/>
  <c r="P33" i="1" s="1"/>
  <c r="M41" i="1"/>
  <c r="O41" i="1"/>
  <c r="P41" i="1" s="1"/>
  <c r="N14" i="1"/>
  <c r="N22" i="1"/>
  <c r="M289" i="1"/>
  <c r="O289" i="1"/>
  <c r="P289" i="1" s="1"/>
  <c r="Q270" i="1"/>
  <c r="R270" i="1" s="1"/>
  <c r="S270" i="1" s="1"/>
  <c r="O271" i="1"/>
  <c r="P271" i="1" s="1"/>
  <c r="M271" i="1"/>
  <c r="M222" i="1"/>
  <c r="O222" i="1"/>
  <c r="P222" i="1" s="1"/>
  <c r="O217" i="1"/>
  <c r="P217" i="1" s="1"/>
  <c r="M217" i="1"/>
  <c r="M135" i="1"/>
  <c r="O135" i="1"/>
  <c r="P135" i="1" s="1"/>
  <c r="M38" i="1"/>
  <c r="O38" i="1"/>
  <c r="P38" i="1" s="1"/>
  <c r="O261" i="1"/>
  <c r="P261" i="1" s="1"/>
  <c r="M261" i="1"/>
  <c r="M187" i="1"/>
  <c r="Q187" i="1" s="1"/>
  <c r="R187" i="1" s="1"/>
  <c r="S187" i="1" s="1"/>
  <c r="T187" i="1" s="1"/>
  <c r="U187" i="1" s="1"/>
  <c r="O187" i="1"/>
  <c r="P187" i="1" s="1"/>
  <c r="M211" i="1"/>
  <c r="O211" i="1"/>
  <c r="P211" i="1" s="1"/>
  <c r="M235" i="1"/>
  <c r="O235" i="1"/>
  <c r="P235" i="1" s="1"/>
  <c r="M172" i="1"/>
  <c r="O172" i="1"/>
  <c r="P172" i="1" s="1"/>
  <c r="M133" i="1"/>
  <c r="Q133" i="1" s="1"/>
  <c r="O133" i="1"/>
  <c r="P133" i="1" s="1"/>
  <c r="M157" i="1"/>
  <c r="O157" i="1"/>
  <c r="P157" i="1" s="1"/>
  <c r="M62" i="1"/>
  <c r="Q62" i="1" s="1"/>
  <c r="R62" i="1" s="1"/>
  <c r="S62" i="1" s="1"/>
  <c r="O62" i="1"/>
  <c r="P62" i="1" s="1"/>
  <c r="M240" i="1"/>
  <c r="O240" i="1"/>
  <c r="P240" i="1" s="1"/>
  <c r="M114" i="1"/>
  <c r="O114" i="1"/>
  <c r="P114" i="1" s="1"/>
  <c r="M138" i="1"/>
  <c r="O138" i="1"/>
  <c r="P138" i="1" s="1"/>
  <c r="O93" i="1"/>
  <c r="P93" i="1" s="1"/>
  <c r="M93" i="1"/>
  <c r="O284" i="1"/>
  <c r="P284" i="1" s="1"/>
  <c r="M284" i="1"/>
  <c r="N267" i="1"/>
  <c r="N182" i="1"/>
  <c r="M171" i="1"/>
  <c r="O171" i="1"/>
  <c r="P171" i="1" s="1"/>
  <c r="M307" i="1"/>
  <c r="Q307" i="1" s="1"/>
  <c r="R307" i="1" s="1"/>
  <c r="O307" i="1"/>
  <c r="P307" i="1" s="1"/>
  <c r="N290" i="1"/>
  <c r="N282" i="1"/>
  <c r="N271" i="1"/>
  <c r="N264" i="1"/>
  <c r="N186" i="1"/>
  <c r="N194" i="1"/>
  <c r="N202" i="1"/>
  <c r="Q214" i="1"/>
  <c r="Q226" i="1"/>
  <c r="M238" i="1"/>
  <c r="O238" i="1"/>
  <c r="P238" i="1" s="1"/>
  <c r="M246" i="1"/>
  <c r="O246" i="1"/>
  <c r="P246" i="1" s="1"/>
  <c r="N255" i="1"/>
  <c r="M112" i="1"/>
  <c r="Q112" i="1" s="1"/>
  <c r="O112" i="1"/>
  <c r="P112" i="1" s="1"/>
  <c r="M120" i="1"/>
  <c r="O120" i="1"/>
  <c r="P120" i="1" s="1"/>
  <c r="M128" i="1"/>
  <c r="Q128" i="1" s="1"/>
  <c r="R128" i="1" s="1"/>
  <c r="S128" i="1" s="1"/>
  <c r="T128" i="1" s="1"/>
  <c r="O128" i="1"/>
  <c r="P128" i="1" s="1"/>
  <c r="M136" i="1"/>
  <c r="O136" i="1"/>
  <c r="P136" i="1" s="1"/>
  <c r="M144" i="1"/>
  <c r="Q144" i="1" s="1"/>
  <c r="O144" i="1"/>
  <c r="P144" i="1" s="1"/>
  <c r="M152" i="1"/>
  <c r="O152" i="1"/>
  <c r="P152" i="1" s="1"/>
  <c r="M160" i="1"/>
  <c r="Q160" i="1" s="1"/>
  <c r="O160" i="1"/>
  <c r="P160" i="1" s="1"/>
  <c r="N98" i="1"/>
  <c r="M68" i="1"/>
  <c r="O68" i="1"/>
  <c r="P68" i="1" s="1"/>
  <c r="O76" i="1"/>
  <c r="P76" i="1" s="1"/>
  <c r="M76" i="1"/>
  <c r="M57" i="1"/>
  <c r="O57" i="1"/>
  <c r="P57" i="1" s="1"/>
  <c r="N46" i="1"/>
  <c r="M31" i="1"/>
  <c r="O31" i="1"/>
  <c r="P31" i="1" s="1"/>
  <c r="M39" i="1"/>
  <c r="Q39" i="1" s="1"/>
  <c r="O39" i="1"/>
  <c r="P39" i="1" s="1"/>
  <c r="M12" i="1"/>
  <c r="O12" i="1"/>
  <c r="P12" i="1" s="1"/>
  <c r="M20" i="1"/>
  <c r="Q20" i="1" s="1"/>
  <c r="O20" i="1"/>
  <c r="P20" i="1" s="1"/>
  <c r="M306" i="1"/>
  <c r="O306" i="1"/>
  <c r="P306" i="1" s="1"/>
  <c r="N263" i="1"/>
  <c r="N193" i="1"/>
  <c r="N217" i="1"/>
  <c r="N241" i="1"/>
  <c r="N115" i="1"/>
  <c r="N135" i="1"/>
  <c r="N163" i="1"/>
  <c r="N56" i="1"/>
  <c r="N38" i="1"/>
  <c r="N304" i="1"/>
  <c r="O291" i="1"/>
  <c r="P291" i="1" s="1"/>
  <c r="M291" i="1"/>
  <c r="Q291" i="1" s="1"/>
  <c r="O278" i="1"/>
  <c r="P278" i="1" s="1"/>
  <c r="M278" i="1"/>
  <c r="M272" i="1"/>
  <c r="O272" i="1"/>
  <c r="P272" i="1" s="1"/>
  <c r="N261" i="1"/>
  <c r="N187" i="1"/>
  <c r="N195" i="1"/>
  <c r="N203" i="1"/>
  <c r="N211" i="1"/>
  <c r="N219" i="1"/>
  <c r="N227" i="1"/>
  <c r="N235" i="1"/>
  <c r="N243" i="1"/>
  <c r="N251" i="1"/>
  <c r="N172" i="1"/>
  <c r="N117" i="1"/>
  <c r="N125" i="1"/>
  <c r="N133" i="1"/>
  <c r="N141" i="1"/>
  <c r="N149" i="1"/>
  <c r="N157" i="1"/>
  <c r="N102" i="1"/>
  <c r="N86" i="1"/>
  <c r="N73" i="1"/>
  <c r="N66" i="1"/>
  <c r="N62" i="1"/>
  <c r="N32" i="1"/>
  <c r="N40" i="1"/>
  <c r="N13" i="1"/>
  <c r="N21" i="1"/>
  <c r="M285" i="1"/>
  <c r="O285" i="1"/>
  <c r="P285" i="1" s="1"/>
  <c r="Q285" i="1" s="1"/>
  <c r="N189" i="1"/>
  <c r="O213" i="1"/>
  <c r="P213" i="1" s="1"/>
  <c r="M213" i="1"/>
  <c r="N237" i="1"/>
  <c r="N111" i="1"/>
  <c r="N139" i="1"/>
  <c r="N159" i="1"/>
  <c r="Q79" i="1"/>
  <c r="M30" i="1"/>
  <c r="Q30" i="1" s="1"/>
  <c r="R30" i="1" s="1"/>
  <c r="S30" i="1" s="1"/>
  <c r="O30" i="1"/>
  <c r="P30" i="1" s="1"/>
  <c r="M19" i="1"/>
  <c r="O19" i="1"/>
  <c r="P19" i="1" s="1"/>
  <c r="M305" i="1"/>
  <c r="Q305" i="1" s="1"/>
  <c r="R305" i="1" s="1"/>
  <c r="O305" i="1"/>
  <c r="P305" i="1" s="1"/>
  <c r="M288" i="1"/>
  <c r="O288" i="1"/>
  <c r="P288" i="1" s="1"/>
  <c r="N280" i="1"/>
  <c r="M269" i="1"/>
  <c r="O269" i="1"/>
  <c r="P269" i="1" s="1"/>
  <c r="M262" i="1"/>
  <c r="O262" i="1"/>
  <c r="P262" i="1" s="1"/>
  <c r="M184" i="1"/>
  <c r="O184" i="1"/>
  <c r="P184" i="1" s="1"/>
  <c r="Q192" i="1"/>
  <c r="Q208" i="1"/>
  <c r="Q220" i="1"/>
  <c r="Q224" i="1"/>
  <c r="N232" i="1"/>
  <c r="N240" i="1"/>
  <c r="N248" i="1"/>
  <c r="N169" i="1"/>
  <c r="N114" i="1"/>
  <c r="N122" i="1"/>
  <c r="N130" i="1"/>
  <c r="N138" i="1"/>
  <c r="N146" i="1"/>
  <c r="N154" i="1"/>
  <c r="N162" i="1"/>
  <c r="N93" i="1"/>
  <c r="N70" i="1"/>
  <c r="N78" i="1"/>
  <c r="N59" i="1"/>
  <c r="N45" i="1"/>
  <c r="N37" i="1"/>
  <c r="N10" i="1"/>
  <c r="N18" i="1"/>
  <c r="M302" i="1"/>
  <c r="O302" i="1"/>
  <c r="P302" i="1" s="1"/>
  <c r="N266" i="1"/>
  <c r="O197" i="1"/>
  <c r="P197" i="1" s="1"/>
  <c r="M197" i="1"/>
  <c r="O221" i="1"/>
  <c r="P221" i="1" s="1"/>
  <c r="M221" i="1"/>
  <c r="M245" i="1"/>
  <c r="O245" i="1"/>
  <c r="P245" i="1" s="1"/>
  <c r="M119" i="1"/>
  <c r="O119" i="1"/>
  <c r="P119" i="1" s="1"/>
  <c r="M143" i="1"/>
  <c r="O143" i="1"/>
  <c r="P143" i="1" s="1"/>
  <c r="M97" i="1"/>
  <c r="O97" i="1"/>
  <c r="P97" i="1" s="1"/>
  <c r="M75" i="1"/>
  <c r="O75" i="1"/>
  <c r="P75" i="1" s="1"/>
  <c r="M34" i="1"/>
  <c r="O34" i="1"/>
  <c r="P34" i="1" s="1"/>
  <c r="O23" i="1"/>
  <c r="P23" i="1" s="1"/>
  <c r="M23" i="1"/>
  <c r="M8" i="1"/>
  <c r="O8" i="1"/>
  <c r="P8" i="1" s="1"/>
  <c r="P11" i="3"/>
  <c r="J66" i="7"/>
  <c r="R281" i="1"/>
  <c r="S281" i="1" s="1"/>
  <c r="R274" i="1"/>
  <c r="S274" i="1" s="1"/>
  <c r="R218" i="1"/>
  <c r="S218" i="1" s="1"/>
  <c r="R224" i="1"/>
  <c r="S224" i="1" s="1"/>
  <c r="R226" i="1"/>
  <c r="S226" i="1" s="1"/>
  <c r="R170" i="1"/>
  <c r="S170" i="1" s="1"/>
  <c r="R112" i="1"/>
  <c r="S112" i="1" s="1"/>
  <c r="T112" i="1" s="1"/>
  <c r="R160" i="1"/>
  <c r="S160" i="1" s="1"/>
  <c r="R79" i="1"/>
  <c r="S79" i="1" s="1"/>
  <c r="Q315" i="3"/>
  <c r="R315" i="3" s="1"/>
  <c r="Q293" i="3"/>
  <c r="R293" i="3" s="1"/>
  <c r="Q296" i="3"/>
  <c r="R296" i="3" s="1"/>
  <c r="Q297" i="3"/>
  <c r="R297" i="3" s="1"/>
  <c r="Q301" i="3"/>
  <c r="R301" i="3" s="1"/>
  <c r="Q273" i="3"/>
  <c r="R273" i="3" s="1"/>
  <c r="Q270" i="3"/>
  <c r="R270" i="3" s="1"/>
  <c r="Q256" i="3"/>
  <c r="R256" i="3" s="1"/>
  <c r="Q231" i="3"/>
  <c r="R231" i="3" s="1"/>
  <c r="Q200" i="3"/>
  <c r="R200" i="3" s="1"/>
  <c r="R202" i="3"/>
  <c r="Q120" i="3"/>
  <c r="R120" i="3" s="1"/>
  <c r="Q121" i="3"/>
  <c r="R121" i="3" s="1"/>
  <c r="Q93" i="3"/>
  <c r="R93" i="3" s="1"/>
  <c r="Q94" i="3"/>
  <c r="R94" i="3" s="1"/>
  <c r="Q95" i="3"/>
  <c r="R95" i="3" s="1"/>
  <c r="Q88" i="3"/>
  <c r="R88" i="3" s="1"/>
  <c r="Q82" i="3"/>
  <c r="R82" i="3" s="1"/>
  <c r="Q65" i="3"/>
  <c r="R65" i="3" s="1"/>
  <c r="Q50" i="3"/>
  <c r="R50" i="3" s="1"/>
  <c r="Q54" i="3"/>
  <c r="R54" i="3" s="1"/>
  <c r="Q58" i="3"/>
  <c r="R58" i="3" s="1"/>
  <c r="Q59" i="3"/>
  <c r="R59" i="3" s="1"/>
  <c r="Q11" i="3"/>
  <c r="R11" i="3" s="1"/>
  <c r="P73" i="3" l="1"/>
  <c r="L16" i="3"/>
  <c r="N16" i="3"/>
  <c r="O16" i="3" s="1"/>
  <c r="P63" i="3"/>
  <c r="Q63" i="3" s="1"/>
  <c r="R63" i="3" s="1"/>
  <c r="S63" i="3" s="1"/>
  <c r="T63" i="3" s="1"/>
  <c r="P81" i="3"/>
  <c r="Q81" i="3" s="1"/>
  <c r="R81" i="3" s="1"/>
  <c r="S81" i="3" s="1"/>
  <c r="T81" i="3" s="1"/>
  <c r="P288" i="3"/>
  <c r="Q288" i="3" s="1"/>
  <c r="R288" i="3" s="1"/>
  <c r="P42" i="3"/>
  <c r="Q42" i="3" s="1"/>
  <c r="R42" i="3" s="1"/>
  <c r="P196" i="3"/>
  <c r="Q196" i="3" s="1"/>
  <c r="R196" i="3" s="1"/>
  <c r="S196" i="3" s="1"/>
  <c r="T196" i="3" s="1"/>
  <c r="P26" i="3"/>
  <c r="Q26" i="3" s="1"/>
  <c r="R26" i="3" s="1"/>
  <c r="P258" i="3"/>
  <c r="Q258" i="3" s="1"/>
  <c r="R258" i="3" s="1"/>
  <c r="L19" i="3"/>
  <c r="N19" i="3"/>
  <c r="O19" i="3" s="1"/>
  <c r="Q221" i="1"/>
  <c r="R221" i="1" s="1"/>
  <c r="S221" i="1" s="1"/>
  <c r="Q114" i="1"/>
  <c r="Q235" i="1"/>
  <c r="R235" i="1" s="1"/>
  <c r="S235" i="1" s="1"/>
  <c r="Q83" i="1"/>
  <c r="R83" i="1" s="1"/>
  <c r="S83" i="1" s="1"/>
  <c r="Q168" i="1"/>
  <c r="R168" i="1" s="1"/>
  <c r="S168" i="1" s="1"/>
  <c r="T168" i="1" s="1"/>
  <c r="U168" i="1" s="1"/>
  <c r="P218" i="3"/>
  <c r="Q218" i="3" s="1"/>
  <c r="R218" i="3" s="1"/>
  <c r="P265" i="3"/>
  <c r="Q265" i="3" s="1"/>
  <c r="R265" i="3" s="1"/>
  <c r="L32" i="3"/>
  <c r="P32" i="3" s="1"/>
  <c r="Q32" i="3" s="1"/>
  <c r="R32" i="3" s="1"/>
  <c r="S32" i="3" s="1"/>
  <c r="T32" i="3" s="1"/>
  <c r="N32" i="3"/>
  <c r="O32" i="3" s="1"/>
  <c r="P220" i="3"/>
  <c r="Q220" i="3" s="1"/>
  <c r="R220" i="3" s="1"/>
  <c r="L23" i="3"/>
  <c r="N23" i="3"/>
  <c r="O23" i="3" s="1"/>
  <c r="L31" i="3"/>
  <c r="N31" i="3"/>
  <c r="O31" i="3" s="1"/>
  <c r="P64" i="3"/>
  <c r="Q64" i="3" s="1"/>
  <c r="R64" i="3" s="1"/>
  <c r="L21" i="3"/>
  <c r="N21" i="3"/>
  <c r="O21" i="3" s="1"/>
  <c r="M21" i="3"/>
  <c r="P255" i="3"/>
  <c r="L24" i="3"/>
  <c r="N24" i="3"/>
  <c r="O24" i="3" s="1"/>
  <c r="P30" i="3"/>
  <c r="Q30" i="3" s="1"/>
  <c r="R30" i="3" s="1"/>
  <c r="P110" i="3"/>
  <c r="Q110" i="3" s="1"/>
  <c r="R110" i="3" s="1"/>
  <c r="L25" i="3"/>
  <c r="N25" i="3"/>
  <c r="O25" i="3" s="1"/>
  <c r="M25" i="3"/>
  <c r="Q58" i="1"/>
  <c r="R58" i="1" s="1"/>
  <c r="S58" i="1" s="1"/>
  <c r="Q147" i="1"/>
  <c r="Q181" i="1"/>
  <c r="R181" i="1" s="1"/>
  <c r="S181" i="1" s="1"/>
  <c r="T181" i="1" s="1"/>
  <c r="Q85" i="1"/>
  <c r="P222" i="3"/>
  <c r="Q222" i="3" s="1"/>
  <c r="R222" i="3" s="1"/>
  <c r="P207" i="3"/>
  <c r="Q207" i="3" s="1"/>
  <c r="R207" i="3" s="1"/>
  <c r="S207" i="3" s="1"/>
  <c r="T207" i="3" s="1"/>
  <c r="P47" i="3"/>
  <c r="Q47" i="3" s="1"/>
  <c r="R47" i="3" s="1"/>
  <c r="P292" i="3"/>
  <c r="L12" i="3"/>
  <c r="N12" i="3"/>
  <c r="O12" i="3" s="1"/>
  <c r="L20" i="3"/>
  <c r="N20" i="3"/>
  <c r="O20" i="3" s="1"/>
  <c r="L28" i="3"/>
  <c r="N28" i="3"/>
  <c r="O28" i="3" s="1"/>
  <c r="L36" i="3"/>
  <c r="N36" i="3"/>
  <c r="O36" i="3" s="1"/>
  <c r="L17" i="3"/>
  <c r="N17" i="3"/>
  <c r="O17" i="3" s="1"/>
  <c r="P225" i="3"/>
  <c r="Q225" i="3" s="1"/>
  <c r="R225" i="3" s="1"/>
  <c r="P14" i="3"/>
  <c r="Q14" i="3" s="1"/>
  <c r="R14" i="3" s="1"/>
  <c r="P208" i="3"/>
  <c r="Q208" i="3" s="1"/>
  <c r="R208" i="3" s="1"/>
  <c r="S208" i="3" s="1"/>
  <c r="T208" i="3" s="1"/>
  <c r="P236" i="3"/>
  <c r="Q236" i="3" s="1"/>
  <c r="R236" i="3" s="1"/>
  <c r="S236" i="3" s="1"/>
  <c r="T236" i="3" s="1"/>
  <c r="P302" i="3"/>
  <c r="Q302" i="3" s="1"/>
  <c r="R302" i="3" s="1"/>
  <c r="P40" i="3"/>
  <c r="P271" i="3"/>
  <c r="Q271" i="3" s="1"/>
  <c r="R271" i="3" s="1"/>
  <c r="P224" i="3"/>
  <c r="Q224" i="3" s="1"/>
  <c r="R224" i="3" s="1"/>
  <c r="P241" i="3"/>
  <c r="Q241" i="3" s="1"/>
  <c r="R241" i="3" s="1"/>
  <c r="L33" i="3"/>
  <c r="N33" i="3"/>
  <c r="O33" i="3" s="1"/>
  <c r="P62" i="3"/>
  <c r="P217" i="3"/>
  <c r="Q217" i="3" s="1"/>
  <c r="R217" i="3" s="1"/>
  <c r="P285" i="3"/>
  <c r="Q285" i="3" s="1"/>
  <c r="R285" i="3" s="1"/>
  <c r="P197" i="3"/>
  <c r="P18" i="3"/>
  <c r="Q18" i="3" s="1"/>
  <c r="R18" i="3" s="1"/>
  <c r="P44" i="3"/>
  <c r="P221" i="3"/>
  <c r="Q221" i="3" s="1"/>
  <c r="R221" i="3" s="1"/>
  <c r="S221" i="3" s="1"/>
  <c r="T221" i="3" s="1"/>
  <c r="P206" i="3"/>
  <c r="Q206" i="3" s="1"/>
  <c r="R206" i="3" s="1"/>
  <c r="P295" i="3"/>
  <c r="Q295" i="3" s="1"/>
  <c r="R295" i="3" s="1"/>
  <c r="Q75" i="1"/>
  <c r="R75" i="1" s="1"/>
  <c r="S75" i="1" s="1"/>
  <c r="T75" i="1" s="1"/>
  <c r="U75" i="1" s="1"/>
  <c r="Q143" i="1"/>
  <c r="R143" i="1" s="1"/>
  <c r="S143" i="1" s="1"/>
  <c r="Q245" i="1"/>
  <c r="R245" i="1" s="1"/>
  <c r="S245" i="1" s="1"/>
  <c r="Q184" i="1"/>
  <c r="Q269" i="1"/>
  <c r="Q246" i="1"/>
  <c r="R246" i="1" s="1"/>
  <c r="S246" i="1" s="1"/>
  <c r="T246" i="1" s="1"/>
  <c r="U246" i="1" s="1"/>
  <c r="Q289" i="1"/>
  <c r="Q41" i="1"/>
  <c r="R41" i="1" s="1"/>
  <c r="S41" i="1" s="1"/>
  <c r="Q63" i="1"/>
  <c r="R63" i="1" s="1"/>
  <c r="S63" i="1" s="1"/>
  <c r="Q74" i="1"/>
  <c r="R74" i="1" s="1"/>
  <c r="S74" i="1" s="1"/>
  <c r="Q150" i="1"/>
  <c r="Q134" i="1"/>
  <c r="Q118" i="1"/>
  <c r="R118" i="1" s="1"/>
  <c r="S118" i="1" s="1"/>
  <c r="T118" i="1" s="1"/>
  <c r="U118" i="1" s="1"/>
  <c r="Q252" i="1"/>
  <c r="Q236" i="1"/>
  <c r="R236" i="1" s="1"/>
  <c r="S236" i="1" s="1"/>
  <c r="Q84" i="1"/>
  <c r="R84" i="1" s="1"/>
  <c r="S84" i="1" s="1"/>
  <c r="Q123" i="1"/>
  <c r="R123" i="1" s="1"/>
  <c r="S123" i="1" s="1"/>
  <c r="T123" i="1" s="1"/>
  <c r="U123" i="1" s="1"/>
  <c r="Q17" i="1"/>
  <c r="R17" i="1" s="1"/>
  <c r="S17" i="1" s="1"/>
  <c r="Q77" i="1"/>
  <c r="R77" i="1" s="1"/>
  <c r="S77" i="1" s="1"/>
  <c r="Q153" i="1"/>
  <c r="R153" i="1" s="1"/>
  <c r="S153" i="1" s="1"/>
  <c r="Q137" i="1"/>
  <c r="Q121" i="1"/>
  <c r="R121" i="1" s="1"/>
  <c r="S121" i="1" s="1"/>
  <c r="T121" i="1" s="1"/>
  <c r="U121" i="1" s="1"/>
  <c r="Q239" i="1"/>
  <c r="R239" i="1" s="1"/>
  <c r="S239" i="1" s="1"/>
  <c r="Q223" i="1"/>
  <c r="R223" i="1" s="1"/>
  <c r="S223" i="1" s="1"/>
  <c r="Q207" i="1"/>
  <c r="R207" i="1" s="1"/>
  <c r="S207" i="1" s="1"/>
  <c r="T207" i="1" s="1"/>
  <c r="U207" i="1" s="1"/>
  <c r="Q191" i="1"/>
  <c r="R191" i="1" s="1"/>
  <c r="S191" i="1" s="1"/>
  <c r="T191" i="1" s="1"/>
  <c r="U191" i="1" s="1"/>
  <c r="Q308" i="1"/>
  <c r="R308" i="1" s="1"/>
  <c r="Q205" i="1"/>
  <c r="Q61" i="1"/>
  <c r="R61" i="1" s="1"/>
  <c r="S61" i="1" s="1"/>
  <c r="Q109" i="1"/>
  <c r="R109" i="1" s="1"/>
  <c r="S109" i="1" s="1"/>
  <c r="Q148" i="1"/>
  <c r="Q132" i="1"/>
  <c r="Q116" i="1"/>
  <c r="Q242" i="1"/>
  <c r="R242" i="1" s="1"/>
  <c r="S242" i="1" s="1"/>
  <c r="Q290" i="1"/>
  <c r="R290" i="1" s="1"/>
  <c r="S290" i="1" s="1"/>
  <c r="Q162" i="1"/>
  <c r="Q237" i="1"/>
  <c r="R237" i="1" s="1"/>
  <c r="S237" i="1" s="1"/>
  <c r="T237" i="1" s="1"/>
  <c r="U237" i="1" s="1"/>
  <c r="Q102" i="1"/>
  <c r="Q219" i="1"/>
  <c r="R219" i="1" s="1"/>
  <c r="S219" i="1" s="1"/>
  <c r="Q163" i="1"/>
  <c r="Q255" i="1"/>
  <c r="R255" i="1" s="1"/>
  <c r="S255" i="1" s="1"/>
  <c r="T255" i="1" s="1"/>
  <c r="U255" i="1" s="1"/>
  <c r="Q11" i="1"/>
  <c r="R11" i="1" s="1"/>
  <c r="S11" i="1" s="1"/>
  <c r="T11" i="1" s="1"/>
  <c r="U11" i="1" s="1"/>
  <c r="Q67" i="1"/>
  <c r="R67" i="1" s="1"/>
  <c r="S67" i="1" s="1"/>
  <c r="Q131" i="1"/>
  <c r="Q185" i="1"/>
  <c r="R185" i="1" s="1"/>
  <c r="S185" i="1" s="1"/>
  <c r="T185" i="1" s="1"/>
  <c r="Q14" i="1"/>
  <c r="R14" i="1" s="1"/>
  <c r="S14" i="1" s="1"/>
  <c r="Q188" i="1"/>
  <c r="Q273" i="1"/>
  <c r="R273" i="1" s="1"/>
  <c r="S273" i="1" s="1"/>
  <c r="Q292" i="1"/>
  <c r="R292" i="1" s="1"/>
  <c r="S292" i="1" s="1"/>
  <c r="T292" i="1" s="1"/>
  <c r="U292" i="1" s="1"/>
  <c r="Q301" i="1"/>
  <c r="R301" i="1" s="1"/>
  <c r="Q287" i="1"/>
  <c r="Q254" i="1"/>
  <c r="R254" i="1" s="1"/>
  <c r="S254" i="1" s="1"/>
  <c r="Q16" i="1"/>
  <c r="R16" i="1" s="1"/>
  <c r="S16" i="1" s="1"/>
  <c r="T16" i="1" s="1"/>
  <c r="U16" i="1" s="1"/>
  <c r="Q35" i="1"/>
  <c r="R35" i="1" s="1"/>
  <c r="S35" i="1" s="1"/>
  <c r="T35" i="1" s="1"/>
  <c r="U35" i="1" s="1"/>
  <c r="Q40" i="1"/>
  <c r="R40" i="1" s="1"/>
  <c r="S40" i="1" s="1"/>
  <c r="P53" i="3"/>
  <c r="P253" i="3"/>
  <c r="Q253" i="3" s="1"/>
  <c r="R253" i="3" s="1"/>
  <c r="P312" i="3"/>
  <c r="P229" i="3"/>
  <c r="Q229" i="3" s="1"/>
  <c r="R229" i="3" s="1"/>
  <c r="P72" i="3"/>
  <c r="P107" i="3"/>
  <c r="Q107" i="3" s="1"/>
  <c r="R107" i="3" s="1"/>
  <c r="S107" i="3" s="1"/>
  <c r="T107" i="3" s="1"/>
  <c r="P305" i="3"/>
  <c r="Q305" i="3" s="1"/>
  <c r="R305" i="3" s="1"/>
  <c r="S305" i="3" s="1"/>
  <c r="T305" i="3" s="1"/>
  <c r="T303" i="3" s="1"/>
  <c r="P237" i="3"/>
  <c r="Q237" i="3" s="1"/>
  <c r="R237" i="3" s="1"/>
  <c r="P309" i="3"/>
  <c r="Q309" i="3" s="1"/>
  <c r="R309" i="3" s="1"/>
  <c r="S309" i="3" s="1"/>
  <c r="T309" i="3" s="1"/>
  <c r="M12" i="3"/>
  <c r="M20" i="3"/>
  <c r="M28" i="3"/>
  <c r="M36" i="3"/>
  <c r="L29" i="3"/>
  <c r="P29" i="3" s="1"/>
  <c r="Q29" i="3" s="1"/>
  <c r="R29" i="3" s="1"/>
  <c r="S29" i="3" s="1"/>
  <c r="T29" i="3" s="1"/>
  <c r="N29" i="3"/>
  <c r="O29" i="3" s="1"/>
  <c r="P51" i="3"/>
  <c r="Q51" i="3" s="1"/>
  <c r="R51" i="3" s="1"/>
  <c r="P282" i="3"/>
  <c r="Q282" i="3" s="1"/>
  <c r="R282" i="3" s="1"/>
  <c r="S282" i="3" s="1"/>
  <c r="T282" i="3" s="1"/>
  <c r="P45" i="3"/>
  <c r="Q45" i="3" s="1"/>
  <c r="R45" i="3" s="1"/>
  <c r="S45" i="3" s="1"/>
  <c r="T45" i="3" s="1"/>
  <c r="P108" i="3"/>
  <c r="Q108" i="3" s="1"/>
  <c r="R108" i="3" s="1"/>
  <c r="P198" i="3"/>
  <c r="Q198" i="3" s="1"/>
  <c r="R198" i="3" s="1"/>
  <c r="S198" i="3" s="1"/>
  <c r="T198" i="3" s="1"/>
  <c r="P87" i="3"/>
  <c r="Q87" i="3" s="1"/>
  <c r="R87" i="3" s="1"/>
  <c r="S87" i="3" s="1"/>
  <c r="T87" i="3" s="1"/>
  <c r="L15" i="3"/>
  <c r="N15" i="3"/>
  <c r="O15" i="3" s="1"/>
  <c r="L27" i="3"/>
  <c r="N27" i="3"/>
  <c r="O27" i="3" s="1"/>
  <c r="P86" i="3"/>
  <c r="Q86" i="3" s="1"/>
  <c r="R86" i="3" s="1"/>
  <c r="P203" i="3"/>
  <c r="P91" i="3"/>
  <c r="Q91" i="3" s="1"/>
  <c r="R91" i="3" s="1"/>
  <c r="S91" i="3" s="1"/>
  <c r="T91" i="3" s="1"/>
  <c r="P228" i="3"/>
  <c r="P46" i="3"/>
  <c r="Q46" i="3" s="1"/>
  <c r="R46" i="3" s="1"/>
  <c r="P291" i="3"/>
  <c r="Q291" i="3" s="1"/>
  <c r="R291" i="3" s="1"/>
  <c r="L13" i="3"/>
  <c r="N13" i="3"/>
  <c r="O13" i="3" s="1"/>
  <c r="P263" i="3"/>
  <c r="Q263" i="3" s="1"/>
  <c r="R263" i="3" s="1"/>
  <c r="P210" i="3"/>
  <c r="Q210" i="3" s="1"/>
  <c r="R210" i="3" s="1"/>
  <c r="P294" i="3"/>
  <c r="Q294" i="3" s="1"/>
  <c r="R294" i="3" s="1"/>
  <c r="S294" i="3" s="1"/>
  <c r="T294" i="3" s="1"/>
  <c r="P85" i="3"/>
  <c r="Q85" i="3" s="1"/>
  <c r="R85" i="3" s="1"/>
  <c r="S85" i="3" s="1"/>
  <c r="T85" i="3" s="1"/>
  <c r="P298" i="3"/>
  <c r="Q298" i="3" s="1"/>
  <c r="R298" i="3" s="1"/>
  <c r="L35" i="3"/>
  <c r="N35" i="3"/>
  <c r="O35" i="3" s="1"/>
  <c r="Q266" i="1"/>
  <c r="R266" i="1" s="1"/>
  <c r="S266" i="1" s="1"/>
  <c r="T266" i="1" s="1"/>
  <c r="U266" i="1" s="1"/>
  <c r="Q122" i="1"/>
  <c r="R122" i="1" s="1"/>
  <c r="S122" i="1" s="1"/>
  <c r="Q263" i="1"/>
  <c r="R263" i="1" s="1"/>
  <c r="S263" i="1" s="1"/>
  <c r="Q198" i="1"/>
  <c r="R198" i="1" s="1"/>
  <c r="S198" i="1" s="1"/>
  <c r="Q34" i="1"/>
  <c r="R34" i="1" s="1"/>
  <c r="S34" i="1" s="1"/>
  <c r="T34" i="1" s="1"/>
  <c r="U34" i="1" s="1"/>
  <c r="Q97" i="1"/>
  <c r="Q119" i="1"/>
  <c r="R119" i="1" s="1"/>
  <c r="S119" i="1" s="1"/>
  <c r="Q262" i="1"/>
  <c r="R262" i="1" s="1"/>
  <c r="S262" i="1" s="1"/>
  <c r="T262" i="1" s="1"/>
  <c r="U262" i="1" s="1"/>
  <c r="Q57" i="1"/>
  <c r="R57" i="1" s="1"/>
  <c r="S57" i="1" s="1"/>
  <c r="Q68" i="1"/>
  <c r="R68" i="1" s="1"/>
  <c r="S68" i="1" s="1"/>
  <c r="Q238" i="1"/>
  <c r="R238" i="1" s="1"/>
  <c r="S238" i="1" s="1"/>
  <c r="Q261" i="1"/>
  <c r="R261" i="1" s="1"/>
  <c r="S261" i="1" s="1"/>
  <c r="T261" i="1" s="1"/>
  <c r="U261" i="1" s="1"/>
  <c r="Q33" i="1"/>
  <c r="R33" i="1" s="1"/>
  <c r="S33" i="1" s="1"/>
  <c r="Q55" i="1"/>
  <c r="R55" i="1" s="1"/>
  <c r="S55" i="1" s="1"/>
  <c r="Q158" i="1"/>
  <c r="R158" i="1" s="1"/>
  <c r="S158" i="1" s="1"/>
  <c r="Q142" i="1"/>
  <c r="R142" i="1" s="1"/>
  <c r="S142" i="1" s="1"/>
  <c r="T142" i="1" s="1"/>
  <c r="U142" i="1" s="1"/>
  <c r="Q126" i="1"/>
  <c r="R126" i="1" s="1"/>
  <c r="S126" i="1" s="1"/>
  <c r="T126" i="1" s="1"/>
  <c r="U126" i="1" s="1"/>
  <c r="Q244" i="1"/>
  <c r="R244" i="1" s="1"/>
  <c r="S244" i="1" s="1"/>
  <c r="Q228" i="1"/>
  <c r="R228" i="1" s="1"/>
  <c r="S228" i="1" s="1"/>
  <c r="Q280" i="1"/>
  <c r="R280" i="1" s="1"/>
  <c r="S280" i="1" s="1"/>
  <c r="T280" i="1" s="1"/>
  <c r="U280" i="1" s="1"/>
  <c r="Q155" i="1"/>
  <c r="R155" i="1" s="1"/>
  <c r="S155" i="1" s="1"/>
  <c r="T155" i="1" s="1"/>
  <c r="U155" i="1" s="1"/>
  <c r="Q249" i="1"/>
  <c r="R249" i="1" s="1"/>
  <c r="S249" i="1" s="1"/>
  <c r="Q9" i="1"/>
  <c r="R9" i="1" s="1"/>
  <c r="S9" i="1" s="1"/>
  <c r="Q71" i="1"/>
  <c r="R71" i="1" s="1"/>
  <c r="S71" i="1" s="1"/>
  <c r="T71" i="1" s="1"/>
  <c r="U71" i="1" s="1"/>
  <c r="Q127" i="1"/>
  <c r="R127" i="1" s="1"/>
  <c r="S127" i="1" s="1"/>
  <c r="T127" i="1" s="1"/>
  <c r="U127" i="1" s="1"/>
  <c r="Q72" i="1"/>
  <c r="Q286" i="1"/>
  <c r="R286" i="1" s="1"/>
  <c r="S286" i="1" s="1"/>
  <c r="Q303" i="1"/>
  <c r="R303" i="1" s="1"/>
  <c r="S303" i="1" s="1"/>
  <c r="Q209" i="1"/>
  <c r="R209" i="1" s="1"/>
  <c r="S209" i="1" s="1"/>
  <c r="T209" i="1" s="1"/>
  <c r="U209" i="1" s="1"/>
  <c r="Q22" i="1"/>
  <c r="R22" i="1" s="1"/>
  <c r="S22" i="1" s="1"/>
  <c r="Q300" i="1"/>
  <c r="R300" i="1" s="1"/>
  <c r="Q36" i="1"/>
  <c r="R36" i="1" s="1"/>
  <c r="S36" i="1" s="1"/>
  <c r="T36" i="1" s="1"/>
  <c r="U36" i="1" s="1"/>
  <c r="Q15" i="1"/>
  <c r="R15" i="1" s="1"/>
  <c r="S15" i="1" s="1"/>
  <c r="Q29" i="1"/>
  <c r="R29" i="1" s="1"/>
  <c r="S29" i="1" s="1"/>
  <c r="Q182" i="1"/>
  <c r="Q37" i="1"/>
  <c r="R37" i="1" s="1"/>
  <c r="S37" i="1" s="1"/>
  <c r="T37" i="1" s="1"/>
  <c r="U37" i="1" s="1"/>
  <c r="Q70" i="1"/>
  <c r="R70" i="1" s="1"/>
  <c r="S70" i="1" s="1"/>
  <c r="T70" i="1" s="1"/>
  <c r="U70" i="1" s="1"/>
  <c r="Q130" i="1"/>
  <c r="Q232" i="1"/>
  <c r="R232" i="1" s="1"/>
  <c r="S232" i="1" s="1"/>
  <c r="Q139" i="1"/>
  <c r="Q86" i="1"/>
  <c r="R86" i="1" s="1"/>
  <c r="S86" i="1" s="1"/>
  <c r="T86" i="1" s="1"/>
  <c r="U86" i="1" s="1"/>
  <c r="Q117" i="1"/>
  <c r="Q227" i="1"/>
  <c r="R227" i="1" s="1"/>
  <c r="S227" i="1" s="1"/>
  <c r="Q276" i="1"/>
  <c r="Q115" i="1"/>
  <c r="R115" i="1" s="1"/>
  <c r="S115" i="1" s="1"/>
  <c r="T115" i="1" s="1"/>
  <c r="U115" i="1" s="1"/>
  <c r="Q264" i="1"/>
  <c r="Q189" i="1"/>
  <c r="Q23" i="1"/>
  <c r="R23" i="1" s="1"/>
  <c r="S23" i="1" s="1"/>
  <c r="Q197" i="1"/>
  <c r="R197" i="1" s="1"/>
  <c r="S197" i="1" s="1"/>
  <c r="T197" i="1" s="1"/>
  <c r="Q302" i="1"/>
  <c r="R302" i="1" s="1"/>
  <c r="S302" i="1" s="1"/>
  <c r="Q288" i="1"/>
  <c r="R288" i="1" s="1"/>
  <c r="S288" i="1" s="1"/>
  <c r="T288" i="1" s="1"/>
  <c r="U288" i="1" s="1"/>
  <c r="Q19" i="1"/>
  <c r="R19" i="1" s="1"/>
  <c r="S19" i="1" s="1"/>
  <c r="Q213" i="1"/>
  <c r="R213" i="1" s="1"/>
  <c r="S213" i="1" s="1"/>
  <c r="Q272" i="1"/>
  <c r="R272" i="1" s="1"/>
  <c r="S272" i="1" s="1"/>
  <c r="T272" i="1" s="1"/>
  <c r="U272" i="1" s="1"/>
  <c r="Q306" i="1"/>
  <c r="R306" i="1" s="1"/>
  <c r="S306" i="1" s="1"/>
  <c r="Q12" i="1"/>
  <c r="Q31" i="1"/>
  <c r="R31" i="1" s="1"/>
  <c r="S31" i="1" s="1"/>
  <c r="Q76" i="1"/>
  <c r="R76" i="1" s="1"/>
  <c r="S76" i="1" s="1"/>
  <c r="T76" i="1" s="1"/>
  <c r="U76" i="1" s="1"/>
  <c r="Q152" i="1"/>
  <c r="R152" i="1" s="1"/>
  <c r="S152" i="1" s="1"/>
  <c r="T152" i="1" s="1"/>
  <c r="U152" i="1" s="1"/>
  <c r="Q136" i="1"/>
  <c r="Q120" i="1"/>
  <c r="Q171" i="1"/>
  <c r="R171" i="1" s="1"/>
  <c r="S171" i="1" s="1"/>
  <c r="T171" i="1" s="1"/>
  <c r="U171" i="1" s="1"/>
  <c r="Q284" i="1"/>
  <c r="Q138" i="1"/>
  <c r="Q240" i="1"/>
  <c r="R240" i="1" s="1"/>
  <c r="S240" i="1" s="1"/>
  <c r="Q157" i="1"/>
  <c r="R157" i="1" s="1"/>
  <c r="S157" i="1" s="1"/>
  <c r="T157" i="1" s="1"/>
  <c r="U157" i="1" s="1"/>
  <c r="Q172" i="1"/>
  <c r="R172" i="1" s="1"/>
  <c r="S172" i="1" s="1"/>
  <c r="T172" i="1" s="1"/>
  <c r="U172" i="1" s="1"/>
  <c r="Q211" i="1"/>
  <c r="Q135" i="1"/>
  <c r="Q222" i="1"/>
  <c r="R222" i="1" s="1"/>
  <c r="S222" i="1" s="1"/>
  <c r="T222" i="1" s="1"/>
  <c r="U222" i="1" s="1"/>
  <c r="Q101" i="1"/>
  <c r="Q161" i="1"/>
  <c r="R161" i="1" s="1"/>
  <c r="S161" i="1" s="1"/>
  <c r="Q145" i="1"/>
  <c r="Q129" i="1"/>
  <c r="R129" i="1" s="1"/>
  <c r="S129" i="1" s="1"/>
  <c r="Q113" i="1"/>
  <c r="R113" i="1" s="1"/>
  <c r="S113" i="1" s="1"/>
  <c r="T113" i="1" s="1"/>
  <c r="U113" i="1" s="1"/>
  <c r="Q247" i="1"/>
  <c r="Q231" i="1"/>
  <c r="R231" i="1" s="1"/>
  <c r="S231" i="1" s="1"/>
  <c r="Q215" i="1"/>
  <c r="R215" i="1" s="1"/>
  <c r="S215" i="1" s="1"/>
  <c r="T215" i="1" s="1"/>
  <c r="U215" i="1" s="1"/>
  <c r="Q199" i="1"/>
  <c r="R199" i="1" s="1"/>
  <c r="S199" i="1" s="1"/>
  <c r="T199" i="1" s="1"/>
  <c r="U199" i="1" s="1"/>
  <c r="Q183" i="1"/>
  <c r="R183" i="1" s="1"/>
  <c r="S183" i="1" s="1"/>
  <c r="T183" i="1" s="1"/>
  <c r="U183" i="1" s="1"/>
  <c r="Q54" i="1"/>
  <c r="Q229" i="1"/>
  <c r="R229" i="1" s="1"/>
  <c r="S229" i="1" s="1"/>
  <c r="T229" i="1" s="1"/>
  <c r="U229" i="1" s="1"/>
  <c r="Q80" i="1"/>
  <c r="R80" i="1" s="1"/>
  <c r="S80" i="1" s="1"/>
  <c r="Q156" i="1"/>
  <c r="Q140" i="1"/>
  <c r="Q124" i="1"/>
  <c r="R124" i="1" s="1"/>
  <c r="S124" i="1" s="1"/>
  <c r="T124" i="1" s="1"/>
  <c r="Q250" i="1"/>
  <c r="R250" i="1" s="1"/>
  <c r="S250" i="1" s="1"/>
  <c r="T250" i="1" s="1"/>
  <c r="U250" i="1" s="1"/>
  <c r="Q275" i="1"/>
  <c r="R275" i="1" s="1"/>
  <c r="S275" i="1" s="1"/>
  <c r="Q10" i="1"/>
  <c r="R10" i="1" s="1"/>
  <c r="S10" i="1" s="1"/>
  <c r="Q78" i="1"/>
  <c r="R78" i="1" s="1"/>
  <c r="S78" i="1" s="1"/>
  <c r="T78" i="1" s="1"/>
  <c r="U78" i="1" s="1"/>
  <c r="Q146" i="1"/>
  <c r="R146" i="1" s="1"/>
  <c r="S146" i="1" s="1"/>
  <c r="T146" i="1" s="1"/>
  <c r="U146" i="1" s="1"/>
  <c r="Q248" i="1"/>
  <c r="R248" i="1" s="1"/>
  <c r="S248" i="1" s="1"/>
  <c r="Q13" i="1"/>
  <c r="Q73" i="1"/>
  <c r="R73" i="1" s="1"/>
  <c r="S73" i="1" s="1"/>
  <c r="T73" i="1" s="1"/>
  <c r="U73" i="1" s="1"/>
  <c r="Q149" i="1"/>
  <c r="R149" i="1" s="1"/>
  <c r="S149" i="1" s="1"/>
  <c r="Q243" i="1"/>
  <c r="R243" i="1" s="1"/>
  <c r="S243" i="1" s="1"/>
  <c r="Q195" i="1"/>
  <c r="Q304" i="1"/>
  <c r="R304" i="1" s="1"/>
  <c r="Q241" i="1"/>
  <c r="R241" i="1" s="1"/>
  <c r="S241" i="1" s="1"/>
  <c r="T241" i="1" s="1"/>
  <c r="U241" i="1" s="1"/>
  <c r="Q98" i="1"/>
  <c r="R98" i="1" s="1"/>
  <c r="S98" i="1" s="1"/>
  <c r="Q194" i="1"/>
  <c r="Q69" i="1"/>
  <c r="R69" i="1" s="1"/>
  <c r="S69" i="1" s="1"/>
  <c r="T69" i="1" s="1"/>
  <c r="U69" i="1" s="1"/>
  <c r="Q206" i="1"/>
  <c r="Q190" i="1"/>
  <c r="Q66" i="1"/>
  <c r="R66" i="1" s="1"/>
  <c r="S66" i="1" s="1"/>
  <c r="Q193" i="1"/>
  <c r="R193" i="1" s="1"/>
  <c r="S193" i="1" s="1"/>
  <c r="T193" i="1" s="1"/>
  <c r="Q38" i="1"/>
  <c r="R38" i="1" s="1"/>
  <c r="S38" i="1" s="1"/>
  <c r="Q125" i="1"/>
  <c r="R125" i="1" s="1"/>
  <c r="S125" i="1" s="1"/>
  <c r="Q278" i="1"/>
  <c r="R278" i="1" s="1"/>
  <c r="S278" i="1" s="1"/>
  <c r="Q93" i="1"/>
  <c r="Q217" i="1"/>
  <c r="R217" i="1" s="1"/>
  <c r="S217" i="1" s="1"/>
  <c r="Q271" i="1"/>
  <c r="R271" i="1" s="1"/>
  <c r="S271" i="1" s="1"/>
  <c r="Q201" i="1"/>
  <c r="R201" i="1" s="1"/>
  <c r="S201" i="1" s="1"/>
  <c r="T201" i="1" s="1"/>
  <c r="Q179" i="1"/>
  <c r="R179" i="1" s="1"/>
  <c r="S179" i="1" s="1"/>
  <c r="T179" i="1" s="1"/>
  <c r="U179" i="1" s="1"/>
  <c r="Q267" i="1"/>
  <c r="R267" i="1" s="1"/>
  <c r="S267" i="1" s="1"/>
  <c r="Q32" i="1"/>
  <c r="R32" i="1" s="1"/>
  <c r="S32" i="1" s="1"/>
  <c r="Q268" i="1"/>
  <c r="R268" i="1" s="1"/>
  <c r="S268" i="1" s="1"/>
  <c r="T268" i="1" s="1"/>
  <c r="U268" i="1" s="1"/>
  <c r="Q186" i="1"/>
  <c r="R186" i="1" s="1"/>
  <c r="S186" i="1" s="1"/>
  <c r="Q233" i="1"/>
  <c r="R233" i="1" s="1"/>
  <c r="S233" i="1" s="1"/>
  <c r="Q225" i="1"/>
  <c r="R225" i="1" s="1"/>
  <c r="S225" i="1" s="1"/>
  <c r="Q18" i="1"/>
  <c r="R18" i="1" s="1"/>
  <c r="S18" i="1" s="1"/>
  <c r="T18" i="1" s="1"/>
  <c r="U18" i="1" s="1"/>
  <c r="Q59" i="1"/>
  <c r="R59" i="1" s="1"/>
  <c r="S59" i="1" s="1"/>
  <c r="Q154" i="1"/>
  <c r="Q169" i="1"/>
  <c r="R169" i="1" s="1"/>
  <c r="S169" i="1" s="1"/>
  <c r="Q159" i="1"/>
  <c r="R159" i="1" s="1"/>
  <c r="S159" i="1" s="1"/>
  <c r="T159" i="1" s="1"/>
  <c r="U159" i="1" s="1"/>
  <c r="Q111" i="1"/>
  <c r="R111" i="1" s="1"/>
  <c r="S111" i="1" s="1"/>
  <c r="Q21" i="1"/>
  <c r="Q141" i="1"/>
  <c r="Q251" i="1"/>
  <c r="Q203" i="1"/>
  <c r="R203" i="1" s="1"/>
  <c r="S203" i="1" s="1"/>
  <c r="T203" i="1" s="1"/>
  <c r="U203" i="1" s="1"/>
  <c r="Q56" i="1"/>
  <c r="R56" i="1" s="1"/>
  <c r="S56" i="1" s="1"/>
  <c r="Q202" i="1"/>
  <c r="Q282" i="1"/>
  <c r="R282" i="1" s="1"/>
  <c r="S282" i="1" s="1"/>
  <c r="T282" i="1" s="1"/>
  <c r="U282" i="1" s="1"/>
  <c r="Q8" i="1"/>
  <c r="R8" i="1" s="1"/>
  <c r="S8" i="1" s="1"/>
  <c r="T8" i="1" s="1"/>
  <c r="U8" i="1" s="1"/>
  <c r="I188" i="9"/>
  <c r="S300" i="1"/>
  <c r="S308" i="1"/>
  <c r="S307" i="1"/>
  <c r="S305" i="1"/>
  <c r="S304" i="1"/>
  <c r="S301" i="1"/>
  <c r="R20" i="1"/>
  <c r="S20" i="1" s="1"/>
  <c r="T20" i="1" s="1"/>
  <c r="U20" i="1" s="1"/>
  <c r="R39" i="1"/>
  <c r="S39" i="1" s="1"/>
  <c r="T39" i="1" s="1"/>
  <c r="U39" i="1" s="1"/>
  <c r="R60" i="1"/>
  <c r="S60" i="1" s="1"/>
  <c r="T60" i="1" s="1"/>
  <c r="R72" i="1"/>
  <c r="S72" i="1" s="1"/>
  <c r="T72" i="1" s="1"/>
  <c r="U72" i="1" s="1"/>
  <c r="R252" i="1"/>
  <c r="S252" i="1" s="1"/>
  <c r="T252" i="1" s="1"/>
  <c r="R216" i="1"/>
  <c r="S216" i="1" s="1"/>
  <c r="R205" i="1"/>
  <c r="S205" i="1" s="1"/>
  <c r="T205" i="1" s="1"/>
  <c r="R189" i="1"/>
  <c r="S189" i="1" s="1"/>
  <c r="T189" i="1" s="1"/>
  <c r="R12" i="1"/>
  <c r="S12" i="1" s="1"/>
  <c r="T12" i="1" s="1"/>
  <c r="U12" i="1" s="1"/>
  <c r="R264" i="1"/>
  <c r="S264" i="1" s="1"/>
  <c r="T264" i="1" s="1"/>
  <c r="U264" i="1" s="1"/>
  <c r="R25" i="1"/>
  <c r="S25" i="1" s="1"/>
  <c r="T25" i="1" s="1"/>
  <c r="U25" i="1" s="1"/>
  <c r="R21" i="1"/>
  <c r="S21" i="1" s="1"/>
  <c r="T21" i="1" s="1"/>
  <c r="U21" i="1" s="1"/>
  <c r="R13" i="1"/>
  <c r="S13" i="1" s="1"/>
  <c r="T13" i="1" s="1"/>
  <c r="U13" i="1" s="1"/>
  <c r="R117" i="1"/>
  <c r="S117" i="1" s="1"/>
  <c r="T117" i="1" s="1"/>
  <c r="R116" i="1"/>
  <c r="S116" i="1" s="1"/>
  <c r="T116" i="1" s="1"/>
  <c r="R253" i="1"/>
  <c r="S253" i="1" s="1"/>
  <c r="T253" i="1" s="1"/>
  <c r="R251" i="1"/>
  <c r="S251" i="1" s="1"/>
  <c r="T251" i="1" s="1"/>
  <c r="R247" i="1"/>
  <c r="S247" i="1" s="1"/>
  <c r="T247" i="1" s="1"/>
  <c r="U247" i="1" s="1"/>
  <c r="R211" i="1"/>
  <c r="S211" i="1" s="1"/>
  <c r="T211" i="1" s="1"/>
  <c r="U211" i="1" s="1"/>
  <c r="R195" i="1"/>
  <c r="S195" i="1" s="1"/>
  <c r="T195" i="1" s="1"/>
  <c r="U195" i="1" s="1"/>
  <c r="R276" i="1"/>
  <c r="S276" i="1" s="1"/>
  <c r="T276" i="1" s="1"/>
  <c r="R269" i="1"/>
  <c r="S269" i="1" s="1"/>
  <c r="T269" i="1" s="1"/>
  <c r="R85" i="1"/>
  <c r="S85" i="1" s="1"/>
  <c r="T85" i="1" s="1"/>
  <c r="U85" i="1" s="1"/>
  <c r="R163" i="1"/>
  <c r="S163" i="1" s="1"/>
  <c r="T163" i="1" s="1"/>
  <c r="U163" i="1" s="1"/>
  <c r="R162" i="1"/>
  <c r="S162" i="1" s="1"/>
  <c r="T162" i="1" s="1"/>
  <c r="U162" i="1" s="1"/>
  <c r="R156" i="1"/>
  <c r="S156" i="1" s="1"/>
  <c r="T156" i="1" s="1"/>
  <c r="U156" i="1" s="1"/>
  <c r="R154" i="1"/>
  <c r="S154" i="1" s="1"/>
  <c r="T154" i="1" s="1"/>
  <c r="U154" i="1" s="1"/>
  <c r="R120" i="1"/>
  <c r="S120" i="1" s="1"/>
  <c r="T120" i="1" s="1"/>
  <c r="R114" i="1"/>
  <c r="S114" i="1" s="1"/>
  <c r="T114" i="1" s="1"/>
  <c r="U114" i="1" s="1"/>
  <c r="R214" i="1"/>
  <c r="S214" i="1" s="1"/>
  <c r="T214" i="1" s="1"/>
  <c r="U214" i="1" s="1"/>
  <c r="R293" i="1"/>
  <c r="S293" i="1" s="1"/>
  <c r="T293" i="1" s="1"/>
  <c r="U293" i="1" s="1"/>
  <c r="R291" i="1"/>
  <c r="S291" i="1" s="1"/>
  <c r="T291" i="1" s="1"/>
  <c r="U291" i="1" s="1"/>
  <c r="R289" i="1"/>
  <c r="S289" i="1" s="1"/>
  <c r="T289" i="1" s="1"/>
  <c r="R287" i="1"/>
  <c r="S287" i="1" s="1"/>
  <c r="T287" i="1" s="1"/>
  <c r="U287" i="1" s="1"/>
  <c r="R285" i="1"/>
  <c r="S285" i="1" s="1"/>
  <c r="T285" i="1" s="1"/>
  <c r="U285" i="1" s="1"/>
  <c r="R54" i="1"/>
  <c r="S54" i="1" s="1"/>
  <c r="T54" i="1" s="1"/>
  <c r="U54" i="1" s="1"/>
  <c r="R96" i="1"/>
  <c r="S96" i="1" s="1"/>
  <c r="T96" i="1" s="1"/>
  <c r="U96" i="1" s="1"/>
  <c r="R150" i="1"/>
  <c r="S150" i="1" s="1"/>
  <c r="T150" i="1" s="1"/>
  <c r="U150" i="1" s="1"/>
  <c r="R148" i="1"/>
  <c r="S148" i="1" s="1"/>
  <c r="T148" i="1" s="1"/>
  <c r="U148" i="1" s="1"/>
  <c r="R144" i="1"/>
  <c r="S144" i="1" s="1"/>
  <c r="T144" i="1" s="1"/>
  <c r="U144" i="1" s="1"/>
  <c r="R140" i="1"/>
  <c r="S140" i="1" s="1"/>
  <c r="T140" i="1" s="1"/>
  <c r="U140" i="1" s="1"/>
  <c r="R138" i="1"/>
  <c r="S138" i="1" s="1"/>
  <c r="T138" i="1" s="1"/>
  <c r="U138" i="1" s="1"/>
  <c r="R136" i="1"/>
  <c r="S136" i="1" s="1"/>
  <c r="R134" i="1"/>
  <c r="S134" i="1" s="1"/>
  <c r="T134" i="1" s="1"/>
  <c r="U134" i="1" s="1"/>
  <c r="R132" i="1"/>
  <c r="S132" i="1" s="1"/>
  <c r="T132" i="1" s="1"/>
  <c r="U132" i="1" s="1"/>
  <c r="R130" i="1"/>
  <c r="S130" i="1" s="1"/>
  <c r="T130" i="1" s="1"/>
  <c r="U130" i="1" s="1"/>
  <c r="R220" i="1"/>
  <c r="S220" i="1" s="1"/>
  <c r="T220" i="1" s="1"/>
  <c r="U220" i="1" s="1"/>
  <c r="R212" i="1"/>
  <c r="S212" i="1" s="1"/>
  <c r="T212" i="1" s="1"/>
  <c r="U212" i="1" s="1"/>
  <c r="R284" i="1"/>
  <c r="S284" i="1" s="1"/>
  <c r="T284" i="1" s="1"/>
  <c r="U284" i="1" s="1"/>
  <c r="T290" i="1"/>
  <c r="U290" i="1" s="1"/>
  <c r="T286" i="1"/>
  <c r="U286" i="1" s="1"/>
  <c r="T279" i="1"/>
  <c r="U279" i="1" s="1"/>
  <c r="T281" i="1"/>
  <c r="U281" i="1" s="1"/>
  <c r="T278" i="1"/>
  <c r="U278" i="1" s="1"/>
  <c r="T273" i="1"/>
  <c r="U273" i="1" s="1"/>
  <c r="T265" i="1"/>
  <c r="U265" i="1" s="1"/>
  <c r="T274" i="1"/>
  <c r="U274" i="1" s="1"/>
  <c r="T270" i="1"/>
  <c r="U270" i="1" s="1"/>
  <c r="T271" i="1"/>
  <c r="U271" i="1" s="1"/>
  <c r="T267" i="1"/>
  <c r="U267" i="1" s="1"/>
  <c r="T263" i="1"/>
  <c r="U263" i="1" s="1"/>
  <c r="T275" i="1"/>
  <c r="U275" i="1" s="1"/>
  <c r="T240" i="1"/>
  <c r="U240" i="1" s="1"/>
  <c r="T244" i="1"/>
  <c r="U244" i="1" s="1"/>
  <c r="T248" i="1"/>
  <c r="U248" i="1" s="1"/>
  <c r="T218" i="1"/>
  <c r="U218" i="1" s="1"/>
  <c r="T210" i="1"/>
  <c r="U210" i="1" s="1"/>
  <c r="T254" i="1"/>
  <c r="U254" i="1" s="1"/>
  <c r="T242" i="1"/>
  <c r="U242" i="1" s="1"/>
  <c r="T238" i="1"/>
  <c r="U238" i="1" s="1"/>
  <c r="T236" i="1"/>
  <c r="U236" i="1" s="1"/>
  <c r="T235" i="1"/>
  <c r="U235" i="1" s="1"/>
  <c r="T234" i="1"/>
  <c r="U234" i="1" s="1"/>
  <c r="T233" i="1"/>
  <c r="U233" i="1" s="1"/>
  <c r="T232" i="1"/>
  <c r="U232" i="1" s="1"/>
  <c r="T231" i="1"/>
  <c r="U231" i="1" s="1"/>
  <c r="T230" i="1"/>
  <c r="U230" i="1" s="1"/>
  <c r="T228" i="1"/>
  <c r="U228" i="1" s="1"/>
  <c r="T227" i="1"/>
  <c r="U227" i="1" s="1"/>
  <c r="T226" i="1"/>
  <c r="U226" i="1" s="1"/>
  <c r="T225" i="1"/>
  <c r="U225" i="1" s="1"/>
  <c r="T224" i="1"/>
  <c r="U224" i="1" s="1"/>
  <c r="T223" i="1"/>
  <c r="U223" i="1" s="1"/>
  <c r="T217" i="1"/>
  <c r="U217" i="1" s="1"/>
  <c r="T216" i="1"/>
  <c r="U216" i="1" s="1"/>
  <c r="T239" i="1"/>
  <c r="U239" i="1" s="1"/>
  <c r="T249" i="1"/>
  <c r="U249" i="1" s="1"/>
  <c r="T245" i="1"/>
  <c r="U245" i="1" s="1"/>
  <c r="T243" i="1"/>
  <c r="U243" i="1" s="1"/>
  <c r="T219" i="1"/>
  <c r="U219" i="1" s="1"/>
  <c r="T213" i="1"/>
  <c r="U213" i="1" s="1"/>
  <c r="R208" i="1"/>
  <c r="S208" i="1" s="1"/>
  <c r="R204" i="1"/>
  <c r="S204" i="1" s="1"/>
  <c r="R200" i="1"/>
  <c r="S200" i="1" s="1"/>
  <c r="R196" i="1"/>
  <c r="S196" i="1" s="1"/>
  <c r="R192" i="1"/>
  <c r="S192" i="1" s="1"/>
  <c r="R188" i="1"/>
  <c r="S188" i="1" s="1"/>
  <c r="R184" i="1"/>
  <c r="S184" i="1" s="1"/>
  <c r="R180" i="1"/>
  <c r="S180" i="1" s="1"/>
  <c r="U205" i="1"/>
  <c r="U201" i="1"/>
  <c r="U197" i="1"/>
  <c r="R206" i="1"/>
  <c r="S206" i="1" s="1"/>
  <c r="R202" i="1"/>
  <c r="S202" i="1" s="1"/>
  <c r="R194" i="1"/>
  <c r="S194" i="1" s="1"/>
  <c r="R190" i="1"/>
  <c r="S190" i="1" s="1"/>
  <c r="R182" i="1"/>
  <c r="S182" i="1" s="1"/>
  <c r="T169" i="1"/>
  <c r="U169" i="1" s="1"/>
  <c r="T170" i="1"/>
  <c r="U170" i="1" s="1"/>
  <c r="T161" i="1"/>
  <c r="U161" i="1" s="1"/>
  <c r="T158" i="1"/>
  <c r="U158" i="1" s="1"/>
  <c r="T153" i="1"/>
  <c r="U153" i="1" s="1"/>
  <c r="T160" i="1"/>
  <c r="U160" i="1" s="1"/>
  <c r="T119" i="1"/>
  <c r="U119" i="1" s="1"/>
  <c r="R151" i="1"/>
  <c r="S151" i="1" s="1"/>
  <c r="R147" i="1"/>
  <c r="S147" i="1" s="1"/>
  <c r="R145" i="1"/>
  <c r="S145" i="1" s="1"/>
  <c r="R141" i="1"/>
  <c r="S141" i="1" s="1"/>
  <c r="R139" i="1"/>
  <c r="S139" i="1" s="1"/>
  <c r="R137" i="1"/>
  <c r="S137" i="1" s="1"/>
  <c r="R135" i="1"/>
  <c r="S135" i="1" s="1"/>
  <c r="R133" i="1"/>
  <c r="S133" i="1" s="1"/>
  <c r="R131" i="1"/>
  <c r="S131" i="1" s="1"/>
  <c r="T125" i="1"/>
  <c r="U125" i="1" s="1"/>
  <c r="U128" i="1"/>
  <c r="T122" i="1"/>
  <c r="U122" i="1" s="1"/>
  <c r="U112" i="1"/>
  <c r="T109" i="1"/>
  <c r="U109" i="1" s="1"/>
  <c r="T98" i="1"/>
  <c r="U98" i="1" s="1"/>
  <c r="T84" i="1"/>
  <c r="U84" i="1" s="1"/>
  <c r="T83" i="1"/>
  <c r="U83" i="1" s="1"/>
  <c r="T79" i="1"/>
  <c r="U79" i="1" s="1"/>
  <c r="T67" i="1"/>
  <c r="U67" i="1" s="1"/>
  <c r="T68" i="1"/>
  <c r="U68" i="1" s="1"/>
  <c r="T74" i="1"/>
  <c r="U74" i="1" s="1"/>
  <c r="T77" i="1"/>
  <c r="U77" i="1" s="1"/>
  <c r="T66" i="1"/>
  <c r="U66" i="1" s="1"/>
  <c r="T62" i="1"/>
  <c r="U62" i="1" s="1"/>
  <c r="T58" i="1"/>
  <c r="U58" i="1" s="1"/>
  <c r="T63" i="1"/>
  <c r="U63" i="1" s="1"/>
  <c r="T59" i="1"/>
  <c r="U59" i="1" s="1"/>
  <c r="T55" i="1"/>
  <c r="U55" i="1" s="1"/>
  <c r="T56" i="1"/>
  <c r="U56" i="1" s="1"/>
  <c r="T61" i="1"/>
  <c r="U61" i="1" s="1"/>
  <c r="T57" i="1"/>
  <c r="U57" i="1" s="1"/>
  <c r="T40" i="1"/>
  <c r="U40" i="1" s="1"/>
  <c r="T41" i="1"/>
  <c r="U41" i="1" s="1"/>
  <c r="T42" i="1"/>
  <c r="U42" i="1" s="1"/>
  <c r="T38" i="1"/>
  <c r="U38" i="1" s="1"/>
  <c r="T30" i="1"/>
  <c r="U30" i="1" s="1"/>
  <c r="T31" i="1"/>
  <c r="U31" i="1" s="1"/>
  <c r="T33" i="1"/>
  <c r="U33" i="1" s="1"/>
  <c r="T32" i="1"/>
  <c r="U32" i="1" s="1"/>
  <c r="T29" i="1"/>
  <c r="U29" i="1" s="1"/>
  <c r="T17" i="1"/>
  <c r="U17" i="1" s="1"/>
  <c r="T24" i="1"/>
  <c r="U24" i="1" s="1"/>
  <c r="T26" i="1"/>
  <c r="U26" i="1" s="1"/>
  <c r="T22" i="1"/>
  <c r="U22" i="1" s="1"/>
  <c r="T14" i="1"/>
  <c r="U14" i="1" s="1"/>
  <c r="T23" i="1"/>
  <c r="U23" i="1" s="1"/>
  <c r="T19" i="1"/>
  <c r="U19" i="1" s="1"/>
  <c r="T15" i="1"/>
  <c r="U15" i="1" s="1"/>
  <c r="T10" i="1"/>
  <c r="U10" i="1" s="1"/>
  <c r="T9" i="1"/>
  <c r="U9" i="1" s="1"/>
  <c r="S11" i="3"/>
  <c r="T11" i="3" s="1"/>
  <c r="Q272" i="3"/>
  <c r="R272" i="3" s="1"/>
  <c r="S272" i="3" s="1"/>
  <c r="Q122" i="3"/>
  <c r="R122" i="3" s="1"/>
  <c r="S122" i="3" s="1"/>
  <c r="T122" i="3" s="1"/>
  <c r="Q239" i="3"/>
  <c r="R239" i="3" s="1"/>
  <c r="S239" i="3" s="1"/>
  <c r="T239" i="3" s="1"/>
  <c r="Q300" i="3"/>
  <c r="R300" i="3" s="1"/>
  <c r="S300" i="3" s="1"/>
  <c r="T300" i="3" s="1"/>
  <c r="Q292" i="3"/>
  <c r="R292" i="3" s="1"/>
  <c r="S292" i="3" s="1"/>
  <c r="Q312" i="3"/>
  <c r="R312" i="3" s="1"/>
  <c r="S312" i="3" s="1"/>
  <c r="T312" i="3" s="1"/>
  <c r="Q56" i="3"/>
  <c r="R56" i="3" s="1"/>
  <c r="S56" i="3" s="1"/>
  <c r="Q48" i="3"/>
  <c r="R48" i="3" s="1"/>
  <c r="S48" i="3" s="1"/>
  <c r="Q40" i="3"/>
  <c r="R40" i="3" s="1"/>
  <c r="S40" i="3" s="1"/>
  <c r="T40" i="3" s="1"/>
  <c r="Q109" i="3"/>
  <c r="R109" i="3" s="1"/>
  <c r="S109" i="3" s="1"/>
  <c r="T109" i="3" s="1"/>
  <c r="Q219" i="3"/>
  <c r="R219" i="3" s="1"/>
  <c r="S219" i="3" s="1"/>
  <c r="T219" i="3" s="1"/>
  <c r="Q53" i="3"/>
  <c r="R53" i="3" s="1"/>
  <c r="S53" i="3" s="1"/>
  <c r="Q52" i="3"/>
  <c r="R52" i="3" s="1"/>
  <c r="S52" i="3" s="1"/>
  <c r="Q44" i="3"/>
  <c r="R44" i="3" s="1"/>
  <c r="S44" i="3" s="1"/>
  <c r="T44" i="3" s="1"/>
  <c r="Q73" i="3"/>
  <c r="R73" i="3" s="1"/>
  <c r="S73" i="3" s="1"/>
  <c r="T73" i="3" s="1"/>
  <c r="Q80" i="3"/>
  <c r="R80" i="3" s="1"/>
  <c r="S80" i="3" s="1"/>
  <c r="T80" i="3" s="1"/>
  <c r="Q106" i="3"/>
  <c r="R106" i="3" s="1"/>
  <c r="Q105" i="3"/>
  <c r="R105" i="3" s="1"/>
  <c r="S105" i="3" s="1"/>
  <c r="T105" i="3" s="1"/>
  <c r="Q223" i="3"/>
  <c r="R223" i="3" s="1"/>
  <c r="S223" i="3" s="1"/>
  <c r="T223" i="3" s="1"/>
  <c r="Q62" i="3"/>
  <c r="R62" i="3" s="1"/>
  <c r="S62" i="3" s="1"/>
  <c r="T62" i="3" s="1"/>
  <c r="Q72" i="3"/>
  <c r="R72" i="3" s="1"/>
  <c r="S72" i="3" s="1"/>
  <c r="T72" i="3" s="1"/>
  <c r="Q213" i="3"/>
  <c r="R213" i="3" s="1"/>
  <c r="S213" i="3" s="1"/>
  <c r="T213" i="3" s="1"/>
  <c r="Q209" i="3"/>
  <c r="R209" i="3" s="1"/>
  <c r="S209" i="3" s="1"/>
  <c r="T209" i="3" s="1"/>
  <c r="Q205" i="3"/>
  <c r="R205" i="3" s="1"/>
  <c r="S205" i="3" s="1"/>
  <c r="Q203" i="3"/>
  <c r="R203" i="3" s="1"/>
  <c r="S203" i="3" s="1"/>
  <c r="T203" i="3" s="1"/>
  <c r="Q201" i="3"/>
  <c r="R201" i="3" s="1"/>
  <c r="S201" i="3" s="1"/>
  <c r="T201" i="3" s="1"/>
  <c r="Q199" i="3"/>
  <c r="R199" i="3" s="1"/>
  <c r="S199" i="3" s="1"/>
  <c r="T199" i="3" s="1"/>
  <c r="Q197" i="3"/>
  <c r="R197" i="3" s="1"/>
  <c r="S197" i="3" s="1"/>
  <c r="T197" i="3" s="1"/>
  <c r="Q39" i="3"/>
  <c r="R39" i="3" s="1"/>
  <c r="S39" i="3" s="1"/>
  <c r="T39" i="3" s="1"/>
  <c r="Q79" i="3"/>
  <c r="R79" i="3" s="1"/>
  <c r="S79" i="3" s="1"/>
  <c r="T79" i="3" s="1"/>
  <c r="Q216" i="3"/>
  <c r="R216" i="3" s="1"/>
  <c r="S216" i="3" s="1"/>
  <c r="T216" i="3" s="1"/>
  <c r="Q255" i="3"/>
  <c r="R255" i="3" s="1"/>
  <c r="S255" i="3" s="1"/>
  <c r="T255" i="3" s="1"/>
  <c r="Q284" i="3"/>
  <c r="R284" i="3" s="1"/>
  <c r="S284" i="3" s="1"/>
  <c r="T284" i="3" s="1"/>
  <c r="Q314" i="3"/>
  <c r="R314" i="3" s="1"/>
  <c r="S314" i="3" s="1"/>
  <c r="T314" i="3" s="1"/>
  <c r="S315" i="3"/>
  <c r="T315" i="3" s="1"/>
  <c r="S310" i="3"/>
  <c r="T310" i="3" s="1"/>
  <c r="S311" i="3"/>
  <c r="T311" i="3" s="1"/>
  <c r="S308" i="3"/>
  <c r="T308" i="3" s="1"/>
  <c r="S296" i="3"/>
  <c r="T296" i="3" s="1"/>
  <c r="S301" i="3"/>
  <c r="T301" i="3" s="1"/>
  <c r="S297" i="3"/>
  <c r="T297" i="3" s="1"/>
  <c r="S293" i="3"/>
  <c r="T293" i="3" s="1"/>
  <c r="S289" i="3"/>
  <c r="T289" i="3" s="1"/>
  <c r="S285" i="3"/>
  <c r="T285" i="3" s="1"/>
  <c r="S302" i="3"/>
  <c r="T302" i="3" s="1"/>
  <c r="S298" i="3"/>
  <c r="T298" i="3" s="1"/>
  <c r="S290" i="3"/>
  <c r="T290" i="3" s="1"/>
  <c r="S286" i="3"/>
  <c r="T286" i="3" s="1"/>
  <c r="S288" i="3"/>
  <c r="T288" i="3" s="1"/>
  <c r="S299" i="3"/>
  <c r="T299" i="3" s="1"/>
  <c r="S295" i="3"/>
  <c r="T295" i="3" s="1"/>
  <c r="S291" i="3"/>
  <c r="T291" i="3" s="1"/>
  <c r="S287" i="3"/>
  <c r="T287" i="3" s="1"/>
  <c r="S281" i="3"/>
  <c r="T281" i="3" s="1"/>
  <c r="S271" i="3"/>
  <c r="T271" i="3" s="1"/>
  <c r="S273" i="3"/>
  <c r="T273" i="3" s="1"/>
  <c r="S270" i="3"/>
  <c r="T270" i="3" s="1"/>
  <c r="S266" i="3"/>
  <c r="T266" i="3" s="1"/>
  <c r="S264" i="3"/>
  <c r="T264" i="3" s="1"/>
  <c r="S263" i="3"/>
  <c r="T263" i="3" s="1"/>
  <c r="S256" i="3"/>
  <c r="T256" i="3" s="1"/>
  <c r="S257" i="3"/>
  <c r="T257" i="3" s="1"/>
  <c r="S258" i="3"/>
  <c r="T258" i="3" s="1"/>
  <c r="S253" i="3"/>
  <c r="T253" i="3" s="1"/>
  <c r="S240" i="3"/>
  <c r="T240" i="3" s="1"/>
  <c r="S241" i="3"/>
  <c r="T241" i="3" s="1"/>
  <c r="S237" i="3"/>
  <c r="T237" i="3" s="1"/>
  <c r="S238" i="3"/>
  <c r="T238" i="3" s="1"/>
  <c r="S229" i="3"/>
  <c r="T229" i="3" s="1"/>
  <c r="S230" i="3"/>
  <c r="T230" i="3" s="1"/>
  <c r="S231" i="3"/>
  <c r="T231" i="3" s="1"/>
  <c r="S224" i="3"/>
  <c r="T224" i="3" s="1"/>
  <c r="S220" i="3"/>
  <c r="T220" i="3" s="1"/>
  <c r="S225" i="3"/>
  <c r="T225" i="3" s="1"/>
  <c r="S222" i="3"/>
  <c r="T222" i="3" s="1"/>
  <c r="S218" i="3"/>
  <c r="T218" i="3" s="1"/>
  <c r="S217" i="3"/>
  <c r="T217" i="3" s="1"/>
  <c r="S212" i="3"/>
  <c r="T212" i="3" s="1"/>
  <c r="S210" i="3"/>
  <c r="T210" i="3" s="1"/>
  <c r="S206" i="3"/>
  <c r="T206" i="3" s="1"/>
  <c r="S204" i="3"/>
  <c r="T204" i="3" s="1"/>
  <c r="S202" i="3"/>
  <c r="T202" i="3" s="1"/>
  <c r="S200" i="3"/>
  <c r="T200" i="3" s="1"/>
  <c r="S144" i="3"/>
  <c r="T144" i="3" s="1"/>
  <c r="S120" i="3"/>
  <c r="T120" i="3" s="1"/>
  <c r="S121" i="3"/>
  <c r="T121" i="3" s="1"/>
  <c r="S110" i="3"/>
  <c r="T110" i="3" s="1"/>
  <c r="S108" i="3"/>
  <c r="T108" i="3" s="1"/>
  <c r="S104" i="3"/>
  <c r="T104" i="3" s="1"/>
  <c r="S93" i="3"/>
  <c r="T93" i="3" s="1"/>
  <c r="S95" i="3"/>
  <c r="T95" i="3" s="1"/>
  <c r="S92" i="3"/>
  <c r="T92" i="3" s="1"/>
  <c r="S94" i="3"/>
  <c r="T94" i="3" s="1"/>
  <c r="S86" i="3"/>
  <c r="T86" i="3" s="1"/>
  <c r="S88" i="3"/>
  <c r="T88" i="3" s="1"/>
  <c r="S82" i="3"/>
  <c r="T82" i="3" s="1"/>
  <c r="S65" i="3"/>
  <c r="T65" i="3" s="1"/>
  <c r="S64" i="3"/>
  <c r="T64" i="3" s="1"/>
  <c r="S55" i="3"/>
  <c r="T55" i="3" s="1"/>
  <c r="S47" i="3"/>
  <c r="T47" i="3" s="1"/>
  <c r="S43" i="3"/>
  <c r="T43" i="3" s="1"/>
  <c r="S51" i="3"/>
  <c r="T51" i="3" s="1"/>
  <c r="S57" i="3"/>
  <c r="T57" i="3" s="1"/>
  <c r="S49" i="3"/>
  <c r="T49" i="3" s="1"/>
  <c r="S41" i="3"/>
  <c r="T41" i="3" s="1"/>
  <c r="S59" i="3"/>
  <c r="T59" i="3" s="1"/>
  <c r="S58" i="3"/>
  <c r="T58" i="3" s="1"/>
  <c r="S54" i="3"/>
  <c r="T54" i="3" s="1"/>
  <c r="S50" i="3"/>
  <c r="T50" i="3" s="1"/>
  <c r="S46" i="3"/>
  <c r="T46" i="3" s="1"/>
  <c r="S42" i="3"/>
  <c r="T42" i="3" s="1"/>
  <c r="S34" i="3"/>
  <c r="T34" i="3" s="1"/>
  <c r="S30" i="3"/>
  <c r="T30" i="3" s="1"/>
  <c r="S26" i="3"/>
  <c r="T26" i="3" s="1"/>
  <c r="S22" i="3"/>
  <c r="T22" i="3" s="1"/>
  <c r="S18" i="3"/>
  <c r="T18" i="3" s="1"/>
  <c r="S14" i="3"/>
  <c r="T14" i="3" s="1"/>
  <c r="P13" i="3" l="1"/>
  <c r="Q13" i="3" s="1"/>
  <c r="R13" i="3" s="1"/>
  <c r="S13" i="3" s="1"/>
  <c r="T13" i="3" s="1"/>
  <c r="P27" i="3"/>
  <c r="Q27" i="3" s="1"/>
  <c r="R27" i="3" s="1"/>
  <c r="S27" i="3" s="1"/>
  <c r="T27" i="3" s="1"/>
  <c r="P17" i="3"/>
  <c r="Q17" i="3" s="1"/>
  <c r="R17" i="3" s="1"/>
  <c r="S17" i="3" s="1"/>
  <c r="T17" i="3" s="1"/>
  <c r="P12" i="3"/>
  <c r="Q12" i="3" s="1"/>
  <c r="R12" i="3" s="1"/>
  <c r="S12" i="3" s="1"/>
  <c r="T12" i="3" s="1"/>
  <c r="P25" i="3"/>
  <c r="Q25" i="3" s="1"/>
  <c r="R25" i="3" s="1"/>
  <c r="S25" i="3" s="1"/>
  <c r="T25" i="3" s="1"/>
  <c r="P23" i="3"/>
  <c r="Q23" i="3" s="1"/>
  <c r="R23" i="3" s="1"/>
  <c r="S23" i="3" s="1"/>
  <c r="T23" i="3" s="1"/>
  <c r="U185" i="1"/>
  <c r="P35" i="3"/>
  <c r="Q35" i="3" s="1"/>
  <c r="R35" i="3" s="1"/>
  <c r="S35" i="3" s="1"/>
  <c r="P33" i="3"/>
  <c r="Q33" i="3" s="1"/>
  <c r="R33" i="3" s="1"/>
  <c r="S33" i="3" s="1"/>
  <c r="T33" i="3" s="1"/>
  <c r="P19" i="3"/>
  <c r="Q19" i="3" s="1"/>
  <c r="R19" i="3" s="1"/>
  <c r="U181" i="1"/>
  <c r="P28" i="3"/>
  <c r="Q28" i="3" s="1"/>
  <c r="R28" i="3" s="1"/>
  <c r="S28" i="3" s="1"/>
  <c r="T28" i="3" s="1"/>
  <c r="P15" i="3"/>
  <c r="Q15" i="3" s="1"/>
  <c r="R15" i="3" s="1"/>
  <c r="S15" i="3" s="1"/>
  <c r="T15" i="3" s="1"/>
  <c r="P36" i="3"/>
  <c r="Q36" i="3" s="1"/>
  <c r="R36" i="3" s="1"/>
  <c r="S36" i="3" s="1"/>
  <c r="T36" i="3" s="1"/>
  <c r="P20" i="3"/>
  <c r="Q20" i="3" s="1"/>
  <c r="R20" i="3" s="1"/>
  <c r="S20" i="3" s="1"/>
  <c r="T20" i="3" s="1"/>
  <c r="P24" i="3"/>
  <c r="Q24" i="3" s="1"/>
  <c r="R24" i="3" s="1"/>
  <c r="S24" i="3" s="1"/>
  <c r="T24" i="3" s="1"/>
  <c r="P21" i="3"/>
  <c r="Q21" i="3" s="1"/>
  <c r="R21" i="3" s="1"/>
  <c r="S21" i="3" s="1"/>
  <c r="T21" i="3" s="1"/>
  <c r="P31" i="3"/>
  <c r="Q31" i="3" s="1"/>
  <c r="R31" i="3" s="1"/>
  <c r="S31" i="3" s="1"/>
  <c r="T31" i="3" s="1"/>
  <c r="P16" i="3"/>
  <c r="Q16" i="3" s="1"/>
  <c r="R16" i="3" s="1"/>
  <c r="S16" i="3" s="1"/>
  <c r="T16" i="3" s="1"/>
  <c r="U193" i="1"/>
  <c r="U124" i="1"/>
  <c r="U269" i="1"/>
  <c r="T221" i="1"/>
  <c r="U221" i="1" s="1"/>
  <c r="U117" i="1"/>
  <c r="U120" i="1"/>
  <c r="T306" i="3"/>
  <c r="T251" i="3"/>
  <c r="T234" i="3"/>
  <c r="S106" i="3"/>
  <c r="T106" i="3" s="1"/>
  <c r="T70" i="3"/>
  <c r="T52" i="3"/>
  <c r="T35" i="3"/>
  <c r="T301" i="1"/>
  <c r="U301" i="1" s="1"/>
  <c r="T303" i="1"/>
  <c r="U303" i="1" s="1"/>
  <c r="T305" i="1"/>
  <c r="U305" i="1" s="1"/>
  <c r="T307" i="1"/>
  <c r="U307" i="1" s="1"/>
  <c r="T300" i="1"/>
  <c r="U300" i="1" s="1"/>
  <c r="T302" i="1"/>
  <c r="U302" i="1" s="1"/>
  <c r="T304" i="1"/>
  <c r="U304" i="1" s="1"/>
  <c r="T306" i="1"/>
  <c r="U306" i="1" s="1"/>
  <c r="T308" i="1"/>
  <c r="U308" i="1" s="1"/>
  <c r="U189" i="1"/>
  <c r="U251" i="1"/>
  <c r="U252" i="1"/>
  <c r="U60" i="1"/>
  <c r="T80" i="1"/>
  <c r="U80" i="1" s="1"/>
  <c r="T136" i="1"/>
  <c r="U136" i="1" s="1"/>
  <c r="U253" i="1"/>
  <c r="U276" i="1"/>
  <c r="U289" i="1"/>
  <c r="U116" i="1"/>
  <c r="T182" i="1"/>
  <c r="U182" i="1" s="1"/>
  <c r="T188" i="1"/>
  <c r="U188" i="1" s="1"/>
  <c r="T186" i="1"/>
  <c r="U186" i="1" s="1"/>
  <c r="T202" i="1"/>
  <c r="U202" i="1" s="1"/>
  <c r="T192" i="1"/>
  <c r="U192" i="1" s="1"/>
  <c r="T208" i="1"/>
  <c r="U208" i="1" s="1"/>
  <c r="T190" i="1"/>
  <c r="U190" i="1" s="1"/>
  <c r="T206" i="1"/>
  <c r="U206" i="1" s="1"/>
  <c r="T180" i="1"/>
  <c r="U180" i="1" s="1"/>
  <c r="T196" i="1"/>
  <c r="U196" i="1" s="1"/>
  <c r="T198" i="1"/>
  <c r="U198" i="1" s="1"/>
  <c r="T204" i="1"/>
  <c r="U204" i="1" s="1"/>
  <c r="T194" i="1"/>
  <c r="U194" i="1" s="1"/>
  <c r="T184" i="1"/>
  <c r="U184" i="1" s="1"/>
  <c r="T200" i="1"/>
  <c r="U200" i="1" s="1"/>
  <c r="T131" i="1"/>
  <c r="U131" i="1" s="1"/>
  <c r="T147" i="1"/>
  <c r="U147" i="1" s="1"/>
  <c r="T141" i="1"/>
  <c r="U141" i="1" s="1"/>
  <c r="T149" i="1"/>
  <c r="U149" i="1" s="1"/>
  <c r="T135" i="1"/>
  <c r="U135" i="1" s="1"/>
  <c r="T143" i="1"/>
  <c r="U143" i="1" s="1"/>
  <c r="T151" i="1"/>
  <c r="U151" i="1" s="1"/>
  <c r="T139" i="1"/>
  <c r="U139" i="1" s="1"/>
  <c r="T133" i="1"/>
  <c r="U133" i="1" s="1"/>
  <c r="T111" i="1"/>
  <c r="U111" i="1" s="1"/>
  <c r="T129" i="1"/>
  <c r="U129" i="1" s="1"/>
  <c r="T137" i="1"/>
  <c r="U137" i="1" s="1"/>
  <c r="T145" i="1"/>
  <c r="U145" i="1" s="1"/>
  <c r="T48" i="3"/>
  <c r="T56" i="3"/>
  <c r="S19" i="3"/>
  <c r="T19" i="3" s="1"/>
  <c r="T53" i="3"/>
  <c r="T205" i="3"/>
  <c r="S265" i="3"/>
  <c r="T265" i="3" s="1"/>
  <c r="T272" i="3"/>
  <c r="T268" i="3" s="1"/>
  <c r="T292" i="3"/>
  <c r="T279" i="3" s="1"/>
  <c r="T276" i="3" l="1"/>
  <c r="U295" i="1"/>
  <c r="T67" i="3"/>
  <c r="T316" i="3"/>
  <c r="T260" i="3"/>
  <c r="U311" i="1"/>
  <c r="U256" i="1"/>
  <c r="U88" i="1"/>
  <c r="I316" i="3" l="1"/>
  <c r="J311" i="1" l="1"/>
  <c r="J294" i="1" l="1"/>
  <c r="Y44" i="10" l="1"/>
  <c r="X44" i="10"/>
  <c r="W44" i="10"/>
  <c r="V44" i="10"/>
  <c r="U44" i="10"/>
  <c r="T44" i="10"/>
  <c r="S44" i="10"/>
  <c r="R44" i="10"/>
  <c r="Q44" i="10"/>
  <c r="P44" i="10"/>
  <c r="O44" i="10"/>
  <c r="N44" i="10"/>
  <c r="M44" i="10"/>
  <c r="L44" i="10"/>
  <c r="K44" i="10"/>
  <c r="J44" i="10"/>
  <c r="I44" i="10"/>
  <c r="H44" i="10"/>
  <c r="G44" i="10"/>
  <c r="F44" i="10"/>
  <c r="E44" i="10"/>
  <c r="D44" i="10"/>
  <c r="B44" i="10"/>
  <c r="Z43" i="10"/>
  <c r="C43" i="10"/>
  <c r="Z42" i="10"/>
  <c r="C42" i="10"/>
  <c r="Z41" i="10"/>
  <c r="C41" i="10"/>
  <c r="Z40" i="10"/>
  <c r="C40" i="10"/>
  <c r="Z39" i="10"/>
  <c r="C39" i="10"/>
  <c r="Z38" i="10"/>
  <c r="C38" i="10"/>
  <c r="Z37" i="10"/>
  <c r="C37" i="10"/>
  <c r="Z36" i="10"/>
  <c r="C36" i="10"/>
  <c r="Z35" i="10"/>
  <c r="C35" i="10"/>
  <c r="Z34" i="10"/>
  <c r="C34" i="10"/>
  <c r="Z33" i="10"/>
  <c r="C33" i="10"/>
  <c r="Z32" i="10"/>
  <c r="C32" i="10"/>
  <c r="Z31" i="10"/>
  <c r="C31" i="10"/>
  <c r="Z30" i="10"/>
  <c r="C30" i="10"/>
  <c r="Z29" i="10"/>
  <c r="C29" i="10"/>
  <c r="Z28" i="10"/>
  <c r="C28" i="10"/>
  <c r="Z27" i="10"/>
  <c r="C27" i="10"/>
  <c r="Z26" i="10"/>
  <c r="C26" i="10"/>
  <c r="Z25" i="10"/>
  <c r="C25" i="10"/>
  <c r="Z24" i="10"/>
  <c r="C24" i="10"/>
  <c r="Z23" i="10"/>
  <c r="C23" i="10"/>
  <c r="Z22" i="10"/>
  <c r="C22" i="10"/>
  <c r="Z21" i="10"/>
  <c r="C21" i="10"/>
  <c r="Z20" i="10"/>
  <c r="C20" i="10"/>
  <c r="Z19" i="10"/>
  <c r="C19" i="10"/>
  <c r="Z18" i="10"/>
  <c r="C18" i="10"/>
  <c r="Z17" i="10"/>
  <c r="C17" i="10"/>
  <c r="Z16" i="10"/>
  <c r="C16" i="10"/>
  <c r="Z15" i="10"/>
  <c r="C15" i="10"/>
  <c r="Z14" i="10"/>
  <c r="C14" i="10"/>
  <c r="Z13" i="10"/>
  <c r="C13" i="10"/>
  <c r="Z12" i="10"/>
  <c r="C12" i="10"/>
  <c r="Z11" i="10"/>
  <c r="C11" i="10"/>
  <c r="Z10" i="10"/>
  <c r="C10" i="10"/>
  <c r="Z9" i="10"/>
  <c r="C9" i="10"/>
  <c r="Z8" i="10"/>
  <c r="C8" i="10"/>
  <c r="Z7" i="10"/>
  <c r="C7" i="10"/>
  <c r="Z6" i="10"/>
  <c r="C6" i="10"/>
  <c r="B188" i="9"/>
  <c r="F186" i="9"/>
  <c r="F184" i="9"/>
  <c r="G184" i="9" s="1"/>
  <c r="H184" i="9" s="1"/>
  <c r="F183" i="9"/>
  <c r="G183" i="9" s="1"/>
  <c r="H183" i="9" s="1"/>
  <c r="F182" i="9"/>
  <c r="G182" i="9" s="1"/>
  <c r="F181" i="9"/>
  <c r="G181" i="9" s="1"/>
  <c r="H181" i="9" s="1"/>
  <c r="F180" i="9"/>
  <c r="G180" i="9" s="1"/>
  <c r="H180" i="9" s="1"/>
  <c r="F179" i="9"/>
  <c r="G179" i="9" s="1"/>
  <c r="H179" i="9" s="1"/>
  <c r="F178" i="9"/>
  <c r="G178" i="9" s="1"/>
  <c r="H178" i="9" s="1"/>
  <c r="F177" i="9"/>
  <c r="G177" i="9" s="1"/>
  <c r="H177" i="9" s="1"/>
  <c r="F176" i="9"/>
  <c r="G176" i="9" s="1"/>
  <c r="H176" i="9" s="1"/>
  <c r="F175" i="9"/>
  <c r="G175" i="9" s="1"/>
  <c r="H175" i="9" s="1"/>
  <c r="F174" i="9"/>
  <c r="G174" i="9" s="1"/>
  <c r="F173" i="9"/>
  <c r="G173" i="9" s="1"/>
  <c r="H173" i="9" s="1"/>
  <c r="F172" i="9"/>
  <c r="G172" i="9" s="1"/>
  <c r="H172" i="9" s="1"/>
  <c r="F171" i="9"/>
  <c r="G171" i="9" s="1"/>
  <c r="H171" i="9" s="1"/>
  <c r="F170" i="9"/>
  <c r="G170" i="9" s="1"/>
  <c r="H170" i="9" s="1"/>
  <c r="F169" i="9"/>
  <c r="G169" i="9" s="1"/>
  <c r="H169" i="9" s="1"/>
  <c r="F168" i="9"/>
  <c r="G168" i="9" s="1"/>
  <c r="F167" i="9"/>
  <c r="G167" i="9" s="1"/>
  <c r="H167" i="9" s="1"/>
  <c r="F166" i="9"/>
  <c r="G166" i="9" s="1"/>
  <c r="H166" i="9" s="1"/>
  <c r="F165" i="9"/>
  <c r="G165" i="9" s="1"/>
  <c r="H165" i="9" s="1"/>
  <c r="F164" i="9"/>
  <c r="G164" i="9" s="1"/>
  <c r="H164" i="9" s="1"/>
  <c r="F163" i="9"/>
  <c r="G163" i="9" s="1"/>
  <c r="H163" i="9" s="1"/>
  <c r="F162" i="9"/>
  <c r="G162" i="9" s="1"/>
  <c r="H162" i="9" s="1"/>
  <c r="F161" i="9"/>
  <c r="G161" i="9" s="1"/>
  <c r="H161" i="9" s="1"/>
  <c r="F160" i="9"/>
  <c r="G160" i="9" s="1"/>
  <c r="H160" i="9" s="1"/>
  <c r="F159" i="9"/>
  <c r="G159" i="9" s="1"/>
  <c r="H159" i="9" s="1"/>
  <c r="F158" i="9"/>
  <c r="G158" i="9" s="1"/>
  <c r="H158" i="9" s="1"/>
  <c r="F157" i="9"/>
  <c r="G157" i="9" s="1"/>
  <c r="H157" i="9" s="1"/>
  <c r="F156" i="9"/>
  <c r="G156" i="9" s="1"/>
  <c r="F155" i="9"/>
  <c r="G155" i="9" s="1"/>
  <c r="H155" i="9" s="1"/>
  <c r="F154" i="9"/>
  <c r="G154" i="9" s="1"/>
  <c r="H154" i="9" s="1"/>
  <c r="F153" i="9"/>
  <c r="G153" i="9" s="1"/>
  <c r="H153" i="9" s="1"/>
  <c r="F152" i="9"/>
  <c r="G152" i="9" s="1"/>
  <c r="H152" i="9" s="1"/>
  <c r="F151" i="9"/>
  <c r="G151" i="9" s="1"/>
  <c r="H151" i="9" s="1"/>
  <c r="F150" i="9"/>
  <c r="G150" i="9" s="1"/>
  <c r="H150" i="9" s="1"/>
  <c r="F149" i="9"/>
  <c r="G149" i="9" s="1"/>
  <c r="H149" i="9" s="1"/>
  <c r="F148" i="9"/>
  <c r="G148" i="9" s="1"/>
  <c r="H148" i="9" s="1"/>
  <c r="F147" i="9"/>
  <c r="G147" i="9" s="1"/>
  <c r="H147" i="9" s="1"/>
  <c r="F146" i="9"/>
  <c r="G146" i="9" s="1"/>
  <c r="H146" i="9" s="1"/>
  <c r="F145" i="9"/>
  <c r="G145" i="9" s="1"/>
  <c r="H145" i="9" s="1"/>
  <c r="F144" i="9"/>
  <c r="G144" i="9" s="1"/>
  <c r="H144" i="9" s="1"/>
  <c r="F143" i="9"/>
  <c r="G143" i="9" s="1"/>
  <c r="H143" i="9" s="1"/>
  <c r="F142" i="9"/>
  <c r="G142" i="9" s="1"/>
  <c r="H142" i="9" s="1"/>
  <c r="F141" i="9"/>
  <c r="G141" i="9" s="1"/>
  <c r="H141" i="9" s="1"/>
  <c r="F140" i="9"/>
  <c r="G140" i="9" s="1"/>
  <c r="H140" i="9" s="1"/>
  <c r="F139" i="9"/>
  <c r="G139" i="9" s="1"/>
  <c r="H139" i="9" s="1"/>
  <c r="F138" i="9"/>
  <c r="G138" i="9" s="1"/>
  <c r="H138" i="9" s="1"/>
  <c r="F137" i="9"/>
  <c r="G137" i="9" s="1"/>
  <c r="H137" i="9" s="1"/>
  <c r="F136" i="9"/>
  <c r="G136" i="9" s="1"/>
  <c r="H136" i="9" s="1"/>
  <c r="F135" i="9"/>
  <c r="G135" i="9" s="1"/>
  <c r="H135" i="9" s="1"/>
  <c r="F134" i="9"/>
  <c r="G134" i="9" s="1"/>
  <c r="H134" i="9" s="1"/>
  <c r="F133" i="9"/>
  <c r="G133" i="9" s="1"/>
  <c r="H133" i="9" s="1"/>
  <c r="F132" i="9"/>
  <c r="G132" i="9" s="1"/>
  <c r="H132" i="9" s="1"/>
  <c r="F131" i="9"/>
  <c r="G131" i="9" s="1"/>
  <c r="H131" i="9" s="1"/>
  <c r="F130" i="9"/>
  <c r="G130" i="9" s="1"/>
  <c r="H130" i="9" s="1"/>
  <c r="F129" i="9"/>
  <c r="G129" i="9" s="1"/>
  <c r="H129" i="9" s="1"/>
  <c r="F128" i="9"/>
  <c r="G128" i="9" s="1"/>
  <c r="H128" i="9" s="1"/>
  <c r="F127" i="9"/>
  <c r="G127" i="9" s="1"/>
  <c r="H127" i="9" s="1"/>
  <c r="F126" i="9"/>
  <c r="G126" i="9" s="1"/>
  <c r="H126" i="9" s="1"/>
  <c r="F125" i="9"/>
  <c r="G125" i="9" s="1"/>
  <c r="H125" i="9" s="1"/>
  <c r="F124" i="9"/>
  <c r="G124" i="9" s="1"/>
  <c r="H124" i="9" s="1"/>
  <c r="F123" i="9"/>
  <c r="G123" i="9" s="1"/>
  <c r="H123" i="9" s="1"/>
  <c r="F122" i="9"/>
  <c r="G122" i="9" s="1"/>
  <c r="H122" i="9" s="1"/>
  <c r="F121" i="9"/>
  <c r="G121" i="9" s="1"/>
  <c r="H121" i="9" s="1"/>
  <c r="F120" i="9"/>
  <c r="G120" i="9" s="1"/>
  <c r="H120" i="9" s="1"/>
  <c r="F119" i="9"/>
  <c r="G119" i="9" s="1"/>
  <c r="H119" i="9" s="1"/>
  <c r="F118" i="9"/>
  <c r="G118" i="9" s="1"/>
  <c r="H118" i="9" s="1"/>
  <c r="F117" i="9"/>
  <c r="G117" i="9" s="1"/>
  <c r="H117" i="9" s="1"/>
  <c r="F116" i="9"/>
  <c r="G116" i="9" s="1"/>
  <c r="H116" i="9" s="1"/>
  <c r="F115" i="9"/>
  <c r="G115" i="9" s="1"/>
  <c r="H115" i="9" s="1"/>
  <c r="F114" i="9"/>
  <c r="G114" i="9" s="1"/>
  <c r="H114" i="9" s="1"/>
  <c r="F113" i="9"/>
  <c r="G113" i="9" s="1"/>
  <c r="H113" i="9" s="1"/>
  <c r="F112" i="9"/>
  <c r="G112" i="9" s="1"/>
  <c r="H112" i="9" s="1"/>
  <c r="F111" i="9"/>
  <c r="G111" i="9" s="1"/>
  <c r="H111" i="9" s="1"/>
  <c r="F110" i="9"/>
  <c r="G110" i="9" s="1"/>
  <c r="H110" i="9" s="1"/>
  <c r="F109" i="9"/>
  <c r="G109" i="9" s="1"/>
  <c r="H109" i="9" s="1"/>
  <c r="F108" i="9"/>
  <c r="G108" i="9" s="1"/>
  <c r="H108" i="9" s="1"/>
  <c r="F107" i="9"/>
  <c r="G107" i="9" s="1"/>
  <c r="H107" i="9" s="1"/>
  <c r="F106" i="9"/>
  <c r="G106" i="9" s="1"/>
  <c r="H106" i="9" s="1"/>
  <c r="F105" i="9"/>
  <c r="G105" i="9" s="1"/>
  <c r="H105" i="9" s="1"/>
  <c r="F104" i="9"/>
  <c r="G104" i="9" s="1"/>
  <c r="H104" i="9" s="1"/>
  <c r="F103" i="9"/>
  <c r="G103" i="9" s="1"/>
  <c r="H103" i="9" s="1"/>
  <c r="F102" i="9"/>
  <c r="G102" i="9" s="1"/>
  <c r="H102" i="9" s="1"/>
  <c r="F101" i="9"/>
  <c r="F99" i="9"/>
  <c r="G99" i="9" s="1"/>
  <c r="H99" i="9" s="1"/>
  <c r="F98" i="9"/>
  <c r="G98" i="9" s="1"/>
  <c r="H98" i="9" s="1"/>
  <c r="F97" i="9"/>
  <c r="G97" i="9" s="1"/>
  <c r="H97" i="9" s="1"/>
  <c r="F96" i="9"/>
  <c r="G96" i="9" s="1"/>
  <c r="H96" i="9" s="1"/>
  <c r="F95" i="9"/>
  <c r="G95" i="9" s="1"/>
  <c r="H95" i="9" s="1"/>
  <c r="F94" i="9"/>
  <c r="G94" i="9" s="1"/>
  <c r="H94" i="9" s="1"/>
  <c r="F93" i="9"/>
  <c r="G93" i="9" s="1"/>
  <c r="H93" i="9" s="1"/>
  <c r="F92" i="9"/>
  <c r="G92" i="9" s="1"/>
  <c r="H92" i="9" s="1"/>
  <c r="F91" i="9"/>
  <c r="G91" i="9" s="1"/>
  <c r="H91" i="9" s="1"/>
  <c r="F90" i="9"/>
  <c r="G90" i="9" s="1"/>
  <c r="H90" i="9" s="1"/>
  <c r="F89" i="9"/>
  <c r="G89" i="9" s="1"/>
  <c r="H89" i="9" s="1"/>
  <c r="F88" i="9"/>
  <c r="G88" i="9" s="1"/>
  <c r="H88" i="9" s="1"/>
  <c r="F87" i="9"/>
  <c r="G87" i="9" s="1"/>
  <c r="F86" i="9"/>
  <c r="G86" i="9" s="1"/>
  <c r="F85" i="9"/>
  <c r="G85" i="9" s="1"/>
  <c r="H85" i="9" s="1"/>
  <c r="F84" i="9"/>
  <c r="G84" i="9" s="1"/>
  <c r="H84" i="9" s="1"/>
  <c r="F83" i="9"/>
  <c r="G83" i="9" s="1"/>
  <c r="H83" i="9" s="1"/>
  <c r="F82" i="9"/>
  <c r="G82" i="9" s="1"/>
  <c r="H82" i="9" s="1"/>
  <c r="F81" i="9"/>
  <c r="G81" i="9" s="1"/>
  <c r="H81" i="9" s="1"/>
  <c r="F80" i="9"/>
  <c r="G80" i="9" s="1"/>
  <c r="H80" i="9" s="1"/>
  <c r="F79" i="9"/>
  <c r="G79" i="9" s="1"/>
  <c r="H79" i="9" s="1"/>
  <c r="F78" i="9"/>
  <c r="G78" i="9" s="1"/>
  <c r="H78" i="9" s="1"/>
  <c r="F77" i="9"/>
  <c r="G77" i="9" s="1"/>
  <c r="H77" i="9" s="1"/>
  <c r="F76" i="9"/>
  <c r="G76" i="9" s="1"/>
  <c r="H76" i="9" s="1"/>
  <c r="F75" i="9"/>
  <c r="G75" i="9" s="1"/>
  <c r="H75" i="9" s="1"/>
  <c r="F74" i="9"/>
  <c r="G74" i="9" s="1"/>
  <c r="H74" i="9" s="1"/>
  <c r="F73" i="9"/>
  <c r="G73" i="9" s="1"/>
  <c r="F72" i="9"/>
  <c r="G72" i="9" s="1"/>
  <c r="H72" i="9" s="1"/>
  <c r="F71" i="9"/>
  <c r="G71" i="9" s="1"/>
  <c r="H71" i="9" s="1"/>
  <c r="F70" i="9"/>
  <c r="G70" i="9" s="1"/>
  <c r="H70" i="9" s="1"/>
  <c r="F69" i="9"/>
  <c r="G69" i="9" s="1"/>
  <c r="H69" i="9" s="1"/>
  <c r="F68" i="9"/>
  <c r="G68" i="9" s="1"/>
  <c r="H68" i="9" s="1"/>
  <c r="F67" i="9"/>
  <c r="G67" i="9" s="1"/>
  <c r="H67" i="9" s="1"/>
  <c r="F66" i="9"/>
  <c r="G66" i="9" s="1"/>
  <c r="H66" i="9" s="1"/>
  <c r="F65" i="9"/>
  <c r="G65" i="9" s="1"/>
  <c r="H65" i="9" s="1"/>
  <c r="F64" i="9"/>
  <c r="G64" i="9" s="1"/>
  <c r="F63" i="9"/>
  <c r="G63" i="9" s="1"/>
  <c r="H63" i="9" s="1"/>
  <c r="F62" i="9"/>
  <c r="G62" i="9" s="1"/>
  <c r="H62" i="9" s="1"/>
  <c r="F61" i="9"/>
  <c r="G61" i="9" s="1"/>
  <c r="H61" i="9" s="1"/>
  <c r="F60" i="9"/>
  <c r="G60" i="9" s="1"/>
  <c r="H60" i="9" s="1"/>
  <c r="F59" i="9"/>
  <c r="G59" i="9" s="1"/>
  <c r="H59" i="9" s="1"/>
  <c r="F58" i="9"/>
  <c r="G58" i="9" s="1"/>
  <c r="H58" i="9" s="1"/>
  <c r="F57" i="9"/>
  <c r="G57" i="9" s="1"/>
  <c r="H57" i="9" s="1"/>
  <c r="F56" i="9"/>
  <c r="G56" i="9" s="1"/>
  <c r="F55" i="9"/>
  <c r="G55" i="9" s="1"/>
  <c r="H55" i="9" s="1"/>
  <c r="F54" i="9"/>
  <c r="G54" i="9" s="1"/>
  <c r="H54" i="9" s="1"/>
  <c r="F53" i="9"/>
  <c r="G53" i="9" s="1"/>
  <c r="H53" i="9" s="1"/>
  <c r="F52" i="9"/>
  <c r="G52" i="9" s="1"/>
  <c r="H52" i="9" s="1"/>
  <c r="F51" i="9"/>
  <c r="G51" i="9" s="1"/>
  <c r="H51" i="9" s="1"/>
  <c r="F50" i="9"/>
  <c r="G50" i="9" s="1"/>
  <c r="H50" i="9" s="1"/>
  <c r="F49" i="9"/>
  <c r="G49" i="9" s="1"/>
  <c r="H49" i="9" s="1"/>
  <c r="F48" i="9"/>
  <c r="G48" i="9" s="1"/>
  <c r="H48" i="9" s="1"/>
  <c r="F47" i="9"/>
  <c r="G47" i="9" s="1"/>
  <c r="H47" i="9" s="1"/>
  <c r="F46" i="9"/>
  <c r="G46" i="9" s="1"/>
  <c r="H46" i="9" s="1"/>
  <c r="F45" i="9"/>
  <c r="G45" i="9" s="1"/>
  <c r="H45" i="9" s="1"/>
  <c r="F44" i="9"/>
  <c r="G44" i="9" s="1"/>
  <c r="F43" i="9"/>
  <c r="G43" i="9" s="1"/>
  <c r="H43" i="9" s="1"/>
  <c r="F42" i="9"/>
  <c r="G42" i="9" s="1"/>
  <c r="H42" i="9" s="1"/>
  <c r="F41" i="9"/>
  <c r="G41" i="9" s="1"/>
  <c r="H41" i="9" s="1"/>
  <c r="F40" i="9"/>
  <c r="G40" i="9" s="1"/>
  <c r="F39" i="9"/>
  <c r="G39" i="9" s="1"/>
  <c r="H39" i="9" s="1"/>
  <c r="F38" i="9"/>
  <c r="G38" i="9" s="1"/>
  <c r="H38" i="9" s="1"/>
  <c r="F37" i="9"/>
  <c r="G37" i="9" s="1"/>
  <c r="H37" i="9" s="1"/>
  <c r="F36" i="9"/>
  <c r="G36" i="9" s="1"/>
  <c r="H36" i="9" s="1"/>
  <c r="F35" i="9"/>
  <c r="G35" i="9" s="1"/>
  <c r="H35" i="9" s="1"/>
  <c r="F34" i="9"/>
  <c r="G34" i="9" s="1"/>
  <c r="H34" i="9" s="1"/>
  <c r="F33" i="9"/>
  <c r="G33" i="9" s="1"/>
  <c r="H33" i="9" s="1"/>
  <c r="F32" i="9"/>
  <c r="G32" i="9" s="1"/>
  <c r="H32" i="9" s="1"/>
  <c r="F31" i="9"/>
  <c r="G31" i="9" s="1"/>
  <c r="H31" i="9" s="1"/>
  <c r="F30" i="9"/>
  <c r="G30" i="9" s="1"/>
  <c r="H30" i="9" s="1"/>
  <c r="F29" i="9"/>
  <c r="G29" i="9" s="1"/>
  <c r="H29" i="9" s="1"/>
  <c r="F28" i="9"/>
  <c r="G28" i="9" s="1"/>
  <c r="H28" i="9" s="1"/>
  <c r="F27" i="9"/>
  <c r="G27" i="9" s="1"/>
  <c r="H27" i="9" s="1"/>
  <c r="F26" i="9"/>
  <c r="G26" i="9" s="1"/>
  <c r="H26" i="9" s="1"/>
  <c r="F25" i="9"/>
  <c r="G25" i="9" s="1"/>
  <c r="H25" i="9" s="1"/>
  <c r="F24" i="9"/>
  <c r="G24" i="9" s="1"/>
  <c r="H24" i="9" s="1"/>
  <c r="F23" i="9"/>
  <c r="G23" i="9" s="1"/>
  <c r="H23" i="9" s="1"/>
  <c r="F22" i="9"/>
  <c r="G22" i="9" s="1"/>
  <c r="H22" i="9" s="1"/>
  <c r="F21" i="9"/>
  <c r="G21" i="9" s="1"/>
  <c r="H21" i="9" s="1"/>
  <c r="F20" i="9"/>
  <c r="G20" i="9" s="1"/>
  <c r="H20" i="9" s="1"/>
  <c r="F19" i="9"/>
  <c r="G19" i="9" s="1"/>
  <c r="H19" i="9" s="1"/>
  <c r="F18" i="9"/>
  <c r="G18" i="9" s="1"/>
  <c r="H18" i="9" s="1"/>
  <c r="F17" i="9"/>
  <c r="G17" i="9" s="1"/>
  <c r="H17" i="9" s="1"/>
  <c r="F16" i="9"/>
  <c r="G16" i="9" s="1"/>
  <c r="H16" i="9" s="1"/>
  <c r="F15" i="9"/>
  <c r="G15" i="9" s="1"/>
  <c r="H15" i="9" s="1"/>
  <c r="F14" i="9"/>
  <c r="G14" i="9" s="1"/>
  <c r="H14" i="9" s="1"/>
  <c r="F13" i="9"/>
  <c r="G13" i="9" s="1"/>
  <c r="H13" i="9" s="1"/>
  <c r="F12" i="9"/>
  <c r="G12" i="9" s="1"/>
  <c r="H12" i="9" s="1"/>
  <c r="F11" i="9"/>
  <c r="Z44" i="10" l="1"/>
  <c r="G11" i="9"/>
  <c r="F10" i="9"/>
  <c r="F187" i="9" s="1"/>
  <c r="F185" i="9"/>
  <c r="G186" i="9"/>
  <c r="F100" i="9"/>
  <c r="G101" i="9"/>
  <c r="C44" i="10"/>
  <c r="G185" i="9" l="1"/>
  <c r="H186" i="9"/>
  <c r="H185" i="9" s="1"/>
  <c r="H101" i="9"/>
  <c r="H100" i="9" s="1"/>
  <c r="G100" i="9"/>
  <c r="F188" i="9"/>
  <c r="G10" i="9"/>
  <c r="H11" i="9"/>
  <c r="H10" i="9" s="1"/>
  <c r="H187" i="9" s="1"/>
  <c r="G187" i="9" l="1"/>
  <c r="H188" i="9"/>
  <c r="G188" i="9"/>
  <c r="I276" i="3" l="1"/>
  <c r="I66" i="7"/>
  <c r="B174" i="6" l="1"/>
  <c r="E173" i="6"/>
  <c r="F173" i="6" s="1"/>
  <c r="E171" i="6"/>
  <c r="F171" i="6" s="1"/>
  <c r="G171" i="6" s="1"/>
  <c r="H171" i="6" s="1"/>
  <c r="B168" i="6"/>
  <c r="E167" i="6"/>
  <c r="E166" i="6"/>
  <c r="E165" i="6"/>
  <c r="E164" i="6"/>
  <c r="E163" i="6"/>
  <c r="E162" i="6"/>
  <c r="E161" i="6"/>
  <c r="E160" i="6"/>
  <c r="E159" i="6"/>
  <c r="E158" i="6"/>
  <c r="E157" i="6"/>
  <c r="E156" i="6"/>
  <c r="E155" i="6"/>
  <c r="E154" i="6"/>
  <c r="E153" i="6"/>
  <c r="B150" i="6"/>
  <c r="E149" i="6"/>
  <c r="F149" i="6" s="1"/>
  <c r="G149" i="6" s="1"/>
  <c r="H149" i="6" s="1"/>
  <c r="E148" i="6"/>
  <c r="F148" i="6" s="1"/>
  <c r="G148" i="6" s="1"/>
  <c r="H148" i="6" s="1"/>
  <c r="B145" i="6"/>
  <c r="E144" i="6"/>
  <c r="F144" i="6" s="1"/>
  <c r="E143" i="6"/>
  <c r="E142" i="6"/>
  <c r="E141" i="6"/>
  <c r="E140" i="6"/>
  <c r="E139" i="6"/>
  <c r="E137" i="6"/>
  <c r="E136" i="6"/>
  <c r="E135" i="6"/>
  <c r="B132" i="6"/>
  <c r="E131" i="6"/>
  <c r="F131" i="6" s="1"/>
  <c r="G130" i="6"/>
  <c r="H130" i="6" s="1"/>
  <c r="E130" i="6"/>
  <c r="F130" i="6" s="1"/>
  <c r="E129" i="6"/>
  <c r="F129" i="6" s="1"/>
  <c r="G129" i="6" s="1"/>
  <c r="H129" i="6" s="1"/>
  <c r="B126" i="6"/>
  <c r="E125" i="6"/>
  <c r="F125" i="6" s="1"/>
  <c r="E123" i="6"/>
  <c r="F123" i="6" s="1"/>
  <c r="G123" i="6" s="1"/>
  <c r="H123" i="6" s="1"/>
  <c r="B120" i="6"/>
  <c r="E119" i="6"/>
  <c r="E118" i="6"/>
  <c r="F118" i="6" s="1"/>
  <c r="G118" i="6" s="1"/>
  <c r="H118" i="6" s="1"/>
  <c r="E117" i="6"/>
  <c r="E115" i="6"/>
  <c r="E114" i="6"/>
  <c r="B111" i="6"/>
  <c r="E110" i="6"/>
  <c r="F110" i="6" s="1"/>
  <c r="G110" i="6" s="1"/>
  <c r="H110" i="6" s="1"/>
  <c r="G109" i="6"/>
  <c r="H109" i="6" s="1"/>
  <c r="E109" i="6"/>
  <c r="F109" i="6" s="1"/>
  <c r="E107" i="6"/>
  <c r="F107" i="6" s="1"/>
  <c r="G107" i="6" s="1"/>
  <c r="H107" i="6" s="1"/>
  <c r="E106" i="6"/>
  <c r="F106" i="6" s="1"/>
  <c r="G106" i="6" s="1"/>
  <c r="H106" i="6" s="1"/>
  <c r="E105" i="6"/>
  <c r="F105" i="6" s="1"/>
  <c r="G105" i="6" s="1"/>
  <c r="H105" i="6" s="1"/>
  <c r="E104" i="6"/>
  <c r="F104" i="6" s="1"/>
  <c r="G104" i="6" s="1"/>
  <c r="H104" i="6" s="1"/>
  <c r="E103" i="6"/>
  <c r="F103" i="6" s="1"/>
  <c r="G103" i="6" s="1"/>
  <c r="H103" i="6" s="1"/>
  <c r="E102" i="6"/>
  <c r="F102" i="6" s="1"/>
  <c r="G102" i="6" s="1"/>
  <c r="H102" i="6" s="1"/>
  <c r="E101" i="6"/>
  <c r="F101" i="6" s="1"/>
  <c r="G101" i="6" s="1"/>
  <c r="H101" i="6" s="1"/>
  <c r="E100" i="6"/>
  <c r="F100" i="6" s="1"/>
  <c r="G100" i="6" s="1"/>
  <c r="H100" i="6" s="1"/>
  <c r="B97" i="6"/>
  <c r="E96" i="6"/>
  <c r="E95" i="6"/>
  <c r="E94" i="6"/>
  <c r="F94" i="6" s="1"/>
  <c r="G94" i="6" s="1"/>
  <c r="H94" i="6" s="1"/>
  <c r="E93" i="6"/>
  <c r="E91" i="6"/>
  <c r="E90" i="6"/>
  <c r="E89" i="6"/>
  <c r="F89" i="6" s="1"/>
  <c r="G89" i="6" s="1"/>
  <c r="H89" i="6" s="1"/>
  <c r="E88" i="6"/>
  <c r="E87" i="6"/>
  <c r="E86" i="6"/>
  <c r="E85" i="6"/>
  <c r="F85" i="6" s="1"/>
  <c r="G85" i="6" s="1"/>
  <c r="H85" i="6" s="1"/>
  <c r="E84" i="6"/>
  <c r="E83" i="6"/>
  <c r="E81" i="6"/>
  <c r="E80" i="6"/>
  <c r="F80" i="6" s="1"/>
  <c r="G80" i="6" s="1"/>
  <c r="H80" i="6" s="1"/>
  <c r="E79" i="6"/>
  <c r="E78" i="6"/>
  <c r="E77" i="6"/>
  <c r="F77" i="6" s="1"/>
  <c r="B74" i="6"/>
  <c r="E73" i="6"/>
  <c r="E72" i="6"/>
  <c r="F72" i="6" s="1"/>
  <c r="G72" i="6" s="1"/>
  <c r="H72" i="6" s="1"/>
  <c r="E70" i="6"/>
  <c r="E69" i="6"/>
  <c r="B66" i="6"/>
  <c r="E65" i="6"/>
  <c r="F65" i="6" s="1"/>
  <c r="E64" i="6"/>
  <c r="E63" i="6"/>
  <c r="E62" i="6"/>
  <c r="E60" i="6"/>
  <c r="B57" i="6"/>
  <c r="G56" i="6"/>
  <c r="H56" i="6" s="1"/>
  <c r="E56" i="6"/>
  <c r="F56" i="6" s="1"/>
  <c r="E55" i="6"/>
  <c r="F55" i="6" s="1"/>
  <c r="G55" i="6" s="1"/>
  <c r="H55" i="6" s="1"/>
  <c r="G53" i="6"/>
  <c r="H53" i="6" s="1"/>
  <c r="E53" i="6"/>
  <c r="F53" i="6" s="1"/>
  <c r="B50" i="6"/>
  <c r="E49" i="6"/>
  <c r="E48" i="6"/>
  <c r="F48" i="6" s="1"/>
  <c r="G48" i="6" s="1"/>
  <c r="H48" i="6" s="1"/>
  <c r="E46" i="6"/>
  <c r="E45" i="6"/>
  <c r="E44" i="6"/>
  <c r="E43" i="6"/>
  <c r="E41" i="6"/>
  <c r="E40" i="6"/>
  <c r="E39" i="6"/>
  <c r="E38" i="6"/>
  <c r="E37" i="6"/>
  <c r="E36" i="6"/>
  <c r="B33" i="6"/>
  <c r="G32" i="6"/>
  <c r="H32" i="6" s="1"/>
  <c r="E32" i="6"/>
  <c r="F32" i="6" s="1"/>
  <c r="E31" i="6"/>
  <c r="F31" i="6" s="1"/>
  <c r="G31" i="6" s="1"/>
  <c r="H31" i="6" s="1"/>
  <c r="E30" i="6"/>
  <c r="E29" i="6"/>
  <c r="E27" i="6"/>
  <c r="F27" i="6" s="1"/>
  <c r="G27" i="6" s="1"/>
  <c r="H27" i="6" s="1"/>
  <c r="B24" i="6"/>
  <c r="E23" i="6"/>
  <c r="F23" i="6" s="1"/>
  <c r="G23" i="6" s="1"/>
  <c r="H23" i="6" s="1"/>
  <c r="E21" i="6"/>
  <c r="F21" i="6" s="1"/>
  <c r="G21" i="6" s="1"/>
  <c r="H21" i="6" s="1"/>
  <c r="E20" i="6"/>
  <c r="E18" i="6"/>
  <c r="B15" i="6"/>
  <c r="E14" i="6"/>
  <c r="F14" i="6" s="1"/>
  <c r="G14" i="6" s="1"/>
  <c r="H14" i="6" s="1"/>
  <c r="E13" i="6"/>
  <c r="E11" i="6"/>
  <c r="F63" i="6" l="1"/>
  <c r="G63" i="6" s="1"/>
  <c r="H63" i="6" s="1"/>
  <c r="F13" i="6"/>
  <c r="F18" i="6"/>
  <c r="G18" i="6" s="1"/>
  <c r="H18" i="6" s="1"/>
  <c r="F36" i="6"/>
  <c r="G36" i="6" s="1"/>
  <c r="H36" i="6" s="1"/>
  <c r="F40" i="6"/>
  <c r="G40" i="6" s="1"/>
  <c r="H40" i="6" s="1"/>
  <c r="F45" i="6"/>
  <c r="G45" i="6" s="1"/>
  <c r="H45" i="6" s="1"/>
  <c r="F60" i="6"/>
  <c r="G60" i="6" s="1"/>
  <c r="H60" i="6" s="1"/>
  <c r="F88" i="6"/>
  <c r="G88" i="6" s="1"/>
  <c r="H88" i="6" s="1"/>
  <c r="F91" i="6"/>
  <c r="G91" i="6" s="1"/>
  <c r="H91" i="6" s="1"/>
  <c r="F95" i="6"/>
  <c r="G95" i="6" s="1"/>
  <c r="H95" i="6" s="1"/>
  <c r="F139" i="6"/>
  <c r="G139" i="6" s="1"/>
  <c r="H139" i="6" s="1"/>
  <c r="F143" i="6"/>
  <c r="G143" i="6" s="1"/>
  <c r="H143" i="6" s="1"/>
  <c r="F153" i="6"/>
  <c r="G153" i="6" s="1"/>
  <c r="F157" i="6"/>
  <c r="G157" i="6" s="1"/>
  <c r="H157" i="6" s="1"/>
  <c r="F161" i="6"/>
  <c r="G161" i="6" s="1"/>
  <c r="H161" i="6" s="1"/>
  <c r="F165" i="6"/>
  <c r="G165" i="6" s="1"/>
  <c r="H165" i="6" s="1"/>
  <c r="F20" i="6"/>
  <c r="G20" i="6" s="1"/>
  <c r="F29" i="6"/>
  <c r="F37" i="6"/>
  <c r="G37" i="6" s="1"/>
  <c r="H37" i="6" s="1"/>
  <c r="F41" i="6"/>
  <c r="G41" i="6" s="1"/>
  <c r="H41" i="6" s="1"/>
  <c r="F46" i="6"/>
  <c r="G46" i="6" s="1"/>
  <c r="H46" i="6" s="1"/>
  <c r="F62" i="6"/>
  <c r="G62" i="6" s="1"/>
  <c r="H62" i="6" s="1"/>
  <c r="F78" i="6"/>
  <c r="G78" i="6" s="1"/>
  <c r="H78" i="6" s="1"/>
  <c r="F81" i="6"/>
  <c r="G81" i="6" s="1"/>
  <c r="H81" i="6" s="1"/>
  <c r="F93" i="6"/>
  <c r="G93" i="6" s="1"/>
  <c r="H93" i="6" s="1"/>
  <c r="F96" i="6"/>
  <c r="G96" i="6" s="1"/>
  <c r="H96" i="6" s="1"/>
  <c r="F114" i="6"/>
  <c r="G114" i="6" s="1"/>
  <c r="H114" i="6" s="1"/>
  <c r="F135" i="6"/>
  <c r="G135" i="6" s="1"/>
  <c r="H135" i="6" s="1"/>
  <c r="F140" i="6"/>
  <c r="G140" i="6" s="1"/>
  <c r="H140" i="6" s="1"/>
  <c r="F154" i="6"/>
  <c r="F158" i="6"/>
  <c r="G158" i="6" s="1"/>
  <c r="H158" i="6" s="1"/>
  <c r="F162" i="6"/>
  <c r="G162" i="6" s="1"/>
  <c r="H162" i="6" s="1"/>
  <c r="F166" i="6"/>
  <c r="G166" i="6" s="1"/>
  <c r="H166" i="6" s="1"/>
  <c r="F30" i="6"/>
  <c r="G30" i="6" s="1"/>
  <c r="H30" i="6" s="1"/>
  <c r="F38" i="6"/>
  <c r="G38" i="6" s="1"/>
  <c r="H38" i="6" s="1"/>
  <c r="F73" i="6"/>
  <c r="G73" i="6" s="1"/>
  <c r="F79" i="6"/>
  <c r="G79" i="6" s="1"/>
  <c r="H79" i="6" s="1"/>
  <c r="F83" i="6"/>
  <c r="G83" i="6" s="1"/>
  <c r="H83" i="6" s="1"/>
  <c r="F86" i="6"/>
  <c r="G86" i="6" s="1"/>
  <c r="H86" i="6" s="1"/>
  <c r="F119" i="6"/>
  <c r="G119" i="6" s="1"/>
  <c r="F136" i="6"/>
  <c r="G136" i="6" s="1"/>
  <c r="H136" i="6" s="1"/>
  <c r="F43" i="6"/>
  <c r="G43" i="6" s="1"/>
  <c r="H43" i="6" s="1"/>
  <c r="F69" i="6"/>
  <c r="G69" i="6" s="1"/>
  <c r="H69" i="6" s="1"/>
  <c r="F115" i="6"/>
  <c r="G115" i="6" s="1"/>
  <c r="H115" i="6" s="1"/>
  <c r="F141" i="6"/>
  <c r="G141" i="6" s="1"/>
  <c r="H141" i="6" s="1"/>
  <c r="F155" i="6"/>
  <c r="G155" i="6" s="1"/>
  <c r="H155" i="6" s="1"/>
  <c r="F159" i="6"/>
  <c r="G159" i="6" s="1"/>
  <c r="H159" i="6" s="1"/>
  <c r="F163" i="6"/>
  <c r="G163" i="6" s="1"/>
  <c r="H163" i="6" s="1"/>
  <c r="F167" i="6"/>
  <c r="G167" i="6" s="1"/>
  <c r="H167" i="6" s="1"/>
  <c r="F11" i="6"/>
  <c r="G11" i="6" s="1"/>
  <c r="H11" i="6" s="1"/>
  <c r="F39" i="6"/>
  <c r="G39" i="6" s="1"/>
  <c r="H39" i="6" s="1"/>
  <c r="F44" i="6"/>
  <c r="G44" i="6" s="1"/>
  <c r="H44" i="6" s="1"/>
  <c r="F49" i="6"/>
  <c r="G49" i="6" s="1"/>
  <c r="F64" i="6"/>
  <c r="F70" i="6"/>
  <c r="G70" i="6" s="1"/>
  <c r="H70" i="6" s="1"/>
  <c r="F84" i="6"/>
  <c r="G84" i="6" s="1"/>
  <c r="H84" i="6" s="1"/>
  <c r="F87" i="6"/>
  <c r="G87" i="6" s="1"/>
  <c r="H87" i="6" s="1"/>
  <c r="F90" i="6"/>
  <c r="G90" i="6" s="1"/>
  <c r="H90" i="6" s="1"/>
  <c r="F117" i="6"/>
  <c r="G117" i="6" s="1"/>
  <c r="H117" i="6" s="1"/>
  <c r="F137" i="6"/>
  <c r="G137" i="6" s="1"/>
  <c r="H137" i="6" s="1"/>
  <c r="F142" i="6"/>
  <c r="G142" i="6" s="1"/>
  <c r="H142" i="6" s="1"/>
  <c r="F156" i="6"/>
  <c r="G156" i="6" s="1"/>
  <c r="H156" i="6" s="1"/>
  <c r="F160" i="6"/>
  <c r="G160" i="6" s="1"/>
  <c r="H160" i="6" s="1"/>
  <c r="F164" i="6"/>
  <c r="G164" i="6" s="1"/>
  <c r="H164" i="6" s="1"/>
  <c r="H57" i="6"/>
  <c r="G57" i="6"/>
  <c r="F74" i="6"/>
  <c r="G131" i="6"/>
  <c r="H131" i="6" s="1"/>
  <c r="F132" i="6"/>
  <c r="G77" i="6"/>
  <c r="H77" i="6" s="1"/>
  <c r="F97" i="6"/>
  <c r="F111" i="6"/>
  <c r="G125" i="6"/>
  <c r="F126" i="6"/>
  <c r="F57" i="6"/>
  <c r="H111" i="6"/>
  <c r="G111" i="6"/>
  <c r="H150" i="6"/>
  <c r="G150" i="6"/>
  <c r="F150" i="6"/>
  <c r="G173" i="6"/>
  <c r="H173" i="6" s="1"/>
  <c r="F174" i="6"/>
  <c r="G65" i="6"/>
  <c r="H65" i="6" s="1"/>
  <c r="G144" i="6"/>
  <c r="H144" i="6" s="1"/>
  <c r="B176" i="6"/>
  <c r="F145" i="6" l="1"/>
  <c r="F66" i="6"/>
  <c r="F168" i="6"/>
  <c r="F33" i="6"/>
  <c r="F15" i="6"/>
  <c r="F24" i="6"/>
  <c r="H119" i="6"/>
  <c r="H120" i="6" s="1"/>
  <c r="G120" i="6"/>
  <c r="H73" i="6"/>
  <c r="H74" i="6" s="1"/>
  <c r="G74" i="6"/>
  <c r="H49" i="6"/>
  <c r="H50" i="6" s="1"/>
  <c r="G50" i="6"/>
  <c r="H20" i="6"/>
  <c r="H24" i="6" s="1"/>
  <c r="G24" i="6"/>
  <c r="H153" i="6"/>
  <c r="F120" i="6"/>
  <c r="G64" i="6"/>
  <c r="H64" i="6" s="1"/>
  <c r="H66" i="6" s="1"/>
  <c r="G154" i="6"/>
  <c r="H154" i="6" s="1"/>
  <c r="G29" i="6"/>
  <c r="G13" i="6"/>
  <c r="F50" i="6"/>
  <c r="H145" i="6"/>
  <c r="G145" i="6"/>
  <c r="H174" i="6"/>
  <c r="G174" i="6"/>
  <c r="H97" i="6"/>
  <c r="G97" i="6"/>
  <c r="H132" i="6"/>
  <c r="G132" i="6"/>
  <c r="H125" i="6"/>
  <c r="H126" i="6" s="1"/>
  <c r="G126" i="6"/>
  <c r="G66" i="6"/>
  <c r="F176" i="6" l="1"/>
  <c r="H13" i="6"/>
  <c r="H15" i="6" s="1"/>
  <c r="G15" i="6"/>
  <c r="H29" i="6"/>
  <c r="H33" i="6" s="1"/>
  <c r="H176" i="6" s="1"/>
  <c r="H177" i="6" s="1"/>
  <c r="G33" i="6"/>
  <c r="G168" i="6"/>
  <c r="H168" i="6"/>
  <c r="G35" i="4"/>
  <c r="G176" i="6" l="1"/>
  <c r="I226" i="3"/>
  <c r="I242" i="3"/>
  <c r="I243" i="3" s="1"/>
  <c r="I191" i="3"/>
  <c r="I183" i="3"/>
  <c r="I178" i="3"/>
  <c r="I164" i="3"/>
  <c r="I145" i="3"/>
  <c r="I142" i="3"/>
  <c r="I132" i="3"/>
  <c r="I124" i="3"/>
  <c r="I112" i="3"/>
  <c r="I96" i="3"/>
  <c r="I89" i="3"/>
  <c r="I83" i="3"/>
  <c r="I74" i="3"/>
  <c r="I75" i="3" s="1"/>
  <c r="I228" i="3"/>
  <c r="Q228" i="3" s="1"/>
  <c r="R228" i="3" s="1"/>
  <c r="S228" i="3" s="1"/>
  <c r="T228" i="3" s="1"/>
  <c r="I211" i="3"/>
  <c r="Q211" i="3" s="1"/>
  <c r="R211" i="3" s="1"/>
  <c r="S211" i="3" s="1"/>
  <c r="T211" i="3" s="1"/>
  <c r="H190" i="3"/>
  <c r="N190" i="3" s="1"/>
  <c r="H189" i="3"/>
  <c r="N189" i="3" s="1"/>
  <c r="H188" i="3"/>
  <c r="N188" i="3" s="1"/>
  <c r="H187" i="3"/>
  <c r="N187" i="3" s="1"/>
  <c r="H186" i="3"/>
  <c r="N186" i="3" s="1"/>
  <c r="H185" i="3"/>
  <c r="N185" i="3" s="1"/>
  <c r="H182" i="3"/>
  <c r="N182" i="3" s="1"/>
  <c r="H177" i="3"/>
  <c r="N177" i="3" s="1"/>
  <c r="H176" i="3"/>
  <c r="N176" i="3" s="1"/>
  <c r="H175" i="3"/>
  <c r="N175" i="3" s="1"/>
  <c r="H174" i="3"/>
  <c r="N174" i="3" s="1"/>
  <c r="H173" i="3"/>
  <c r="N173" i="3" s="1"/>
  <c r="H172" i="3"/>
  <c r="N172" i="3" s="1"/>
  <c r="H171" i="3"/>
  <c r="N171" i="3" s="1"/>
  <c r="H170" i="3"/>
  <c r="N170" i="3" s="1"/>
  <c r="H169" i="3"/>
  <c r="N169" i="3" s="1"/>
  <c r="H168" i="3"/>
  <c r="N168" i="3" s="1"/>
  <c r="H167" i="3"/>
  <c r="N167" i="3" s="1"/>
  <c r="H166" i="3"/>
  <c r="N166" i="3" s="1"/>
  <c r="H163" i="3"/>
  <c r="N163" i="3" s="1"/>
  <c r="H162" i="3"/>
  <c r="N162" i="3" s="1"/>
  <c r="H161" i="3"/>
  <c r="N161" i="3" s="1"/>
  <c r="H160" i="3"/>
  <c r="N160" i="3" s="1"/>
  <c r="H159" i="3"/>
  <c r="N159" i="3" s="1"/>
  <c r="H158" i="3"/>
  <c r="N158" i="3" s="1"/>
  <c r="H157" i="3"/>
  <c r="N157" i="3" s="1"/>
  <c r="H156" i="3"/>
  <c r="N156" i="3" s="1"/>
  <c r="H155" i="3"/>
  <c r="N155" i="3" s="1"/>
  <c r="H154" i="3"/>
  <c r="N154" i="3" s="1"/>
  <c r="H153" i="3"/>
  <c r="N153" i="3" s="1"/>
  <c r="H152" i="3"/>
  <c r="N152" i="3" s="1"/>
  <c r="H151" i="3"/>
  <c r="N151" i="3" s="1"/>
  <c r="H150" i="3"/>
  <c r="N150" i="3" s="1"/>
  <c r="H149" i="3"/>
  <c r="N149" i="3" s="1"/>
  <c r="H141" i="3"/>
  <c r="N141" i="3" s="1"/>
  <c r="H140" i="3"/>
  <c r="N140" i="3" s="1"/>
  <c r="H139" i="3"/>
  <c r="N139" i="3" s="1"/>
  <c r="H138" i="3"/>
  <c r="N138" i="3" s="1"/>
  <c r="H137" i="3"/>
  <c r="N137" i="3" s="1"/>
  <c r="H136" i="3"/>
  <c r="N136" i="3" s="1"/>
  <c r="H135" i="3"/>
  <c r="N135" i="3" s="1"/>
  <c r="H134" i="3"/>
  <c r="N134" i="3" s="1"/>
  <c r="H131" i="3"/>
  <c r="N131" i="3" s="1"/>
  <c r="H130" i="3"/>
  <c r="N130" i="3" s="1"/>
  <c r="H129" i="3"/>
  <c r="N129" i="3" s="1"/>
  <c r="H128" i="3"/>
  <c r="N128" i="3" s="1"/>
  <c r="H123" i="3"/>
  <c r="N123" i="3" s="1"/>
  <c r="H119" i="3"/>
  <c r="N119" i="3" s="1"/>
  <c r="H118" i="3"/>
  <c r="N118" i="3" s="1"/>
  <c r="H117" i="3"/>
  <c r="N117" i="3" s="1"/>
  <c r="H116" i="3"/>
  <c r="N116" i="3" s="1"/>
  <c r="H115" i="3"/>
  <c r="N115" i="3" s="1"/>
  <c r="H114" i="3"/>
  <c r="N114" i="3" s="1"/>
  <c r="H111" i="3"/>
  <c r="N111" i="3" s="1"/>
  <c r="H103" i="3"/>
  <c r="N103" i="3" s="1"/>
  <c r="H102" i="3"/>
  <c r="N102" i="3" s="1"/>
  <c r="H101" i="3"/>
  <c r="N101" i="3" s="1"/>
  <c r="H100" i="3"/>
  <c r="N100" i="3" s="1"/>
  <c r="O111" i="3" l="1"/>
  <c r="P111" i="3"/>
  <c r="O128" i="3"/>
  <c r="P128" i="3"/>
  <c r="Q128" i="3" s="1"/>
  <c r="R128" i="3" s="1"/>
  <c r="S128" i="3" s="1"/>
  <c r="T128" i="3" s="1"/>
  <c r="O138" i="3"/>
  <c r="P138" i="3"/>
  <c r="O149" i="3"/>
  <c r="P149" i="3"/>
  <c r="Q149" i="3" s="1"/>
  <c r="R149" i="3" s="1"/>
  <c r="S149" i="3" s="1"/>
  <c r="T149" i="3" s="1"/>
  <c r="O157" i="3"/>
  <c r="P157" i="3"/>
  <c r="O167" i="3"/>
  <c r="P167" i="3"/>
  <c r="Q167" i="3" s="1"/>
  <c r="R167" i="3" s="1"/>
  <c r="S167" i="3" s="1"/>
  <c r="T167" i="3" s="1"/>
  <c r="O185" i="3"/>
  <c r="P185" i="3"/>
  <c r="O118" i="3"/>
  <c r="P118" i="3"/>
  <c r="Q118" i="3" s="1"/>
  <c r="R118" i="3" s="1"/>
  <c r="S118" i="3" s="1"/>
  <c r="T118" i="3" s="1"/>
  <c r="O139" i="3"/>
  <c r="P139" i="3"/>
  <c r="O162" i="3"/>
  <c r="P162" i="3"/>
  <c r="Q162" i="3" s="1"/>
  <c r="R162" i="3" s="1"/>
  <c r="S162" i="3" s="1"/>
  <c r="T162" i="3" s="1"/>
  <c r="O172" i="3"/>
  <c r="P172" i="3"/>
  <c r="O186" i="3"/>
  <c r="P186" i="3"/>
  <c r="Q186" i="3" s="1"/>
  <c r="R186" i="3" s="1"/>
  <c r="S186" i="3" s="1"/>
  <c r="T186" i="3" s="1"/>
  <c r="O102" i="3"/>
  <c r="P102" i="3"/>
  <c r="O119" i="3"/>
  <c r="P119" i="3"/>
  <c r="Q119" i="3" s="1"/>
  <c r="R119" i="3" s="1"/>
  <c r="S119" i="3" s="1"/>
  <c r="T119" i="3" s="1"/>
  <c r="O136" i="3"/>
  <c r="P136" i="3"/>
  <c r="O155" i="3"/>
  <c r="P155" i="3"/>
  <c r="Q155" i="3" s="1"/>
  <c r="R155" i="3" s="1"/>
  <c r="O173" i="3"/>
  <c r="P173" i="3"/>
  <c r="O187" i="3"/>
  <c r="P187" i="3"/>
  <c r="O100" i="3"/>
  <c r="P100" i="3"/>
  <c r="O117" i="3"/>
  <c r="P117" i="3"/>
  <c r="Q117" i="3" s="1"/>
  <c r="R117" i="3" s="1"/>
  <c r="S117" i="3" s="1"/>
  <c r="T117" i="3" s="1"/>
  <c r="O134" i="3"/>
  <c r="P134" i="3"/>
  <c r="O153" i="3"/>
  <c r="P153" i="3"/>
  <c r="Q153" i="3" s="1"/>
  <c r="R153" i="3" s="1"/>
  <c r="O161" i="3"/>
  <c r="P161" i="3"/>
  <c r="O171" i="3"/>
  <c r="P171" i="3"/>
  <c r="Q171" i="3" s="1"/>
  <c r="R171" i="3" s="1"/>
  <c r="O175" i="3"/>
  <c r="P175" i="3"/>
  <c r="O189" i="3"/>
  <c r="P189" i="3"/>
  <c r="Q189" i="3" s="1"/>
  <c r="R189" i="3" s="1"/>
  <c r="S189" i="3" s="1"/>
  <c r="T189" i="3" s="1"/>
  <c r="O101" i="3"/>
  <c r="P101" i="3"/>
  <c r="O114" i="3"/>
  <c r="P114" i="3"/>
  <c r="Q114" i="3" s="1"/>
  <c r="R114" i="3" s="1"/>
  <c r="S114" i="3" s="1"/>
  <c r="T114" i="3" s="1"/>
  <c r="O129" i="3"/>
  <c r="P129" i="3"/>
  <c r="O135" i="3"/>
  <c r="P135" i="3"/>
  <c r="Q135" i="3" s="1"/>
  <c r="R135" i="3" s="1"/>
  <c r="S135" i="3" s="1"/>
  <c r="T135" i="3" s="1"/>
  <c r="O150" i="3"/>
  <c r="P150" i="3"/>
  <c r="O154" i="3"/>
  <c r="P154" i="3"/>
  <c r="O158" i="3"/>
  <c r="P158" i="3"/>
  <c r="O168" i="3"/>
  <c r="P168" i="3"/>
  <c r="Q168" i="3" s="1"/>
  <c r="R168" i="3" s="1"/>
  <c r="O176" i="3"/>
  <c r="P176" i="3"/>
  <c r="O190" i="3"/>
  <c r="P190" i="3"/>
  <c r="Q190" i="3" s="1"/>
  <c r="R190" i="3" s="1"/>
  <c r="O115" i="3"/>
  <c r="P115" i="3"/>
  <c r="O130" i="3"/>
  <c r="P130" i="3"/>
  <c r="Q130" i="3" s="1"/>
  <c r="R130" i="3" s="1"/>
  <c r="O140" i="3"/>
  <c r="P140" i="3" s="1"/>
  <c r="Q140" i="3" s="1"/>
  <c r="R140" i="3" s="1"/>
  <c r="S140" i="3" s="1"/>
  <c r="T140" i="3" s="1"/>
  <c r="O151" i="3"/>
  <c r="P151" i="3"/>
  <c r="Q151" i="3" s="1"/>
  <c r="R151" i="3" s="1"/>
  <c r="O159" i="3"/>
  <c r="P159" i="3" s="1"/>
  <c r="Q159" i="3" s="1"/>
  <c r="R159" i="3" s="1"/>
  <c r="O163" i="3"/>
  <c r="P163" i="3"/>
  <c r="O169" i="3"/>
  <c r="P169" i="3" s="1"/>
  <c r="Q169" i="3" s="1"/>
  <c r="R169" i="3" s="1"/>
  <c r="S169" i="3" s="1"/>
  <c r="T169" i="3" s="1"/>
  <c r="O177" i="3"/>
  <c r="P177" i="3"/>
  <c r="Q177" i="3" s="1"/>
  <c r="R177" i="3" s="1"/>
  <c r="O103" i="3"/>
  <c r="P103" i="3" s="1"/>
  <c r="Q103" i="3" s="1"/>
  <c r="R103" i="3" s="1"/>
  <c r="O116" i="3"/>
  <c r="P116" i="3"/>
  <c r="Q116" i="3" s="1"/>
  <c r="R116" i="3" s="1"/>
  <c r="S116" i="3" s="1"/>
  <c r="T116" i="3" s="1"/>
  <c r="O123" i="3"/>
  <c r="P123" i="3" s="1"/>
  <c r="Q123" i="3" s="1"/>
  <c r="R123" i="3" s="1"/>
  <c r="S123" i="3" s="1"/>
  <c r="T123" i="3" s="1"/>
  <c r="O131" i="3"/>
  <c r="P131" i="3"/>
  <c r="Q131" i="3" s="1"/>
  <c r="R131" i="3" s="1"/>
  <c r="S131" i="3" s="1"/>
  <c r="T131" i="3" s="1"/>
  <c r="O137" i="3"/>
  <c r="P137" i="3" s="1"/>
  <c r="Q137" i="3" s="1"/>
  <c r="R137" i="3" s="1"/>
  <c r="O141" i="3"/>
  <c r="P141" i="3"/>
  <c r="Q141" i="3" s="1"/>
  <c r="R141" i="3" s="1"/>
  <c r="S141" i="3" s="1"/>
  <c r="T141" i="3" s="1"/>
  <c r="O152" i="3"/>
  <c r="P152" i="3" s="1"/>
  <c r="Q152" i="3" s="1"/>
  <c r="R152" i="3" s="1"/>
  <c r="O156" i="3"/>
  <c r="P156" i="3"/>
  <c r="Q156" i="3" s="1"/>
  <c r="R156" i="3" s="1"/>
  <c r="S156" i="3" s="1"/>
  <c r="T156" i="3" s="1"/>
  <c r="O160" i="3"/>
  <c r="P160" i="3" s="1"/>
  <c r="Q160" i="3" s="1"/>
  <c r="R160" i="3" s="1"/>
  <c r="O166" i="3"/>
  <c r="P166" i="3"/>
  <c r="O170" i="3"/>
  <c r="P170" i="3" s="1"/>
  <c r="Q170" i="3" s="1"/>
  <c r="R170" i="3" s="1"/>
  <c r="S170" i="3" s="1"/>
  <c r="T170" i="3" s="1"/>
  <c r="O174" i="3"/>
  <c r="P174" i="3"/>
  <c r="Q174" i="3" s="1"/>
  <c r="R174" i="3" s="1"/>
  <c r="S174" i="3" s="1"/>
  <c r="T174" i="3" s="1"/>
  <c r="O182" i="3"/>
  <c r="P182" i="3" s="1"/>
  <c r="Q182" i="3" s="1"/>
  <c r="R182" i="3" s="1"/>
  <c r="S182" i="3" s="1"/>
  <c r="T182" i="3" s="1"/>
  <c r="O188" i="3"/>
  <c r="P188" i="3"/>
  <c r="Q188" i="3" s="1"/>
  <c r="R188" i="3" s="1"/>
  <c r="S188" i="3" s="1"/>
  <c r="T188" i="3" s="1"/>
  <c r="T194" i="3"/>
  <c r="Q100" i="3"/>
  <c r="R100" i="3" s="1"/>
  <c r="S100" i="3" s="1"/>
  <c r="T100" i="3" s="1"/>
  <c r="Q134" i="3"/>
  <c r="R134" i="3" s="1"/>
  <c r="S134" i="3" s="1"/>
  <c r="T134" i="3" s="1"/>
  <c r="Q157" i="3"/>
  <c r="R157" i="3" s="1"/>
  <c r="Q185" i="3"/>
  <c r="R185" i="3" s="1"/>
  <c r="S185" i="3" s="1"/>
  <c r="T185" i="3" s="1"/>
  <c r="I192" i="3"/>
  <c r="Q101" i="3"/>
  <c r="R101" i="3" s="1"/>
  <c r="Q129" i="3"/>
  <c r="R129" i="3" s="1"/>
  <c r="S129" i="3" s="1"/>
  <c r="T129" i="3" s="1"/>
  <c r="Q139" i="3"/>
  <c r="R139" i="3" s="1"/>
  <c r="S139" i="3" s="1"/>
  <c r="T139" i="3" s="1"/>
  <c r="Q150" i="3"/>
  <c r="R150" i="3" s="1"/>
  <c r="Q154" i="3"/>
  <c r="R154" i="3" s="1"/>
  <c r="S154" i="3" s="1"/>
  <c r="T154" i="3" s="1"/>
  <c r="Q158" i="3"/>
  <c r="R158" i="3" s="1"/>
  <c r="Q172" i="3"/>
  <c r="R172" i="3" s="1"/>
  <c r="S172" i="3" s="1"/>
  <c r="T172" i="3" s="1"/>
  <c r="Q176" i="3"/>
  <c r="R176" i="3" s="1"/>
  <c r="S176" i="3" s="1"/>
  <c r="T176" i="3" s="1"/>
  <c r="Q166" i="3"/>
  <c r="R166" i="3" s="1"/>
  <c r="S166" i="3" s="1"/>
  <c r="T166" i="3" s="1"/>
  <c r="Q111" i="3"/>
  <c r="R111" i="3" s="1"/>
  <c r="S111" i="3" s="1"/>
  <c r="T111" i="3" s="1"/>
  <c r="Q138" i="3"/>
  <c r="R138" i="3" s="1"/>
  <c r="S138" i="3" s="1"/>
  <c r="T138" i="3" s="1"/>
  <c r="Q161" i="3"/>
  <c r="R161" i="3" s="1"/>
  <c r="Q175" i="3"/>
  <c r="R175" i="3" s="1"/>
  <c r="Q102" i="3"/>
  <c r="R102" i="3" s="1"/>
  <c r="S102" i="3" s="1"/>
  <c r="T102" i="3" s="1"/>
  <c r="Q115" i="3"/>
  <c r="R115" i="3" s="1"/>
  <c r="Q136" i="3"/>
  <c r="R136" i="3" s="1"/>
  <c r="S136" i="3" s="1"/>
  <c r="T136" i="3" s="1"/>
  <c r="Q163" i="3"/>
  <c r="R163" i="3" s="1"/>
  <c r="Q173" i="3"/>
  <c r="R173" i="3" s="1"/>
  <c r="S173" i="3" s="1"/>
  <c r="T173" i="3" s="1"/>
  <c r="Q187" i="3"/>
  <c r="R187" i="3" s="1"/>
  <c r="I97" i="3"/>
  <c r="I232" i="3"/>
  <c r="I246" i="3" s="1"/>
  <c r="I214" i="3"/>
  <c r="I244" i="3" s="1"/>
  <c r="I179" i="3"/>
  <c r="I125" i="3"/>
  <c r="I146" i="3"/>
  <c r="I245" i="3"/>
  <c r="F33" i="4"/>
  <c r="F30" i="4"/>
  <c r="F29" i="4"/>
  <c r="F26" i="4"/>
  <c r="F25" i="4"/>
  <c r="F19" i="4"/>
  <c r="F20" i="4"/>
  <c r="F21" i="4"/>
  <c r="F18" i="4"/>
  <c r="F12" i="4"/>
  <c r="F13" i="4"/>
  <c r="F14" i="4"/>
  <c r="F15" i="4"/>
  <c r="F11" i="4"/>
  <c r="B34" i="4"/>
  <c r="B31" i="4"/>
  <c r="B27" i="4"/>
  <c r="B22" i="4"/>
  <c r="B16" i="4"/>
  <c r="I66" i="3"/>
  <c r="I60" i="3"/>
  <c r="I37" i="3"/>
  <c r="B35" i="4" l="1"/>
  <c r="S152" i="3"/>
  <c r="T152" i="3" s="1"/>
  <c r="S177" i="3"/>
  <c r="T177" i="3" s="1"/>
  <c r="S159" i="3"/>
  <c r="T159" i="3" s="1"/>
  <c r="S151" i="3"/>
  <c r="T151" i="3" s="1"/>
  <c r="S175" i="3"/>
  <c r="T175" i="3" s="1"/>
  <c r="S190" i="3"/>
  <c r="T190" i="3" s="1"/>
  <c r="S158" i="3"/>
  <c r="T158" i="3" s="1"/>
  <c r="S150" i="3"/>
  <c r="T150" i="3" s="1"/>
  <c r="S101" i="3"/>
  <c r="T101" i="3" s="1"/>
  <c r="S168" i="3"/>
  <c r="T168" i="3" s="1"/>
  <c r="S171" i="3"/>
  <c r="T171" i="3" s="1"/>
  <c r="S157" i="3"/>
  <c r="T157" i="3" s="1"/>
  <c r="S160" i="3"/>
  <c r="T160" i="3" s="1"/>
  <c r="S137" i="3"/>
  <c r="T137" i="3" s="1"/>
  <c r="S153" i="3"/>
  <c r="T153" i="3" s="1"/>
  <c r="S187" i="3"/>
  <c r="T187" i="3" s="1"/>
  <c r="S163" i="3"/>
  <c r="T163" i="3" s="1"/>
  <c r="S155" i="3"/>
  <c r="T155" i="3" s="1"/>
  <c r="S130" i="3"/>
  <c r="T130" i="3" s="1"/>
  <c r="S115" i="3"/>
  <c r="T115" i="3" s="1"/>
  <c r="S161" i="3"/>
  <c r="T161" i="3" s="1"/>
  <c r="S103" i="3"/>
  <c r="T103" i="3" s="1"/>
  <c r="I233" i="3"/>
  <c r="I67" i="3"/>
  <c r="I193" i="3"/>
  <c r="I248" i="3"/>
  <c r="E110" i="2"/>
  <c r="D110" i="2"/>
  <c r="E109" i="2"/>
  <c r="D109" i="2"/>
  <c r="G109" i="2" s="1"/>
  <c r="E108" i="2"/>
  <c r="D108" i="2"/>
  <c r="E107" i="2"/>
  <c r="D107" i="2"/>
  <c r="G107" i="2" s="1"/>
  <c r="E106" i="2"/>
  <c r="D106" i="2"/>
  <c r="E101" i="2"/>
  <c r="D101" i="2"/>
  <c r="G101" i="2" s="1"/>
  <c r="E100" i="2"/>
  <c r="D100" i="2"/>
  <c r="E99" i="2"/>
  <c r="D99" i="2"/>
  <c r="B99" i="2"/>
  <c r="E97" i="2"/>
  <c r="D97" i="2"/>
  <c r="B97" i="2"/>
  <c r="E95" i="2"/>
  <c r="D95" i="2"/>
  <c r="E94" i="2"/>
  <c r="D94" i="2"/>
  <c r="G94" i="2" s="1"/>
  <c r="D90" i="2"/>
  <c r="G90" i="2" s="1"/>
  <c r="D89" i="2"/>
  <c r="G89" i="2" s="1"/>
  <c r="D88" i="2"/>
  <c r="G88" i="2" s="1"/>
  <c r="D87" i="2"/>
  <c r="G87" i="2" s="1"/>
  <c r="D86" i="2"/>
  <c r="G86" i="2" s="1"/>
  <c r="D85" i="2"/>
  <c r="G85" i="2" s="1"/>
  <c r="D84" i="2"/>
  <c r="G84" i="2" s="1"/>
  <c r="D83" i="2"/>
  <c r="G83" i="2" s="1"/>
  <c r="E82" i="2"/>
  <c r="D82" i="2"/>
  <c r="E81" i="2"/>
  <c r="D81" i="2"/>
  <c r="G81" i="2" s="1"/>
  <c r="E80" i="2"/>
  <c r="D80" i="2"/>
  <c r="E79" i="2"/>
  <c r="D79" i="2"/>
  <c r="G79" i="2" s="1"/>
  <c r="E78" i="2"/>
  <c r="D78" i="2"/>
  <c r="D77" i="2"/>
  <c r="G77" i="2" s="1"/>
  <c r="E76" i="2"/>
  <c r="D76" i="2"/>
  <c r="G76" i="2" s="1"/>
  <c r="E75" i="2"/>
  <c r="D75" i="2"/>
  <c r="G75" i="2" s="1"/>
  <c r="E74" i="2"/>
  <c r="D74" i="2"/>
  <c r="G74" i="2" s="1"/>
  <c r="E73" i="2"/>
  <c r="D73" i="2"/>
  <c r="G73" i="2" s="1"/>
  <c r="E72" i="2"/>
  <c r="D72" i="2"/>
  <c r="G72" i="2" s="1"/>
  <c r="E71" i="2"/>
  <c r="D71" i="2"/>
  <c r="G71" i="2" s="1"/>
  <c r="E70" i="2"/>
  <c r="D70" i="2"/>
  <c r="G70" i="2" s="1"/>
  <c r="E69" i="2"/>
  <c r="D69" i="2"/>
  <c r="G69" i="2" s="1"/>
  <c r="E68" i="2"/>
  <c r="D68" i="2"/>
  <c r="G68" i="2" s="1"/>
  <c r="E67" i="2"/>
  <c r="D67" i="2"/>
  <c r="G67" i="2" s="1"/>
  <c r="E66" i="2"/>
  <c r="D66" i="2"/>
  <c r="G66" i="2" s="1"/>
  <c r="E65" i="2"/>
  <c r="D65" i="2"/>
  <c r="G65" i="2" s="1"/>
  <c r="E64" i="2"/>
  <c r="D64" i="2"/>
  <c r="G64" i="2" s="1"/>
  <c r="E63" i="2"/>
  <c r="D63" i="2"/>
  <c r="G63" i="2" s="1"/>
  <c r="E62" i="2"/>
  <c r="D62" i="2"/>
  <c r="G62" i="2" s="1"/>
  <c r="E61" i="2"/>
  <c r="D61" i="2"/>
  <c r="G61" i="2" s="1"/>
  <c r="E60" i="2"/>
  <c r="D60" i="2"/>
  <c r="G60" i="2" s="1"/>
  <c r="B60" i="2"/>
  <c r="E59" i="2"/>
  <c r="D59" i="2"/>
  <c r="G59" i="2" s="1"/>
  <c r="D58" i="2"/>
  <c r="G58" i="2" s="1"/>
  <c r="D57" i="2"/>
  <c r="G57" i="2" s="1"/>
  <c r="D56" i="2"/>
  <c r="G56" i="2" s="1"/>
  <c r="D55" i="2"/>
  <c r="G55" i="2" s="1"/>
  <c r="D54" i="2"/>
  <c r="G54" i="2" s="1"/>
  <c r="D53" i="2"/>
  <c r="G53" i="2" s="1"/>
  <c r="D52" i="2"/>
  <c r="G52" i="2" s="1"/>
  <c r="D51" i="2"/>
  <c r="G51" i="2" s="1"/>
  <c r="D50" i="2"/>
  <c r="G50" i="2" s="1"/>
  <c r="D47" i="2"/>
  <c r="G47" i="2" s="1"/>
  <c r="E46" i="2"/>
  <c r="D46" i="2"/>
  <c r="G46" i="2" s="1"/>
  <c r="D45" i="2"/>
  <c r="G45" i="2" s="1"/>
  <c r="E44" i="2"/>
  <c r="D44" i="2"/>
  <c r="G44" i="2" s="1"/>
  <c r="E43" i="2"/>
  <c r="D43" i="2"/>
  <c r="G43" i="2" s="1"/>
  <c r="E42" i="2"/>
  <c r="D42" i="2"/>
  <c r="G42" i="2" s="1"/>
  <c r="E41" i="2"/>
  <c r="D41" i="2"/>
  <c r="G41" i="2" s="1"/>
  <c r="D40" i="2"/>
  <c r="G40" i="2" s="1"/>
  <c r="D39" i="2"/>
  <c r="G39" i="2" s="1"/>
  <c r="D38" i="2"/>
  <c r="G38" i="2" s="1"/>
  <c r="D37" i="2"/>
  <c r="G37" i="2" s="1"/>
  <c r="D36" i="2"/>
  <c r="G36" i="2" s="1"/>
  <c r="D35" i="2"/>
  <c r="G35" i="2" s="1"/>
  <c r="D34" i="2"/>
  <c r="G34" i="2" s="1"/>
  <c r="D33" i="2"/>
  <c r="G33" i="2" s="1"/>
  <c r="D32" i="2"/>
  <c r="G32" i="2" s="1"/>
  <c r="D31" i="2"/>
  <c r="G31" i="2" s="1"/>
  <c r="D30" i="2"/>
  <c r="G30" i="2" s="1"/>
  <c r="D29" i="2"/>
  <c r="G29" i="2" s="1"/>
  <c r="D28" i="2"/>
  <c r="G28" i="2" s="1"/>
  <c r="D27" i="2"/>
  <c r="G27" i="2" s="1"/>
  <c r="D26" i="2"/>
  <c r="G26" i="2" s="1"/>
  <c r="D25" i="2"/>
  <c r="G25" i="2" s="1"/>
  <c r="D24" i="2"/>
  <c r="G24" i="2" s="1"/>
  <c r="D23" i="2"/>
  <c r="G23" i="2" s="1"/>
  <c r="E22" i="2"/>
  <c r="D22" i="2"/>
  <c r="G22" i="2" s="1"/>
  <c r="E21" i="2"/>
  <c r="D21" i="2"/>
  <c r="G21" i="2" s="1"/>
  <c r="E20" i="2"/>
  <c r="D20" i="2"/>
  <c r="G20" i="2" s="1"/>
  <c r="E19" i="2"/>
  <c r="D19" i="2"/>
  <c r="G19" i="2" s="1"/>
  <c r="E18" i="2"/>
  <c r="D18" i="2"/>
  <c r="G18" i="2" s="1"/>
  <c r="E17" i="2"/>
  <c r="D17" i="2"/>
  <c r="G17" i="2" s="1"/>
  <c r="D16" i="2"/>
  <c r="G16" i="2" s="1"/>
  <c r="D15" i="2"/>
  <c r="G15" i="2" s="1"/>
  <c r="D14" i="2"/>
  <c r="G14" i="2" s="1"/>
  <c r="D13" i="2"/>
  <c r="G13" i="2" s="1"/>
  <c r="D12" i="2"/>
  <c r="G12" i="2" s="1"/>
  <c r="J43" i="1"/>
  <c r="J27" i="1"/>
  <c r="G99" i="2" l="1"/>
  <c r="G97" i="2"/>
  <c r="B111" i="2"/>
  <c r="G78" i="2"/>
  <c r="G80" i="2"/>
  <c r="G82" i="2"/>
  <c r="G111" i="2" s="1"/>
  <c r="G95" i="2"/>
  <c r="G100" i="2"/>
  <c r="G106" i="2"/>
  <c r="G108" i="2"/>
  <c r="G110" i="2"/>
  <c r="T76" i="3"/>
  <c r="T248" i="3"/>
  <c r="F12" i="2"/>
  <c r="F27" i="2"/>
  <c r="F31" i="2"/>
  <c r="F52" i="2"/>
  <c r="F77" i="2"/>
  <c r="F15" i="2"/>
  <c r="F25" i="2"/>
  <c r="F29" i="2"/>
  <c r="F33" i="2"/>
  <c r="F37" i="2"/>
  <c r="F45" i="2"/>
  <c r="F50" i="2"/>
  <c r="F54" i="2"/>
  <c r="F58" i="2"/>
  <c r="F86" i="2"/>
  <c r="F90" i="2"/>
  <c r="F100" i="2"/>
  <c r="F26" i="2"/>
  <c r="F30" i="2"/>
  <c r="F34" i="2"/>
  <c r="F38" i="2"/>
  <c r="F51" i="2"/>
  <c r="F55" i="2"/>
  <c r="F83" i="2"/>
  <c r="F87" i="2"/>
  <c r="F23" i="2"/>
  <c r="F39" i="2"/>
  <c r="F88" i="2"/>
  <c r="F97" i="2"/>
  <c r="F107" i="2"/>
  <c r="F16" i="2"/>
  <c r="F35" i="2"/>
  <c r="F56" i="2"/>
  <c r="F84" i="2"/>
  <c r="F14" i="2"/>
  <c r="F24" i="2"/>
  <c r="F28" i="2"/>
  <c r="F32" i="2"/>
  <c r="F36" i="2"/>
  <c r="F40" i="2"/>
  <c r="F47" i="2"/>
  <c r="F53" i="2"/>
  <c r="F57" i="2"/>
  <c r="F85" i="2"/>
  <c r="F89" i="2"/>
  <c r="F99" i="2"/>
  <c r="F75" i="2"/>
  <c r="F42" i="2"/>
  <c r="F20" i="2"/>
  <c r="F22" i="2"/>
  <c r="F41" i="2"/>
  <c r="F81" i="2"/>
  <c r="F108" i="2"/>
  <c r="F65" i="2"/>
  <c r="F73" i="2"/>
  <c r="F17" i="2"/>
  <c r="F19" i="2"/>
  <c r="F21" i="2"/>
  <c r="F62" i="2"/>
  <c r="F64" i="2"/>
  <c r="F66" i="2"/>
  <c r="F70" i="2"/>
  <c r="F72" i="2"/>
  <c r="F74" i="2"/>
  <c r="F59" i="2"/>
  <c r="F61" i="2"/>
  <c r="F80" i="2"/>
  <c r="F82" i="2"/>
  <c r="F18" i="2"/>
  <c r="F67" i="2"/>
  <c r="F69" i="2"/>
  <c r="F79" i="2"/>
  <c r="F95" i="2"/>
  <c r="F101" i="2"/>
  <c r="F44" i="2"/>
  <c r="F46" i="2"/>
  <c r="F109" i="2"/>
  <c r="F94" i="2"/>
  <c r="F106" i="2"/>
  <c r="F43" i="2"/>
  <c r="F60" i="2"/>
  <c r="F63" i="2"/>
  <c r="F68" i="2"/>
  <c r="F71" i="2"/>
  <c r="F76" i="2"/>
  <c r="F78" i="2"/>
  <c r="F110" i="2"/>
  <c r="F13" i="2"/>
  <c r="J48" i="1"/>
  <c r="J49" i="1" s="1"/>
  <c r="I47" i="1"/>
  <c r="I46" i="1"/>
  <c r="O46" i="1" s="1"/>
  <c r="I45" i="1"/>
  <c r="O45" i="1" s="1"/>
  <c r="J64" i="1"/>
  <c r="J81" i="1"/>
  <c r="J87" i="1"/>
  <c r="J256" i="1"/>
  <c r="J173" i="1"/>
  <c r="J164" i="1"/>
  <c r="H110" i="1"/>
  <c r="P45" i="1" l="1"/>
  <c r="Q45" i="1" s="1"/>
  <c r="R45" i="1" s="1"/>
  <c r="S45" i="1" s="1"/>
  <c r="T45" i="1" s="1"/>
  <c r="U45" i="1" s="1"/>
  <c r="O47" i="1"/>
  <c r="P46" i="1"/>
  <c r="Q46" i="1" s="1"/>
  <c r="R46" i="1" s="1"/>
  <c r="S46" i="1" s="1"/>
  <c r="T46" i="1" s="1"/>
  <c r="U46" i="1" s="1"/>
  <c r="K110" i="1"/>
  <c r="J88" i="1"/>
  <c r="J174" i="1"/>
  <c r="J102" i="1"/>
  <c r="R102" i="1" s="1"/>
  <c r="S102" i="1" s="1"/>
  <c r="T102" i="1" s="1"/>
  <c r="U102" i="1" s="1"/>
  <c r="J101" i="1"/>
  <c r="R101" i="1" s="1"/>
  <c r="S101" i="1" s="1"/>
  <c r="T101" i="1" s="1"/>
  <c r="U101" i="1" s="1"/>
  <c r="J97" i="1"/>
  <c r="R97" i="1" s="1"/>
  <c r="S97" i="1" s="1"/>
  <c r="T97" i="1" s="1"/>
  <c r="U97" i="1" s="1"/>
  <c r="J93" i="1"/>
  <c r="R93" i="1" s="1"/>
  <c r="S93" i="1" s="1"/>
  <c r="T93" i="1" s="1"/>
  <c r="U93" i="1" s="1"/>
  <c r="P47" i="1" l="1"/>
  <c r="Q47" i="1"/>
  <c r="R47" i="1" s="1"/>
  <c r="S47" i="1" s="1"/>
  <c r="T47" i="1" s="1"/>
  <c r="U47" i="1" s="1"/>
  <c r="L110" i="1"/>
  <c r="N110" i="1" s="1"/>
  <c r="U49" i="1"/>
  <c r="U104" i="1"/>
  <c r="J94" i="1"/>
  <c r="J99" i="1"/>
  <c r="J103" i="1"/>
  <c r="M110" i="1" l="1"/>
  <c r="O110" i="1"/>
  <c r="P110" i="1" s="1"/>
  <c r="U105" i="1"/>
  <c r="J104" i="1"/>
  <c r="J28" i="1"/>
  <c r="Q110" i="1" l="1"/>
  <c r="R110" i="1" s="1"/>
  <c r="S110" i="1" s="1"/>
  <c r="T110" i="1" s="1"/>
  <c r="U110" i="1" s="1"/>
  <c r="U174" i="1" s="1"/>
</calcChain>
</file>

<file path=xl/sharedStrings.xml><?xml version="1.0" encoding="utf-8"?>
<sst xmlns="http://schemas.openxmlformats.org/spreadsheetml/2006/main" count="2738" uniqueCount="662">
  <si>
    <t>Informācija par ārstniecības personām</t>
  </si>
  <si>
    <t>Amata nosaukums</t>
  </si>
  <si>
    <t xml:space="preserve">Valsts kancelejā saskaņotā amata saime </t>
  </si>
  <si>
    <t>Līmenis</t>
  </si>
  <si>
    <t>Amatam atbilstošā mēneš-algu grupa</t>
  </si>
  <si>
    <t>Darbiniekam piešķirtā kategorija</t>
  </si>
  <si>
    <t>max pēc MK not. Nr.66 (2.piel.), EUR</t>
  </si>
  <si>
    <t>Faktiskā mēneš-algas likme par  1 slodzi</t>
  </si>
  <si>
    <t>Slodzes (normālā darba laika ietvaros)</t>
  </si>
  <si>
    <t>39.03.00 Specializētās veselības aprūpes nodrošināšana, Asins un asins komponentu nodrošināšana</t>
  </si>
  <si>
    <t>Ārsti un funkcionālie speciālisti</t>
  </si>
  <si>
    <t>Transfuzioloģiskā departamenta direktors</t>
  </si>
  <si>
    <t>V</t>
  </si>
  <si>
    <t>Laboratoriju departamenta direktors</t>
  </si>
  <si>
    <t>Nodaļas vadītājs (virsārsts)</t>
  </si>
  <si>
    <t>5.1.</t>
  </si>
  <si>
    <t>IVB</t>
  </si>
  <si>
    <t>Laboratorijas vadītājs</t>
  </si>
  <si>
    <t>IV</t>
  </si>
  <si>
    <t>Nodaļas vadītājs (virsārsts) - krājumu nodaļa</t>
  </si>
  <si>
    <t>IVA</t>
  </si>
  <si>
    <t>Galvenā medicīnas māsa</t>
  </si>
  <si>
    <t>5.2.</t>
  </si>
  <si>
    <t>Donoru nodaļas vadītājs</t>
  </si>
  <si>
    <t>Ārsts</t>
  </si>
  <si>
    <t>III</t>
  </si>
  <si>
    <t>Eksperts Asins dienestā</t>
  </si>
  <si>
    <t>Ārstniecības un pacientu aprūpes personas</t>
  </si>
  <si>
    <t>Vecākais biomedicīnas laborants</t>
  </si>
  <si>
    <t>IE</t>
  </si>
  <si>
    <t>Biomedicīnas laborants</t>
  </si>
  <si>
    <t>Medicīnas laborants</t>
  </si>
  <si>
    <t>Virsmāsa</t>
  </si>
  <si>
    <t>Izbraukumu projektu vadītājs (izbraukumu organizators)</t>
  </si>
  <si>
    <t>I</t>
  </si>
  <si>
    <t>Vecākais ārsta palīgs (feldšeris)</t>
  </si>
  <si>
    <t>IA</t>
  </si>
  <si>
    <t>Ārsta palīgs (feldšeris)</t>
  </si>
  <si>
    <t>Ārsta palīgs (feldšeris) - nesertificēts</t>
  </si>
  <si>
    <t>Medicīnas māsa</t>
  </si>
  <si>
    <t>Medicīnas māsa - nesertificēta</t>
  </si>
  <si>
    <t>II</t>
  </si>
  <si>
    <t>Medicīniskās noliktavas pārzinis</t>
  </si>
  <si>
    <t>Klientu apkalpošanas speciālists</t>
  </si>
  <si>
    <t>IIA</t>
  </si>
  <si>
    <t>Autobusa vadītājs - izbraukumos</t>
  </si>
  <si>
    <t>Ārstniecības un pacientu aprūpes atbalsta personas</t>
  </si>
  <si>
    <t>Māsas palīgs</t>
  </si>
  <si>
    <t>IB</t>
  </si>
  <si>
    <t>Klientu un pacientu reģistrators</t>
  </si>
  <si>
    <t>Centrbēdzes seperatora operators</t>
  </si>
  <si>
    <t>Sanitārs</t>
  </si>
  <si>
    <t>x</t>
  </si>
  <si>
    <t>Valsts Asinsdonoru centrs - slimnīcu Asins sagatavošanas nodaļās strādājošie</t>
  </si>
  <si>
    <t>39.03.00 Specializētās veselības aprūpes nodrošināšana, Asins un asins komponentu nodrošināšana, EKK 2800</t>
  </si>
  <si>
    <t>Kopā</t>
  </si>
  <si>
    <t>Valsts asinsdonoru centrs</t>
  </si>
  <si>
    <t>Kopā iestādei</t>
  </si>
  <si>
    <t>Veselības inspekcija</t>
  </si>
  <si>
    <t>Vecākais ārsts eksperts</t>
  </si>
  <si>
    <t>10.</t>
  </si>
  <si>
    <t>Ārsts eksperts</t>
  </si>
  <si>
    <t>Ārsts stažieris</t>
  </si>
  <si>
    <t>Vecākais higiēnas ārsts</t>
  </si>
  <si>
    <t>Higiēnas ārsts</t>
  </si>
  <si>
    <t>Nodaļas vadītājs</t>
  </si>
  <si>
    <t>26.3.</t>
  </si>
  <si>
    <t>Vecākais inspektors</t>
  </si>
  <si>
    <t>Vecākais inspektors veselības aprūpes jomā</t>
  </si>
  <si>
    <t>3</t>
  </si>
  <si>
    <t>Inspektors</t>
  </si>
  <si>
    <t>IIIB</t>
  </si>
  <si>
    <t>Inspektors veselības aprūpes jomā</t>
  </si>
  <si>
    <t>Vecākais referents</t>
  </si>
  <si>
    <t>35.</t>
  </si>
  <si>
    <t>10</t>
  </si>
  <si>
    <t>Pārvaldes vecākais referents</t>
  </si>
  <si>
    <t>Referents</t>
  </si>
  <si>
    <t>Departamenta vadītājs</t>
  </si>
  <si>
    <t>VIB</t>
  </si>
  <si>
    <t>14</t>
  </si>
  <si>
    <t xml:space="preserve">Inspekcijas vadītāja vietnieks </t>
  </si>
  <si>
    <t xml:space="preserve">Departamenta vadītāja vietnieks </t>
  </si>
  <si>
    <t>Sabiedrības veselības analītiķis</t>
  </si>
  <si>
    <t>35</t>
  </si>
  <si>
    <t>9</t>
  </si>
  <si>
    <t xml:space="preserve">Vecākais speciālists - vides veselības analītiķis </t>
  </si>
  <si>
    <t>Vecākais speciālists vides veselības jautājumos</t>
  </si>
  <si>
    <t xml:space="preserve"> Veselības aprūpes analītiķis </t>
  </si>
  <si>
    <t>Vecākais tehniskās uzraudzības inspektors</t>
  </si>
  <si>
    <t>Vides veselības analītiķis</t>
  </si>
  <si>
    <t>Vecākais inspektors sabiedrības veselības jomā</t>
  </si>
  <si>
    <t>11</t>
  </si>
  <si>
    <t>Inspektors sabiedrības veselības jomā</t>
  </si>
  <si>
    <t xml:space="preserve">Veselības aprūpes departamenta vadītājs </t>
  </si>
  <si>
    <t xml:space="preserve">Eksperta palīgs </t>
  </si>
  <si>
    <t>Higiēnas ārsta palīgs</t>
  </si>
  <si>
    <t>Infekcijas slimību riska analīzes un profilases departamenta direktors</t>
  </si>
  <si>
    <t>Infekcijas slimību uzraudzības un imunizācijas nodaļas vadītājs</t>
  </si>
  <si>
    <t>Galvenais speciālists antimikrobās rezistences jautājumos*</t>
  </si>
  <si>
    <t>Vecākais epidemiologs (Rīga)</t>
  </si>
  <si>
    <t>Epidemiologs</t>
  </si>
  <si>
    <t>III A</t>
  </si>
  <si>
    <t>Sabiedrības veselības organizators</t>
  </si>
  <si>
    <t>Statistiķis</t>
  </si>
  <si>
    <t>Infekcijas slimību profilakses un pretepidēmijas pasākumu nodaļas vadītāja</t>
  </si>
  <si>
    <t>Vecākais epidemiologs (reģioni)</t>
  </si>
  <si>
    <t>Epidemiologs (reģioni)</t>
  </si>
  <si>
    <t>Vecākais sabiedrības veselības organizators (reģioni)</t>
  </si>
  <si>
    <t>Sabiedrības veselības organizators (reģioni)</t>
  </si>
  <si>
    <t>Slimību kontroles un profilakses centrs</t>
  </si>
  <si>
    <t>46.03.00 Slimību profilakses nodrošināšana</t>
  </si>
  <si>
    <t>46.01.00 Uzraudzība un kontrole</t>
  </si>
  <si>
    <t>Neatliekamās medicīniskās palīdzības dienests</t>
  </si>
  <si>
    <t>Direktora vietnieks operatīvajos jautājumos</t>
  </si>
  <si>
    <t>5.4</t>
  </si>
  <si>
    <t>VID</t>
  </si>
  <si>
    <t>15</t>
  </si>
  <si>
    <t>Direktora vietnieks attīstības un speciālo funkciju jautājumos</t>
  </si>
  <si>
    <t>Katastrofu medicīnas centra vadītājs</t>
  </si>
  <si>
    <t>Medicīniskās kvalitātes un kvalifikācijas vadības centra vadītājs</t>
  </si>
  <si>
    <t>Medicīniskās kvalitātes un kvalifikācijas vadības centra  ārsts eksperts</t>
  </si>
  <si>
    <t>5.1</t>
  </si>
  <si>
    <t>12</t>
  </si>
  <si>
    <t>Medicīniskās kvalitātes un kvalifikācijas vadības centra  medicīniskās kvalitātes sistēmas vadītājs</t>
  </si>
  <si>
    <t>VB</t>
  </si>
  <si>
    <t>13</t>
  </si>
  <si>
    <t>Zemgales reģionālā centra vadītājs</t>
  </si>
  <si>
    <t>VIC</t>
  </si>
  <si>
    <t>Vidzemes reģionālā centra vadītāja vietnieks</t>
  </si>
  <si>
    <t>VIA</t>
  </si>
  <si>
    <t>Rīgas reģionālā centra vadītājs</t>
  </si>
  <si>
    <t>Rīgas reģionālā centra vadītāja vietnieks</t>
  </si>
  <si>
    <t>Latgales reģionālā centra vadītājs</t>
  </si>
  <si>
    <t>Latgales reģionālā centra vadītāja vietnieks</t>
  </si>
  <si>
    <t>Operatīvā darba organizēšanas nodaļa</t>
  </si>
  <si>
    <t>SMC vadītājs</t>
  </si>
  <si>
    <t>SMC vadītāja vietnieks</t>
  </si>
  <si>
    <t>OVC vadītājs</t>
  </si>
  <si>
    <t>OVC vadītāja vietnieks</t>
  </si>
  <si>
    <t>Pacientu drošības sistēmas vadītājs</t>
  </si>
  <si>
    <t>Vecākais speciālists medicīniskā nodrošinājuma jautājumos</t>
  </si>
  <si>
    <t>Kurzemes reģionālā centra vadītājs</t>
  </si>
  <si>
    <t>Kurzemes reģionālā centra vadītāja vietnieks</t>
  </si>
  <si>
    <t>Zemgales reģionālā centra vadītāja vietnieks</t>
  </si>
  <si>
    <t>Vidzemes reģionālā centra vadītājs</t>
  </si>
  <si>
    <t>Farmaceits</t>
  </si>
  <si>
    <t>5.3</t>
  </si>
  <si>
    <t>Medicīniskās kvalitātes un kvalifikācijas vadības centra  medicīniskās kvalifikācijas sistēmas vadītājs</t>
  </si>
  <si>
    <t>Medicīniskā nodrošinājuma  nodaļas vadītājs</t>
  </si>
  <si>
    <t>Galvenais speciālists medicīniskā nodrošinājuma jautājumos</t>
  </si>
  <si>
    <t>IIC</t>
  </si>
  <si>
    <t>Ārsta eksperta palīgs</t>
  </si>
  <si>
    <t>Medicīnisko maksas pakalpojumu nodaļas vadītājs</t>
  </si>
  <si>
    <t>Medicīnisko maksas pakalpojumu nodaļas galvenais speciālists</t>
  </si>
  <si>
    <t>Ārkārtas situāciju gatavības nodrošināšanas nodaļas vadītājs</t>
  </si>
  <si>
    <t>Ārkārtas situāciju gatavības nodrošināšanas nodaļas galvenais speciālists</t>
  </si>
  <si>
    <t>Medicīnas asistents</t>
  </si>
  <si>
    <t>5.2</t>
  </si>
  <si>
    <t>5</t>
  </si>
  <si>
    <t>1</t>
  </si>
  <si>
    <t>2</t>
  </si>
  <si>
    <t>39.04.00 Neatliekamā medicīniskā palīdzība</t>
  </si>
  <si>
    <t>Ārstniecības personas amata kvalifikācijas kategorija</t>
  </si>
  <si>
    <t>Slodzes (strādājošo skaits normālā darba laika ietvaros)</t>
  </si>
  <si>
    <r>
      <t xml:space="preserve">Faktiskā mēnešalgas likme par           </t>
    </r>
    <r>
      <rPr>
        <u/>
        <sz val="9"/>
        <color indexed="8"/>
        <rFont val="Times New Roman"/>
        <family val="1"/>
      </rPr>
      <t>1 (vienu)</t>
    </r>
    <r>
      <rPr>
        <sz val="9"/>
        <color indexed="8"/>
        <rFont val="Times New Roman"/>
        <family val="1"/>
      </rPr>
      <t xml:space="preserve"> 
slodzi </t>
    </r>
  </si>
  <si>
    <t>Palielinājums par darba stāžu</t>
  </si>
  <si>
    <r>
      <t>Faktiskā darba samaksa</t>
    </r>
    <r>
      <rPr>
        <sz val="9"/>
        <color indexed="8"/>
        <rFont val="Times New Roman"/>
        <family val="1"/>
      </rPr>
      <t xml:space="preserve"> (atalgojums par slodzi) mēnesī</t>
    </r>
  </si>
  <si>
    <t>I. Sertificētu ārstniecības personu amati</t>
  </si>
  <si>
    <t>1.kategorija - Ārsts, zobārsts</t>
  </si>
  <si>
    <t>BAC vadītājs</t>
  </si>
  <si>
    <t>Vadības ārsts (operatīvais dežurants)</t>
  </si>
  <si>
    <t>OVC ārsts eksperts</t>
  </si>
  <si>
    <t>Ārsta speciālista brigādes vadītājs  - NM ārsts, anesteziologs-reanimatologs</t>
  </si>
  <si>
    <t>Intensīvās terapijas brigādes vadītājs - NM ārsts</t>
  </si>
  <si>
    <t>Reanimācijas brigādes vadītājs - ārsts (NM/ anesteziologs-reanimatologs)</t>
  </si>
  <si>
    <t>Anesteziologs - reanimatologs</t>
  </si>
  <si>
    <t>Bērnu IT brigādes anesteziologs-reanimatologs</t>
  </si>
  <si>
    <t>Neonatologs</t>
  </si>
  <si>
    <t>Apdegumu traumatologs</t>
  </si>
  <si>
    <t>Asinsvadu ķirurgs</t>
  </si>
  <si>
    <t>Bērnu ķirurgs</t>
  </si>
  <si>
    <t>Bērnu neiroķirurgs</t>
  </si>
  <si>
    <t>Bronhologs</t>
  </si>
  <si>
    <t>Gastroenterologs - endoskopists</t>
  </si>
  <si>
    <t>Ginekologs un dzemdību speciālists</t>
  </si>
  <si>
    <t>Infektologs</t>
  </si>
  <si>
    <t>Kardiologs</t>
  </si>
  <si>
    <t>Kardiologs - koordinators</t>
  </si>
  <si>
    <t>Ķirurgs</t>
  </si>
  <si>
    <t>Neiroķirurgs</t>
  </si>
  <si>
    <t>Neirologs</t>
  </si>
  <si>
    <t>Otolaringologs</t>
  </si>
  <si>
    <t>Sejas, mutes, žokļu ķirurgs</t>
  </si>
  <si>
    <t>Torakālais ķirurgs</t>
  </si>
  <si>
    <t>Traumatologs - ortopēds</t>
  </si>
  <si>
    <t>Vertebrologs</t>
  </si>
  <si>
    <t>Galvenais dežūrārsts</t>
  </si>
  <si>
    <t>Vecākais dežūrārsts (OVC)</t>
  </si>
  <si>
    <t>Vecākais dežūrārsts (LRC)</t>
  </si>
  <si>
    <t>Ārsts konsultants</t>
  </si>
  <si>
    <t>Ārsts (sertificēts)  - praktisko treniņu vadītājs</t>
  </si>
  <si>
    <t>Ģimenes ārstu konsultatīvā tāruņa konsultants (ārsts)</t>
  </si>
  <si>
    <t>SMC Ārsts -Galvenais speciālists medicīniskās evakuācijas jautājumos</t>
  </si>
  <si>
    <t>2.kategorija - Fizioterapeits, audiologopēds, uztura speciālists, ergoterapeits, tehniskais ortopēds, mākslas terapeits</t>
  </si>
  <si>
    <t>3.kategorija  - Māsa, ārsta palīgs (feldšeris), vecmāte, biomedicīnas laborants, radiologa asistents, radiogrāfers</t>
  </si>
  <si>
    <t>BAC vadītājs ārsta palīgs</t>
  </si>
  <si>
    <t>BAC galvenais ārsta palīgs</t>
  </si>
  <si>
    <t>BAC vecākais ārsta palīgs</t>
  </si>
  <si>
    <t>RC galvenais ārsta palīgs</t>
  </si>
  <si>
    <t>RC vecākais ārsta palīgs</t>
  </si>
  <si>
    <t>Brigādes (2AP) vadītājs - NM ārsta palīgs</t>
  </si>
  <si>
    <t>Brigādes vadītājs - NM ārsta palīgs</t>
  </si>
  <si>
    <t>Brigādes otrā ārstniecības persona NM ārsta palīgs</t>
  </si>
  <si>
    <t>Brigādes vadītājs vecākais - NM ārsta palīgs (atbildībā 2 brigādes)</t>
  </si>
  <si>
    <t>Brigādes vadītājs vecākais NM ārsta palīgs (atbildībā 3 brigādes)</t>
  </si>
  <si>
    <t>Brigādes vadītājs vecākais NM ārsta palīgs (atbildībā 4 brigādes)</t>
  </si>
  <si>
    <t>Intensīvās terapijas brigādes otrā ārstniecības  persona - NM ārsta palīgs</t>
  </si>
  <si>
    <t>Reanimācijas brigādes otrā ārstniecības persona - NM ārsta palīgs</t>
  </si>
  <si>
    <t xml:space="preserve">Ārsta speciālista brigādes otrā ārstniecības persona (NM ārsta palīgs - OMT vadītājs) </t>
  </si>
  <si>
    <t>Galvenais dispečers</t>
  </si>
  <si>
    <t>Vadības dispečers</t>
  </si>
  <si>
    <t xml:space="preserve">Vecākais dispečers </t>
  </si>
  <si>
    <t>Dežūrējošais NM ārsta palīgs/ārsta palīgs</t>
  </si>
  <si>
    <t xml:space="preserve">Dispečers - NM ārsta palīgs/ārsta palīgs </t>
  </si>
  <si>
    <t xml:space="preserve">BAC dispečers - NM ārsta palīgs/ārsta palīgs </t>
  </si>
  <si>
    <t>Izsaukumu pieņemšanas dispečers  (NM ārsta palīgs/ārsta palīgs)</t>
  </si>
  <si>
    <t>LRC izsaukumu pieņemšanas dispečers (NM ārsta palīgs/ārsta palīgs)</t>
  </si>
  <si>
    <t>SMC vadības dispečers</t>
  </si>
  <si>
    <t>SMC galvenais ārsta palīgs</t>
  </si>
  <si>
    <t>SMC ārsta palīgs</t>
  </si>
  <si>
    <t>Medicīnas māsa (SMC)</t>
  </si>
  <si>
    <t>Medicīnas māsa bērnu IT brigādē</t>
  </si>
  <si>
    <t>Medicīnas māsa neonatologu brigādē</t>
  </si>
  <si>
    <t>SMC operāciju māsa</t>
  </si>
  <si>
    <t>NMP punkta vecākais ārsta palīgs (atbildībā līdz 4 brig.)</t>
  </si>
  <si>
    <t>NMP punkta vecākais ārsta palīgs (atbildībā līdz 5 brig.)</t>
  </si>
  <si>
    <t>Ģimenes ārstu konsultatīvā tāruņa konsultants (ārsta palīgs)</t>
  </si>
  <si>
    <t>Ārsta palīgs (sertificēts) - praktisko treniņu vadītājs</t>
  </si>
  <si>
    <t xml:space="preserve">SMC vecākais ārsta palīgs  medicīniskā nodrošinājuma jautājumos </t>
  </si>
  <si>
    <t>SMC ārsta palīgs medicīniskā nodrošinājuma jautājumos</t>
  </si>
  <si>
    <t>Ārsta palīgs -Galvenais speciālists ārstniecības kvalitātes jautājumos</t>
  </si>
  <si>
    <t>NM ārsta palīgs (NMP brigāžu medicīniskā nodrošinājuma jautājumos)</t>
  </si>
  <si>
    <t>4.kategorija  - Masieris, ergoterapeita asistents, fizioterapeita asistents, zobu higiēnists, zobārstniecības māsa, kosmētiķis, podologs, zobu tehniķis</t>
  </si>
  <si>
    <t>II. Reģistrētu ārstniecības personu amati</t>
  </si>
  <si>
    <t>Jaunākais dežūrārsts</t>
  </si>
  <si>
    <t xml:space="preserve">Ārsta brigādes vadītājs </t>
  </si>
  <si>
    <t>Brigādes vadītājs -ārsts, sagatavots NMP sniegšanai</t>
  </si>
  <si>
    <t>Brigādes otrā ārstniecības  persona - ārsta palīgs</t>
  </si>
  <si>
    <t>Brigādes otrā ārstniecības  persona - medicīnas māsa</t>
  </si>
  <si>
    <t>Brigādes (2AP) otrā ārstniecības persona - ārsta palīgs</t>
  </si>
  <si>
    <t>6.kategorija  - Zobārsta asistents, māsas palīgs, operatīvā medicīniskā transportlīdzekļa vadītājs</t>
  </si>
  <si>
    <t>III. Transportlīdzekļa vadītājs</t>
  </si>
  <si>
    <t xml:space="preserve">OMT vadītājs </t>
  </si>
  <si>
    <t>Vecākais OMT vadītājs (atbildībā 2 brigādes)</t>
  </si>
  <si>
    <t>Vecākais OMT vadītājs (atbildībā 3 brigādes)</t>
  </si>
  <si>
    <t>Vecākais OMT vadītājs (atbildībā 4 brigādes)</t>
  </si>
  <si>
    <t>SMC OMT vadītājs</t>
  </si>
  <si>
    <t>X</t>
  </si>
  <si>
    <r>
      <rPr>
        <b/>
        <sz val="10"/>
        <color theme="1"/>
        <rFont val="Times New Roman"/>
        <family val="1"/>
        <charset val="186"/>
      </rPr>
      <t>1.kategorija</t>
    </r>
    <r>
      <rPr>
        <sz val="10"/>
        <color theme="1"/>
        <rFont val="Times New Roman"/>
        <family val="1"/>
      </rPr>
      <t xml:space="preserve"> - Ārsts, zobārsts</t>
    </r>
  </si>
  <si>
    <r>
      <rPr>
        <b/>
        <sz val="10"/>
        <rFont val="Times New Roman"/>
        <family val="1"/>
        <charset val="186"/>
      </rPr>
      <t>4.kategorija</t>
    </r>
    <r>
      <rPr>
        <sz val="10"/>
        <rFont val="Times New Roman"/>
        <family val="1"/>
      </rPr>
      <t xml:space="preserve">  - Masieris, ergoterapeita asistents, fizioterapeita asistents, zobu higiēnists, zobārstniecības māsa, kosmētiķis, podologs, zobu tehniķis</t>
    </r>
  </si>
  <si>
    <r>
      <rPr>
        <b/>
        <sz val="10"/>
        <rFont val="Times New Roman"/>
        <family val="1"/>
        <charset val="186"/>
      </rPr>
      <t>2.kategorija</t>
    </r>
    <r>
      <rPr>
        <sz val="10"/>
        <rFont val="Times New Roman"/>
        <family val="1"/>
      </rPr>
      <t xml:space="preserve"> - Ārsts, zobārsts, rezidents</t>
    </r>
  </si>
  <si>
    <r>
      <rPr>
        <b/>
        <sz val="10"/>
        <rFont val="Times New Roman"/>
        <family val="1"/>
        <charset val="186"/>
      </rPr>
      <t>3.kategorija</t>
    </r>
    <r>
      <rPr>
        <sz val="10"/>
        <rFont val="Times New Roman"/>
        <family val="1"/>
      </rPr>
      <t xml:space="preserve"> - Fizioterapeits, audiologopēds, uztura speciālists, ergoterapeits, tehniskais ortopēds, mākslas terapeits</t>
    </r>
  </si>
  <si>
    <r>
      <rPr>
        <b/>
        <sz val="10"/>
        <rFont val="Times New Roman"/>
        <family val="1"/>
        <charset val="186"/>
      </rPr>
      <t>4.kategorija</t>
    </r>
    <r>
      <rPr>
        <sz val="10"/>
        <rFont val="Times New Roman"/>
        <family val="1"/>
      </rPr>
      <t xml:space="preserve">  - Māsa, ārsta palīgs (feldšeris), vecmāte, biomedicīnas laborants, radiologa asistents, radiogrāfers</t>
    </r>
  </si>
  <si>
    <r>
      <rPr>
        <b/>
        <sz val="10"/>
        <rFont val="Times New Roman"/>
        <family val="1"/>
        <charset val="186"/>
      </rPr>
      <t>5.kategorija</t>
    </r>
    <r>
      <rPr>
        <sz val="10"/>
        <rFont val="Times New Roman"/>
        <family val="1"/>
      </rPr>
      <t xml:space="preserve">  - Masieris, ergoterapeita asistents, fizioterapeita asistents, zobu higiēnists, zobārstniecības māsa, kosmētiķis, podologs, zobu tehniķis</t>
    </r>
  </si>
  <si>
    <r>
      <rPr>
        <b/>
        <sz val="10"/>
        <rFont val="Times New Roman"/>
        <family val="1"/>
        <charset val="186"/>
      </rPr>
      <t>6.kategorija</t>
    </r>
    <r>
      <rPr>
        <sz val="10"/>
        <rFont val="Times New Roman"/>
        <family val="1"/>
      </rPr>
      <t xml:space="preserve">  - Zobārsta asistents, māsas palīgs, operatīvā medicīniskā transportlīdzekļa vadītājs</t>
    </r>
  </si>
  <si>
    <r>
      <rPr>
        <b/>
        <sz val="10"/>
        <rFont val="Times New Roman"/>
        <family val="1"/>
        <charset val="186"/>
      </rPr>
      <t>6.kategorija</t>
    </r>
    <r>
      <rPr>
        <sz val="10"/>
        <rFont val="Times New Roman"/>
        <family val="1"/>
      </rPr>
      <t xml:space="preserve">  - Transportlīdzekļa vadītājs</t>
    </r>
  </si>
  <si>
    <t>Sertificēts ārsts</t>
  </si>
  <si>
    <t>Vecākais ārsts</t>
  </si>
  <si>
    <t>Ārsta palīgs</t>
  </si>
  <si>
    <t>Ārsta palīgs ( feldšeris)</t>
  </si>
  <si>
    <t>Vecākā medicīnas māsa</t>
  </si>
  <si>
    <t>Vecākā māsa</t>
  </si>
  <si>
    <t>Sertificēta māsa</t>
  </si>
  <si>
    <t>IC</t>
  </si>
  <si>
    <t>Radiologa asistents</t>
  </si>
  <si>
    <t>22.10.00 Starptautisko operāciju un Nacionālo bruņoto spēku centralizētais atalgojums</t>
  </si>
  <si>
    <t>I.Sertificētu ārstniecības personu amati</t>
  </si>
  <si>
    <t>Virsārsts</t>
  </si>
  <si>
    <t>Daļas vadītājs</t>
  </si>
  <si>
    <t>Daļas vadītāja vietnieks</t>
  </si>
  <si>
    <t>Programma</t>
  </si>
  <si>
    <t>Māsa</t>
  </si>
  <si>
    <t>II.Reģistrētu ārstniecības personu amati</t>
  </si>
  <si>
    <t>18. Labklājības ministrija</t>
  </si>
  <si>
    <t>04.05.00 "Valsts sociālās apdrošināšanas aģentūras speciālais budžets"</t>
  </si>
  <si>
    <t>vecākais ārsts eksperts</t>
  </si>
  <si>
    <t>ārsts eksperts</t>
  </si>
  <si>
    <t xml:space="preserve"> 04.05.00 Kopā</t>
  </si>
  <si>
    <t xml:space="preserve">05.03.00 "Aprūpe valsts sociālās aprūpes institūcijās" </t>
  </si>
  <si>
    <t>VSAC "Vidzeme"</t>
  </si>
  <si>
    <t>Psihiatrs</t>
  </si>
  <si>
    <t>Zobārsts</t>
  </si>
  <si>
    <t>Ginekologs</t>
  </si>
  <si>
    <t>Fizioterapeits</t>
  </si>
  <si>
    <t>IIB</t>
  </si>
  <si>
    <t>8</t>
  </si>
  <si>
    <t>Garīgās veselības aprūpes māsa</t>
  </si>
  <si>
    <t>7</t>
  </si>
  <si>
    <t>Internās aprūpes māsa</t>
  </si>
  <si>
    <t>6</t>
  </si>
  <si>
    <t>Dezinfektors</t>
  </si>
  <si>
    <t>Veselības aprūpes sektora vadītājs</t>
  </si>
  <si>
    <t>Kopā VSAC "Vidzeme"</t>
  </si>
  <si>
    <t>VSAC "Latgale"</t>
  </si>
  <si>
    <t>Fizioterapeits (nesertificēts)</t>
  </si>
  <si>
    <t xml:space="preserve">5.1 </t>
  </si>
  <si>
    <t>Pediatrs</t>
  </si>
  <si>
    <t xml:space="preserve">III </t>
  </si>
  <si>
    <t>Mākslas terapeits</t>
  </si>
  <si>
    <t>Medicīnas māsa (nesertificēta)</t>
  </si>
  <si>
    <t>Fizikālās terapijas māsa</t>
  </si>
  <si>
    <t>Diētas māsa</t>
  </si>
  <si>
    <t>Masieris</t>
  </si>
  <si>
    <t>Kopā VSAC "Latgale"</t>
  </si>
  <si>
    <t>VSAC "Kurzeme"</t>
  </si>
  <si>
    <t>Ergoterapeits</t>
  </si>
  <si>
    <t>Bērnu aprūpes māsa</t>
  </si>
  <si>
    <t>Psihiatrijas māsa</t>
  </si>
  <si>
    <t>Kopā VSAC "Kurzeme"</t>
  </si>
  <si>
    <t>VSAC "Rīga"</t>
  </si>
  <si>
    <t>ārsts</t>
  </si>
  <si>
    <t>psihiatri</t>
  </si>
  <si>
    <t>internisti</t>
  </si>
  <si>
    <t>oftalmologs</t>
  </si>
  <si>
    <t>pediatri</t>
  </si>
  <si>
    <t>neirologs</t>
  </si>
  <si>
    <t>fizioterapeiti</t>
  </si>
  <si>
    <t>uztura speciālisti</t>
  </si>
  <si>
    <t xml:space="preserve"> ergoterapeiti</t>
  </si>
  <si>
    <t>mākslas, mūzikas terapeits</t>
  </si>
  <si>
    <t>audiologopēds</t>
  </si>
  <si>
    <t>medicīnas māsas</t>
  </si>
  <si>
    <t>medicīnas māsas  (nesertificētas)</t>
  </si>
  <si>
    <t>vecākās medicīnas māsas</t>
  </si>
  <si>
    <t>fizikālās terapijas māsas</t>
  </si>
  <si>
    <t>diētas māsas</t>
  </si>
  <si>
    <t>masieri</t>
  </si>
  <si>
    <t>Veselības aprūpes sektora vadītājs līdz 50 darbiniekiem</t>
  </si>
  <si>
    <t>ergoterapeita asistenti</t>
  </si>
  <si>
    <t>fizioterapeita asistenti</t>
  </si>
  <si>
    <t>podologs</t>
  </si>
  <si>
    <t>Kopā VSAC "Rīga"</t>
  </si>
  <si>
    <t>VSAC "Zemgale"</t>
  </si>
  <si>
    <t>857</t>
  </si>
  <si>
    <t>Medicīnas māsa/NESERTIFICĒTA</t>
  </si>
  <si>
    <t>759</t>
  </si>
  <si>
    <t>Medicīnas māsa/SERTIFICĒTA</t>
  </si>
  <si>
    <t>Veselības aprūpes sektora vadītājs - vecākā medicīnas māsa</t>
  </si>
  <si>
    <t>39</t>
  </si>
  <si>
    <t>IIIA</t>
  </si>
  <si>
    <t>1093</t>
  </si>
  <si>
    <t>1084</t>
  </si>
  <si>
    <t>Kopā VSAC "Zemgale"</t>
  </si>
  <si>
    <t>05.03.00 Kopā</t>
  </si>
  <si>
    <t>05.37.00 "Sociālās integrācijas valsts aģentūras administrēšana un profesionālās un sociālās rehabilitācijas pakalpojumu nodrošināšana"</t>
  </si>
  <si>
    <t>Ārsts (nesertificēts 2.līm.ar kvalifikāciju)</t>
  </si>
  <si>
    <t>Ārsts (nesertificēts 2.līm.bez kvalifikāciju)</t>
  </si>
  <si>
    <t>Ārsts -psihiatrs</t>
  </si>
  <si>
    <t xml:space="preserve">Dežūrārsts </t>
  </si>
  <si>
    <t>Vecākais fizioterapeits</t>
  </si>
  <si>
    <t>Vecākais ergoterapeits</t>
  </si>
  <si>
    <t>Ergoterapeits (nesertificēts)</t>
  </si>
  <si>
    <t>Vecākais psihologs</t>
  </si>
  <si>
    <t>Psihologs</t>
  </si>
  <si>
    <t>Uztura speciālists</t>
  </si>
  <si>
    <t>Medicīnas māsa (dežūrmāsa)</t>
  </si>
  <si>
    <t>Biomedicīnas laborants (nesertificēts)</t>
  </si>
  <si>
    <t>ID</t>
  </si>
  <si>
    <t>Trenažieru zāles instruktors</t>
  </si>
  <si>
    <t>Masieris (nesertificēts)</t>
  </si>
  <si>
    <t>Aprūpētājs</t>
  </si>
  <si>
    <t>Sociālais aprūpētājs</t>
  </si>
  <si>
    <t xml:space="preserve">Sociālais rehabilitētājs </t>
  </si>
  <si>
    <t>05.37.00 Kopā</t>
  </si>
  <si>
    <t>05.62.00 "Invaliditātes ekspertīžu nodrošināšana"( Veselības un darbspēju ekspertīzes ārstu valsts komisija)</t>
  </si>
  <si>
    <t>Vadītāja vietnieks</t>
  </si>
  <si>
    <t>Vecākais ārsts eksperts nodaļas vadītājs</t>
  </si>
  <si>
    <t xml:space="preserve">Vecākais ārsts eksperts </t>
  </si>
  <si>
    <t xml:space="preserve">Ārsts eksperts </t>
  </si>
  <si>
    <t>05.62.00 Kopā</t>
  </si>
  <si>
    <t>Ārstniecības personas Labklājības ministrijas līgumorganizācijās, kuras sociālos pakalpojumus sniedz uz līguma par Valsts pārvaldes deleģēto funkciju izpildi vai publiskā iepirkuma līguma pamata 05.01.00 "Sociālās rehabilitācijas valsts programmas"</t>
  </si>
  <si>
    <t>KOPĀ  LM</t>
  </si>
  <si>
    <t>10.Aizsardzības ministrija (Nacionālie bruņotie spēki)</t>
  </si>
  <si>
    <t>max pēc MK not. Nr.66 (2.piel.)</t>
  </si>
  <si>
    <t>14. Iekšlietu ministrija</t>
  </si>
  <si>
    <t>06.01.00 "Valsts policija"</t>
  </si>
  <si>
    <t>10.00.00 "Valsts robežsardzes darbība"</t>
  </si>
  <si>
    <t>speciālists</t>
  </si>
  <si>
    <t>38.05.00 "Veselības aprūpe un fiziskā sagatavotība" (Iekšlietu ministrijas veselības un sporta centrs)</t>
  </si>
  <si>
    <t>Ārsts-eksperts</t>
  </si>
  <si>
    <t>38.05.00 "Veselības aprūpe un fiziskā sagatavotība" (VSIA"Iekšlietu ministrijas poliklīnika")</t>
  </si>
  <si>
    <t>Biomedicinas laborants</t>
  </si>
  <si>
    <t>Laboratorijas speciālists</t>
  </si>
  <si>
    <t>Pacientu reģistratots</t>
  </si>
  <si>
    <t>Sanitāre</t>
  </si>
  <si>
    <t>Sterilizācijas tehniskais darbinieks</t>
  </si>
  <si>
    <t>2020.gads</t>
  </si>
  <si>
    <r>
      <t xml:space="preserve">Faktiskā mēnešalgas likme par           </t>
    </r>
    <r>
      <rPr>
        <u/>
        <sz val="9"/>
        <rFont val="Times New Roman"/>
        <family val="1"/>
      </rPr>
      <t>1 (vienu)</t>
    </r>
    <r>
      <rPr>
        <sz val="9"/>
        <rFont val="Times New Roman"/>
        <family val="1"/>
      </rPr>
      <t xml:space="preserve"> 
slodzi </t>
    </r>
  </si>
  <si>
    <t>Piemaksas</t>
  </si>
  <si>
    <t>Faktiskā darba samaksa (atalgojums par slodzi) mēnesī</t>
  </si>
  <si>
    <t>Papildus līdzekļi darba samaksas pieaugumam visām slodzēm gadā, EUR</t>
  </si>
  <si>
    <t>Kopā ar 
sociālo nodokli 24,09%, 
EUR</t>
  </si>
  <si>
    <t>18. Labklājības ministrija  05.01.00 "Sociālās rehabilitācijas valsts programmas"</t>
  </si>
  <si>
    <t>Sociālo pakalpojumu centrs "Pīlādzis" (29.01.2019. līgums Nr.LM2019/24-1-06/10 par ilgstošas sociālās aprūpes un sociālās rehabilitācijas pakalpojumu sniegšanu pilngadīgām personām ar smagiem garīga rakstura traucējumiem (personām ar I un II grupas invaliditāti))</t>
  </si>
  <si>
    <t xml:space="preserve">Psihiatrs </t>
  </si>
  <si>
    <t>Medicīnas māsa (sertificēta)</t>
  </si>
  <si>
    <t>Kopā iestāde</t>
  </si>
  <si>
    <t>VSIA Strenču psihoneiroloģiskā slimnīca (14.01.2019. līgums Nr.2019/24-1-04/01  par ilgstošas sociālās aprūpes un sociālās rehabilitācijas pakalpojumu sniegšanu pilngadīgām personām ar smagiem garīga rakstura traucējumiem (personām ar I un II grupas invaliditāti))</t>
  </si>
  <si>
    <t>VSIA "Rīgas psihiatrijas un narkoloģijas centrs" (15.01.2019. līgums Nr.2019/24-1-04/03   par ilgstošas sociālās aprūpes un sociālās rehabilitācijas pakalpojumu sniegšanu pilngadīgām personām ar smagiem garīga rakstura traucējumiem (personām ar I un II grupas invaliditāti))</t>
  </si>
  <si>
    <t>PSIA "Veselības un sociālās aprūpes centrs - Sloka" (29.01.2019. līgums Nr.2019/24-1-06/07  par ilgstošas sociālās aprūpes un sociālās rehabilitācijas pakalpojumu sniegšanu pilngadīgām personām ar smagiem garīga rakstura traucējumiem (personām ar I un II grupas invaliditāti))</t>
  </si>
  <si>
    <t>Ārsts - internists</t>
  </si>
  <si>
    <t xml:space="preserve"> Masieris</t>
  </si>
  <si>
    <t>Podologs</t>
  </si>
  <si>
    <t>SIA "Atsaucība" (29.01.2019. līgums Nr.2019/24-1-06/09  par ilgstošas sociālās aprūpes un sociālās rehabilitācijas pakalpojumu sniegšanu pilngadīgām personām ar smagiem garīga rakstura traucējumiem (personām ar I un II grupas invaliditāti))</t>
  </si>
  <si>
    <t>SIA "Veselības centrs "Ilūkste"" (29.01.2019. līgums Nr.2019/24-1-06/08  par ilgstošas sociālās aprūpes un sociālās rehabilitācijas pakalpojumu sniegšanu pilngadīgām personām ar smagiem garīga rakstura traucējumiem (personām ar I un II grupas invaliditāti))</t>
  </si>
  <si>
    <t xml:space="preserve"> Biedrības "Latvijas Sarkanais Krusts" sociālās aprūpes centrs "Stūrīši" (29.01.2019. līgums Nr.2019/24-1-06/06  par ilgstošas sociālās aprūpes un sociālās rehabilitācijas pakalpojumu sniegšanu pilngadīgām personām ar smagiem garīga rakstura traucējumiem (personām ar I un II grupas invaliditāti))</t>
  </si>
  <si>
    <t>VSIA "Daugavpils psihoneiroloģiskā slimnīcas" (15.01.2019. līgums Nr.2019/24-1-04/04 par ilgstošas sociālās aprūpes un sociālās rehabilitācijas pakalpojumu sniegšanu pilngadīgām personām ar smagiem garīga rakstura traucējumiem (personām ar I un II grupas invaliditāti))</t>
  </si>
  <si>
    <t>Galvenā medicīnas māsa (ar GVAM sertifikātu)</t>
  </si>
  <si>
    <t>Garīgas veselības aprūpes māsa</t>
  </si>
  <si>
    <t>Masieris (sertificēts)</t>
  </si>
  <si>
    <r>
      <t xml:space="preserve">VSIA "Slimnīca "Ģintermuiža"" (07.02.2019. līgums Nr.2019/24-1-06/12  par sociālās rehabilitācijas pakalpojumu sniegšanu no psihoaktīvām vielām atkarīgām </t>
    </r>
    <r>
      <rPr>
        <b/>
        <i/>
        <u/>
        <sz val="10"/>
        <rFont val="Times New Roman"/>
        <family val="1"/>
      </rPr>
      <t>nepilngadīgām personām</t>
    </r>
    <r>
      <rPr>
        <b/>
        <i/>
        <sz val="10"/>
        <rFont val="Times New Roman"/>
        <family val="1"/>
      </rPr>
      <t>)</t>
    </r>
  </si>
  <si>
    <t>Narkologs</t>
  </si>
  <si>
    <t xml:space="preserve"> VSIA "Slimnīca "Ģintermuiža"" (14.01.2019. līgums Nr.2019/24-1-06/02  par ilgstošas sociālās aprūpes un sociālās rehabilitācijas pakalpojumu sniegšanu pilngadīgām personām ar smagiem garīga rakstura traucējumiem (personām ar I un II grupas invaliditāti))</t>
  </si>
  <si>
    <r>
      <t xml:space="preserve">VSIA "Slimnīca "Ģintermuiža"" (04.01.2019. līgums Nr.2019/24-1-06/01  par sociālās rehabilitācijas pakalpojumu sniegšanu no psihoaktīvām vielām atkarīgām </t>
    </r>
    <r>
      <rPr>
        <b/>
        <i/>
        <u/>
        <sz val="10"/>
        <rFont val="Times New Roman"/>
        <family val="1"/>
      </rPr>
      <t>pilngadīgām personām</t>
    </r>
    <r>
      <rPr>
        <b/>
        <i/>
        <sz val="10"/>
        <rFont val="Times New Roman"/>
        <family val="1"/>
      </rPr>
      <t>)</t>
    </r>
  </si>
  <si>
    <t>Mākslas terapeits (deju un kusrību)</t>
  </si>
  <si>
    <t>Mākslas terapeits (drāmas)</t>
  </si>
  <si>
    <t>Nodibinājums "Latvijas Bērnu fonds" (06.01.2017. līgums Nr.2017/24-1-04/01  par sociālās rehabilitācijas pakalpojumu sniegšanu bērniem, kuri cietuši no vardarbības)</t>
  </si>
  <si>
    <t>Mākslas terapeits (Deju un kustību terapeits, Mūzikas terapeits)</t>
  </si>
  <si>
    <t>Latvijas Nedzirdīgo savienība (10.01.2017. līgums Nr.2017/24-1-04/03  par personu ar dzirdes invaliditāti nodrošināšanu ar tehniskajiem palīglīdzekļiem - surdotehniku)</t>
  </si>
  <si>
    <t>Ārsts otolaringologs</t>
  </si>
  <si>
    <t>Protēžu meistars</t>
  </si>
  <si>
    <t xml:space="preserve"> VSIA "Nacionālais rehabilitācijas centrs "Vaivari" (18.01.2017. līgums Nr.2017/24-1-04/09  par personu nodrošināšanu ar tehniskajiem palīglīdzekļiem)</t>
  </si>
  <si>
    <t xml:space="preserve">Ārsts konsultants </t>
  </si>
  <si>
    <t>Galvenais ergoterapeits</t>
  </si>
  <si>
    <t>Vecākais ergoterapeits (nesertificēts)</t>
  </si>
  <si>
    <t>Vecākais fizioterapeits (sertificēts)</t>
  </si>
  <si>
    <t>Fizioterapeits (sertificēts)</t>
  </si>
  <si>
    <t>Vecākais tehniskais ortopēds (sertificēts)</t>
  </si>
  <si>
    <t>Tehniskais ortopēds (sertificēts)</t>
  </si>
  <si>
    <t>Tehniskais ortopēds</t>
  </si>
  <si>
    <t>Audiologopēds</t>
  </si>
  <si>
    <t>VSIA "Paula Stradiņa klīniskā universitātes slimnīca (27.01.2017. līgums Nr.2017/24-1-04/15  par Černobiļas atomelektrostacijas avāriju seku likvidēšanas dalībnieku un Černobiļas atomelektrostacijas avārijas rezultātā cietušo personu sociālās aizsardzības likuma 6. panta 1.puntā deleģēto valsts pārvaldes uzdevumu veikšanu saistībā ar Černobiļas atomelektrostacijas avāriju seku likvidēšanas dalībnieku un Černobiļas atomelektrostacijas avārijas rezultātā cietušo personu (turpmāk kopā – personas) uzskaiti, šim nolūkam izveidojot un uzturot minēto personu uzskaites vienotu datu bāzi un veicot personu statusu apliecinošo apliecību izsniegšanu)</t>
  </si>
  <si>
    <t>Arodveselības un arodslimību ārsts</t>
  </si>
  <si>
    <t>Ambulatorās aprūpes māsa</t>
  </si>
  <si>
    <t>05.01.00 Kopā</t>
  </si>
  <si>
    <t>14.Iekšlietu ministrija (līgumorganizācija)</t>
  </si>
  <si>
    <t>15. Izglītības un zinātnes ministrija</t>
  </si>
  <si>
    <t>02.01.00. "Profesionālās izglītības programmu īstenošana"</t>
  </si>
  <si>
    <t>I A</t>
  </si>
  <si>
    <t>Fizioterapeita asistents</t>
  </si>
  <si>
    <t>I C</t>
  </si>
  <si>
    <t>01.03.00. "Sociālās korekcijas izglītības iestāde"</t>
  </si>
  <si>
    <t>09.10.00. "Murjāņu sporta ģimnāzija"</t>
  </si>
  <si>
    <t xml:space="preserve">Pašvaldību speciālajās pirmsskolas izglītības iestādēs, internātskolās, Izglītības iestāžu reģistrā reģistrētajos attīstības un rehabilitācijas centros un speciālajās internātskolās bērniem ar fiziskās un garīgās attīstības traucējumiem nodarbināto ārstniecības personu faktiskā darba samaksa par slodzi 2019.gadā </t>
  </si>
  <si>
    <t>Kopā atalgojums visām slodzēm mēnesī</t>
  </si>
  <si>
    <t>62. “Mērķdotācijas pašvaldībām”</t>
  </si>
  <si>
    <t>01.00.00. "Mērķdotācijas izglītības pasākumiem"</t>
  </si>
  <si>
    <t>Alergologs</t>
  </si>
  <si>
    <t>Acu ārsts (oftalmologs)</t>
  </si>
  <si>
    <t>Optometrists</t>
  </si>
  <si>
    <t>Dietologs</t>
  </si>
  <si>
    <t>Rehabilitologs</t>
  </si>
  <si>
    <t>Galvenā / vecākā medicīnas māsa</t>
  </si>
  <si>
    <t>Aprūpes māsa</t>
  </si>
  <si>
    <t>Medicīnas māsas palīgs</t>
  </si>
  <si>
    <t>62.resors “Mērķdotācijas pašvaldībām”</t>
  </si>
  <si>
    <t>Slodzes
(strādājošo skaits normālā darba laika ietvaros)</t>
  </si>
  <si>
    <t>Pašvaldības nosaukums</t>
  </si>
  <si>
    <t>EUR
mēnesī</t>
  </si>
  <si>
    <t>Speciālās internāt-
skolas</t>
  </si>
  <si>
    <t>Attīstības un rehabi-
litācijas centri</t>
  </si>
  <si>
    <t>Fizio-
terapeits</t>
  </si>
  <si>
    <t>Ergo-
terapeits</t>
  </si>
  <si>
    <t>Otolarin-
gologs</t>
  </si>
  <si>
    <t>Audio-
logopēds</t>
  </si>
  <si>
    <t>Opto-
metrists</t>
  </si>
  <si>
    <t>Rehabi-
litologs</t>
  </si>
  <si>
    <t>Rīgas pilsēta</t>
  </si>
  <si>
    <t>Daugavpils pilsēta</t>
  </si>
  <si>
    <t>Jelgavas pilsēta</t>
  </si>
  <si>
    <t>Jūrmalas pilsēta</t>
  </si>
  <si>
    <t>Liepājas pilsēta</t>
  </si>
  <si>
    <t>Rēzeknes pilsēta</t>
  </si>
  <si>
    <t>Valmieras pilsēta</t>
  </si>
  <si>
    <t>Aizputes novads</t>
  </si>
  <si>
    <t>Amatas novads</t>
  </si>
  <si>
    <t>Apes novads</t>
  </si>
  <si>
    <t>Bauskas novads</t>
  </si>
  <si>
    <t>Cēsu novads</t>
  </si>
  <si>
    <t>Ciblas novads</t>
  </si>
  <si>
    <t>Dagdas novads</t>
  </si>
  <si>
    <t>Daugavpils novads</t>
  </si>
  <si>
    <t>Dobeles novads</t>
  </si>
  <si>
    <t>Gulbenes novads</t>
  </si>
  <si>
    <t>Iecavas novads</t>
  </si>
  <si>
    <t>Ilūkstes novads</t>
  </si>
  <si>
    <t>Jelgavas novads</t>
  </si>
  <si>
    <t>Kocēnu novads</t>
  </si>
  <si>
    <t>Kokneses novads</t>
  </si>
  <si>
    <t>Krustpils novads</t>
  </si>
  <si>
    <t>Kuldīgas novads</t>
  </si>
  <si>
    <t>Lielvārdes novads</t>
  </si>
  <si>
    <t>Limbažu novads</t>
  </si>
  <si>
    <t>Līvānu novads</t>
  </si>
  <si>
    <t>Madonas novads</t>
  </si>
  <si>
    <t>Ogres novads</t>
  </si>
  <si>
    <t>Pārgaujas novads</t>
  </si>
  <si>
    <t>Priekules novads</t>
  </si>
  <si>
    <t>Rēzeknes novads</t>
  </si>
  <si>
    <t>Saldus novads</t>
  </si>
  <si>
    <t>Smiltenes novads</t>
  </si>
  <si>
    <t>Stopiņu novads</t>
  </si>
  <si>
    <t>Talsu novads</t>
  </si>
  <si>
    <t>Tukuma novads</t>
  </si>
  <si>
    <t>Ventspils novads</t>
  </si>
  <si>
    <t>Valsts tiesu medicīnas ekspertīzes centrs</t>
  </si>
  <si>
    <t>Direktors</t>
  </si>
  <si>
    <t xml:space="preserve">Direktora vietnieks, Ekspertīzes un izpētes departamenta vadītājs </t>
  </si>
  <si>
    <t>Ekspertīzes un izpētes departamenta vadītāja vietnieks</t>
  </si>
  <si>
    <t>Nodaļas vadītājs, vecākais tiesu medicīnas eksperts</t>
  </si>
  <si>
    <t>Laboratorijas vadītājs, vecākais tiesu medicīnas eksperts</t>
  </si>
  <si>
    <t>Laboratorijas vadītājs, vecākais speciālists - tiesu medicīnas eksperts</t>
  </si>
  <si>
    <t>Reģionālās nodaļas vadītājs, vecākais tiesu medicīnas eksperts</t>
  </si>
  <si>
    <t xml:space="preserve">Nodaļas vadītāja vietnieks, vecākais tiesu medicīnas eksperts </t>
  </si>
  <si>
    <t xml:space="preserve">Vecākais tiesu medicīnas eksperts </t>
  </si>
  <si>
    <t xml:space="preserve">Vecākais speciālists - tiesu medicīnas eksperts </t>
  </si>
  <si>
    <t>Ārsts patologs</t>
  </si>
  <si>
    <t>Tiesu medicīnas eksperts</t>
  </si>
  <si>
    <t xml:space="preserve">Speciālists - tiesu medicīnas eksperts </t>
  </si>
  <si>
    <t>Galvenā  māsa</t>
  </si>
  <si>
    <t>Eksperta palīgs</t>
  </si>
  <si>
    <t xml:space="preserve">Sanitārs </t>
  </si>
  <si>
    <t>Reģistrators</t>
  </si>
  <si>
    <t>23</t>
  </si>
  <si>
    <t>Fotogrāfs</t>
  </si>
  <si>
    <t>33</t>
  </si>
  <si>
    <t>39.06.00 Tiesu medicīniskā ekspertīze</t>
  </si>
  <si>
    <t>F</t>
  </si>
  <si>
    <t>G</t>
  </si>
  <si>
    <t>1.</t>
  </si>
  <si>
    <t>2.</t>
  </si>
  <si>
    <t>Nacionālais veselības dienests</t>
  </si>
  <si>
    <t>45.01.00 Veselības aprūpes finansējuma administrēšana un ekonomiskā novērtēšana</t>
  </si>
  <si>
    <t>Kontroles un uzraudzības departamenta direktors</t>
  </si>
  <si>
    <t xml:space="preserve">Līgumu uzraudzības nodaļas vadītājs </t>
  </si>
  <si>
    <t>Līgumu uzraudzības nodaļas vecākais eksperts</t>
  </si>
  <si>
    <t>Kontroles un uzraudzības departamenta direktora vietnieks/Uzraudzības plānošanas un analīzes nodaļas vadītājs</t>
  </si>
  <si>
    <t>Uzraudzības plānošanas un analīzes nodaļas vecākais eksperts</t>
  </si>
  <si>
    <t>Nr.p.k.</t>
  </si>
  <si>
    <r>
      <rPr>
        <b/>
        <sz val="10"/>
        <rFont val="Times New Roman"/>
        <family val="1"/>
        <charset val="186"/>
      </rPr>
      <t xml:space="preserve">Vidējais aprēķins </t>
    </r>
    <r>
      <rPr>
        <sz val="10"/>
        <rFont val="Times New Roman"/>
        <family val="1"/>
        <charset val="186"/>
      </rPr>
      <t xml:space="preserve">- </t>
    </r>
    <r>
      <rPr>
        <b/>
        <sz val="10"/>
        <rFont val="Times New Roman"/>
        <family val="1"/>
        <charset val="186"/>
      </rPr>
      <t>no 01.01.2019</t>
    </r>
  </si>
  <si>
    <t>Augstskolas izdevumi</t>
  </si>
  <si>
    <t>Ārstniecības iestādes izdevumi</t>
  </si>
  <si>
    <t>2.1.</t>
  </si>
  <si>
    <t>Rezidenta atlīdzība</t>
  </si>
  <si>
    <t>2.1.1.</t>
  </si>
  <si>
    <t>Atalgojums</t>
  </si>
  <si>
    <t>2.1.1.1.</t>
  </si>
  <si>
    <t>t.sk. amatalga</t>
  </si>
  <si>
    <t>2.1.1.2.</t>
  </si>
  <si>
    <t>t.sk. pārējie izdevumi rezidentu atlīdzībai - samaksa par dežūru stundām virs normālā darba laika (24 h mēnesī), piemaksas par nakts dežūrām, svētku dienām, mājas dežūrām un darba samaksas mainīgajai daļai</t>
  </si>
  <si>
    <t>2.1.2.</t>
  </si>
  <si>
    <t>VSAOI</t>
  </si>
  <si>
    <t>2.2.</t>
  </si>
  <si>
    <t>Rezidentu teorētisko un praktisko apmācību saistīto izdevumu apmaksai ārstniecības iestādē</t>
  </si>
  <si>
    <t>2.2.1.</t>
  </si>
  <si>
    <t xml:space="preserve">Ārstu un cita mācību personāla atlīdzībai </t>
  </si>
  <si>
    <t>2.2.1.1.</t>
  </si>
  <si>
    <t xml:space="preserve">Ārstu un cita mācību personāla atlīdzībai par rezidentu teorētisko un praktisko apmācību </t>
  </si>
  <si>
    <t>2.2.1.1.1.</t>
  </si>
  <si>
    <t>t.sk. atalgojums</t>
  </si>
  <si>
    <t>2.2.1.1.2.</t>
  </si>
  <si>
    <t>t.sk. VSAOI</t>
  </si>
  <si>
    <t>2.2.1.2.</t>
  </si>
  <si>
    <t>Ārstu atlīdzībai, kas atbildīgi par rezidentūras organizāciju (atalgojums un VSAOI)</t>
  </si>
  <si>
    <t>2.2.1.2.1.</t>
  </si>
  <si>
    <t>2.2.1.2.2.</t>
  </si>
  <si>
    <t>2.2.2.</t>
  </si>
  <si>
    <t xml:space="preserve">Ar rezidentūras organizēšanu  saistīto izdevumu segšanai </t>
  </si>
  <si>
    <t>2.2.2.1.</t>
  </si>
  <si>
    <t>t.sk.ar rezidenta pašizglītību saistītie izdevumi (izdevumi  medicīniskās literatūras, datu bāžu, grāmatu, u.c. iegādei bibliotēkai, aprīkojuma, datoru iegādei, u.tml., kas paliek ārstniecības iestādes īpašumā)</t>
  </si>
  <si>
    <t>2.2.2.2.</t>
  </si>
  <si>
    <t>t.sk.ar rezidentūras organizēšanu  saistīto izdevumu segšanai saimniecisko, komunālo un ārstniecības iestādes citu kārtējo izdevumu segšanai, kas attiecas uz rezidentūras organizēšanu ārstniecības iestādē, t.sk. rezidentu telpu iekārtošanas, identifikācijas  karšu iegādes, vienotas e-adreses nodrošināšanai, zīmogu izgatavošanas izdevumi u.tml.))</t>
  </si>
  <si>
    <t>Plānotais vidējais rezidentu skaits gadā</t>
  </si>
  <si>
    <t xml:space="preserve">Kopā: </t>
  </si>
  <si>
    <t>Amatalga pēc izmaiņām</t>
  </si>
  <si>
    <t>Starpība, EUR</t>
  </si>
  <si>
    <t>Darba samaksa atbilstoši slodzēm</t>
  </si>
  <si>
    <t>Kopā ar Sociālo nodokli</t>
  </si>
  <si>
    <t>1 (6)</t>
  </si>
  <si>
    <t>2 (7)</t>
  </si>
  <si>
    <t>3 (8)</t>
  </si>
  <si>
    <t>4 (9)</t>
  </si>
  <si>
    <t>5 (11)</t>
  </si>
  <si>
    <t>6 (13)</t>
  </si>
  <si>
    <t>KOPĀ Ārstniecības personas</t>
  </si>
  <si>
    <t xml:space="preserve">Pārējam personālam </t>
  </si>
  <si>
    <t>Zemākā mēnešalgas likme par slodzi (atbilstoši MK not. Nr.851)</t>
  </si>
  <si>
    <t>kopā pieaugums uz vienu slodzi (ievērojot MK not.)</t>
  </si>
  <si>
    <t>kopā pieaugums uz visām slodzēm mēnesī</t>
  </si>
  <si>
    <t>papildus līdzekļi atalgojumam  
(1100 kods) gadā</t>
  </si>
  <si>
    <t>darba devēja VSAOI 
24,09%
(1200 kods)
gadā</t>
  </si>
  <si>
    <t>papildus līdzekļi atlīdzībai (1000 kods) 
gadā</t>
  </si>
  <si>
    <t>Pielikums Nr.1.4.</t>
  </si>
  <si>
    <t>Pielikums Nr.1.6.</t>
  </si>
  <si>
    <t>EUR</t>
  </si>
  <si>
    <t xml:space="preserve">Ārstniecības personu darba samaksas pieaugums 14.Iekšlietu ministrijas kapitālsabiedrībai VSIA "Iekšlietu ministrijas poliklīnika" </t>
  </si>
  <si>
    <t xml:space="preserve">Ārstniecības personu darba samaksas pieaugums 18.Labklājības ministrijas līgumorganizācijas, kuras sociālos pakalpojumus sniedz uz līguma par Valsts pārvaldes deleģēto funkciju izpildi vai publiskā iepirkuma līguma pamata. </t>
  </si>
  <si>
    <t>19.Tieslietu ministrija</t>
  </si>
  <si>
    <t xml:space="preserve">Ārstniecības personu darba samaksas pieaugums 19.Tieslietu ministrijai </t>
  </si>
  <si>
    <t>Ārstniecības personu darba samaksas pieaugums 10.Aizsardzības ministrijai, 14.Iekšlietu ministrijai, 15.Izglītības un zinātnes ministrijai, 18.Labklājības ministrijai un 62.Mērķdotācijas pašvaldībām</t>
  </si>
  <si>
    <t>Pielikums Nr.1.2.</t>
  </si>
  <si>
    <t>Pielikums Nr.1.3.</t>
  </si>
  <si>
    <t>Pielikums Nr.1.5.</t>
  </si>
  <si>
    <t>Neatliekamās medicīniskās palīdzības dienesta ārstniecības personu faktiskā darba samaksas pieaugums (MK noteikumi Nr.851)</t>
  </si>
  <si>
    <t>Pielikums Nr.1.7.</t>
  </si>
  <si>
    <t>Pielikums Nr.1.8.</t>
  </si>
  <si>
    <t>Pielikums Nr.1.1.</t>
  </si>
  <si>
    <t>Autobusa vadītājs</t>
  </si>
  <si>
    <t>Tehniskās uzraudzības inspektors</t>
  </si>
  <si>
    <t>Veselības ministrijas padotības iestādēs strādājošo, uz kuriem ir attiecināms Valsts un pašvaldību institūciju amatpersonu un darbinieku atlīdzības likumā noteiktās mēnešalgu grupu maksimālās mēnešalgas,  darba samaksas palielinājums.</t>
  </si>
  <si>
    <t>Pieaugums (%)</t>
  </si>
  <si>
    <t>Darba samaksas pieaugums
MK 851 1.-2.kategorija un 6.kategorija
MK 555 1. un 3.kategorija</t>
  </si>
  <si>
    <t>Darba samaksas pieaugums
MK 851 3.-5.kategorija
MK 555 2.kategorija</t>
  </si>
  <si>
    <t>Ietekme uz plānotiem rezidentiem gadā</t>
  </si>
  <si>
    <t>PĀRĒJĀS ĀRSTNIECĪBAS PERSONAS</t>
  </si>
  <si>
    <t>Šos darba samaksas pieauguma procentus šeit var mainīt/modelēt, bet tie koriģēsies TIKAI padotības iestādēm un citām ministrijām!!!
Mainot pieauguma % rezidentiem un tarifiem, viss jāpārrēķina manuāli.</t>
  </si>
  <si>
    <t>ĀRSTNIECĪBAS UN PACIENTU APRŪPES PERSONAS, TAI SKAITĀ MĀSAS</t>
  </si>
  <si>
    <t>Ārstniecības personu zemāko mēnešalgu izmaiņas no 2020.gada</t>
  </si>
  <si>
    <r>
      <rPr>
        <b/>
        <sz val="10"/>
        <rFont val="Times New Roman"/>
        <family val="1"/>
        <charset val="186"/>
      </rPr>
      <t xml:space="preserve">Vidējais aprēķins </t>
    </r>
    <r>
      <rPr>
        <sz val="10"/>
        <rFont val="Times New Roman"/>
        <family val="1"/>
        <charset val="186"/>
      </rPr>
      <t xml:space="preserve">- </t>
    </r>
    <r>
      <rPr>
        <b/>
        <sz val="10"/>
        <rFont val="Times New Roman"/>
        <family val="1"/>
        <charset val="186"/>
      </rPr>
      <t>no 01.01.2020 (20% palielinājums)</t>
    </r>
  </si>
  <si>
    <t xml:space="preserve">Ietekme uz vienu rezidentu mēnesī (pret 2019.gadu) </t>
  </si>
  <si>
    <r>
      <rPr>
        <b/>
        <sz val="10"/>
        <rFont val="Times New Roman"/>
        <family val="1"/>
        <charset val="186"/>
      </rPr>
      <t xml:space="preserve">Vidējais aprēķins </t>
    </r>
    <r>
      <rPr>
        <sz val="10"/>
        <rFont val="Times New Roman"/>
        <family val="1"/>
        <charset val="186"/>
      </rPr>
      <t xml:space="preserve">- </t>
    </r>
    <r>
      <rPr>
        <b/>
        <sz val="10"/>
        <rFont val="Times New Roman"/>
        <family val="1"/>
        <charset val="186"/>
      </rPr>
      <t xml:space="preserve">no 01.01.2020 </t>
    </r>
    <r>
      <rPr>
        <sz val="10"/>
        <rFont val="Times New Roman"/>
        <family val="1"/>
        <charset val="186"/>
      </rPr>
      <t>(10%  palielinājuma prognoze)</t>
    </r>
  </si>
  <si>
    <r>
      <rPr>
        <b/>
        <sz val="10"/>
        <rFont val="Times New Roman"/>
        <family val="1"/>
        <charset val="186"/>
      </rPr>
      <t xml:space="preserve">Vidējais aprēķins </t>
    </r>
    <r>
      <rPr>
        <sz val="10"/>
        <rFont val="Times New Roman"/>
        <family val="1"/>
        <charset val="186"/>
      </rPr>
      <t xml:space="preserve">- </t>
    </r>
    <r>
      <rPr>
        <b/>
        <sz val="10"/>
        <rFont val="Times New Roman"/>
        <family val="1"/>
        <charset val="186"/>
      </rPr>
      <t xml:space="preserve">no 01.01.2020 </t>
    </r>
    <r>
      <rPr>
        <sz val="10"/>
        <rFont val="Times New Roman"/>
        <family val="1"/>
        <charset val="186"/>
      </rPr>
      <t>(10%  palielinājuma prognoze)</t>
    </r>
    <r>
      <rPr>
        <b/>
        <sz val="10"/>
        <rFont val="Times New Roman"/>
        <family val="1"/>
        <charset val="186"/>
      </rPr>
      <t xml:space="preserve"> ar algas koeficientu 1.1  no 3. rezidentūras gada pamatspecialitātē  un 1. papildspecialitātēs</t>
    </r>
  </si>
  <si>
    <r>
      <rPr>
        <b/>
        <sz val="10"/>
        <rFont val="Times New Roman"/>
        <family val="1"/>
        <charset val="186"/>
      </rPr>
      <t xml:space="preserve">Vidējais aprēķins </t>
    </r>
    <r>
      <rPr>
        <sz val="10"/>
        <rFont val="Times New Roman"/>
        <family val="1"/>
        <charset val="186"/>
      </rPr>
      <t xml:space="preserve">- </t>
    </r>
    <r>
      <rPr>
        <b/>
        <sz val="10"/>
        <rFont val="Times New Roman"/>
        <family val="1"/>
        <charset val="186"/>
      </rPr>
      <t>no 01.01.2020 (20% palielinājums) ar algas koeficientu 1.1  no 3. rezidentūras gada pamatspecialitātē  un 1. papildspecialitātēs</t>
    </r>
  </si>
  <si>
    <t>Pielikums Nr.1.9.</t>
  </si>
  <si>
    <t>Pielikums Nr.1.10.</t>
  </si>
  <si>
    <t xml:space="preserve">Darba samaksas palielinājums rezidentiem no 2020.gada </t>
  </si>
  <si>
    <t>10% darba samaksas pieaugums 2020.gadam, t.sk. 24.09%</t>
  </si>
  <si>
    <t>Ārstniecības personu darba samaksas 2020.gadam 
pašvaldībām - pašvaldību speciālajām internātskolām un Izglītības iestāžu reģistrā reģistrētajiem attīstības un rehabilitācijas centriem</t>
  </si>
  <si>
    <t xml:space="preserve">Darba samaksas pieaugums mēnesī -  10%
</t>
  </si>
  <si>
    <t>amatalga ar  pieaugumu (neievērojot MK not. Nr.66 max)</t>
  </si>
  <si>
    <t>EKK 3000</t>
  </si>
  <si>
    <t>Amatalgas pieaugums IEVĒROJOT MK not. Nr.66</t>
  </si>
  <si>
    <t>Pieaugums regulārajām piemaksām IEVĒROJOT MK not. Nr.66</t>
  </si>
  <si>
    <t>Pārējais pieaugums atalgojuma mainīgajai daļai, lai sasniegtu 10% pieaugumu*</t>
  </si>
  <si>
    <t>Pārējais pieaugums regulārajām piemaksām atalgojuma mainīgajai daļai, lai sasniegtu 10% pieaugumu*</t>
  </si>
  <si>
    <r>
      <t xml:space="preserve">Jaunā amatalga </t>
    </r>
    <r>
      <rPr>
        <b/>
        <sz val="10"/>
        <rFont val="Times New Roman"/>
        <family val="1"/>
      </rPr>
      <t>IEVĒROJOT</t>
    </r>
    <r>
      <rPr>
        <sz val="10"/>
        <rFont val="Times New Roman"/>
        <family val="1"/>
      </rPr>
      <t xml:space="preserve"> MK not. Nr.66 (2.piel.)</t>
    </r>
  </si>
  <si>
    <r>
      <t xml:space="preserve">Faktiskā mēnešalgas likme par           </t>
    </r>
    <r>
      <rPr>
        <u/>
        <sz val="10"/>
        <rFont val="Times New Roman"/>
        <family val="1"/>
      </rPr>
      <t>1 (vienu)</t>
    </r>
    <r>
      <rPr>
        <sz val="10"/>
        <rFont val="Times New Roman"/>
        <family val="1"/>
      </rPr>
      <t xml:space="preserve"> 
slodzi </t>
    </r>
  </si>
  <si>
    <t>Plus 49,5% piemaksām</t>
  </si>
  <si>
    <t>*Pieauguma daļa, lai nodrošinātu darba samaksas pieaugumu par 10% , tiks izmaksāta piemaksu veidā</t>
  </si>
  <si>
    <t>Pārējā personāla zemāko mēnešalgu izmaiņas no 2020.gada</t>
  </si>
  <si>
    <t>Kopā nepieciešamais finansējums ārstniecības personu darba samaksas izmaiņām</t>
  </si>
  <si>
    <t>Kopā nepieciešamais finansējums ārstniecības personu un pārējo darbinieku darba samaksas izmaiņām</t>
  </si>
  <si>
    <t>40 803 746*</t>
  </si>
  <si>
    <r>
      <t xml:space="preserve">* Tai skaitā finansējums integrēšanai tarifos 40 779 825 </t>
    </r>
    <r>
      <rPr>
        <i/>
        <sz val="11"/>
        <rFont val="Times New Roman"/>
        <family val="1"/>
        <charset val="186"/>
      </rPr>
      <t>eur</t>
    </r>
    <r>
      <rPr>
        <sz val="11"/>
        <rFont val="Times New Roman"/>
        <family val="1"/>
        <charset val="186"/>
      </rPr>
      <t xml:space="preserve">o, reģistru uzturēšanā un metodiski organizatoriska darbā iesaistītām ārstniecības personām  23 921 </t>
    </r>
    <r>
      <rPr>
        <i/>
        <sz val="11"/>
        <rFont val="Times New Roman"/>
        <family val="1"/>
        <charset val="186"/>
      </rPr>
      <t xml:space="preserve">euro </t>
    </r>
  </si>
  <si>
    <r>
      <t xml:space="preserve">*Finansējums 1 671 236 </t>
    </r>
    <r>
      <rPr>
        <i/>
        <sz val="10"/>
        <rFont val="Times New Roman"/>
        <family val="1"/>
        <charset val="186"/>
      </rPr>
      <t>euro</t>
    </r>
    <r>
      <rPr>
        <sz val="10"/>
        <rFont val="Times New Roman"/>
        <family val="1"/>
        <charset val="186"/>
      </rPr>
      <t xml:space="preserve"> apmērā integrēts Ministru kabineta noteikumu “Grozījums Ministru kabineta 2018.gada 18.decembra  noteikumos Nr. 851 “Noteikumi par zemāko mēnešalgu un speciālo piemaksu  veselības aprūpes jomā nodarbinātajiem”” projektā</t>
    </r>
  </si>
  <si>
    <t>1 671 236*</t>
  </si>
  <si>
    <t>1 262 524**</t>
  </si>
  <si>
    <r>
      <t xml:space="preserve">**Finansējums 1 262 524 </t>
    </r>
    <r>
      <rPr>
        <i/>
        <sz val="10"/>
        <rFont val="Times New Roman"/>
        <family val="1"/>
        <charset val="186"/>
      </rPr>
      <t>euro</t>
    </r>
    <r>
      <rPr>
        <sz val="10"/>
        <rFont val="Times New Roman"/>
        <family val="1"/>
        <charset val="186"/>
      </rPr>
      <t xml:space="preserve"> apmērā ir starpība starp aprēķināto finansējumu uz plānotajiem rezidentiem gadā, palienot darba samaksu rezidentim par 10% pret plānoto darba samaksas pieagumu 20% apmērā (2 933 760 </t>
    </r>
    <r>
      <rPr>
        <i/>
        <sz val="10"/>
        <rFont val="Times New Roman"/>
        <family val="1"/>
        <charset val="186"/>
      </rPr>
      <t>euro</t>
    </r>
    <r>
      <rPr>
        <sz val="10"/>
        <rFont val="Times New Roman"/>
        <family val="1"/>
        <charset val="186"/>
      </rPr>
      <t xml:space="preserve"> - 1 671 236 euro)</t>
    </r>
  </si>
  <si>
    <r>
      <t xml:space="preserve">***Kopā plānotajām rezidentu darba samaksas izmaiņām nepieciešams finansējums 4 034 768 </t>
    </r>
    <r>
      <rPr>
        <i/>
        <sz val="10"/>
        <rFont val="Times New Roman"/>
        <family val="1"/>
        <charset val="186"/>
      </rPr>
      <t xml:space="preserve">euro </t>
    </r>
    <r>
      <rPr>
        <sz val="10"/>
        <rFont val="Times New Roman"/>
        <family val="1"/>
        <charset val="186"/>
      </rPr>
      <t xml:space="preserve">apmērā. Zemākās mēnešalgas palielinājumam par 10% nepieciešams finansējums 1 671 236 </t>
    </r>
    <r>
      <rPr>
        <i/>
        <sz val="10"/>
        <rFont val="Times New Roman"/>
        <family val="1"/>
        <charset val="186"/>
      </rPr>
      <t xml:space="preserve">euro </t>
    </r>
    <r>
      <rPr>
        <sz val="10"/>
        <rFont val="Times New Roman"/>
        <family val="1"/>
        <charset val="186"/>
      </rPr>
      <t xml:space="preserve">apmērā. Papildus 10% darba samaksas pieaugumam un mēnešalgas koeficienta noteikšanai 1,1 apmērā rezidentiem no trešā rezidentūras gada pamatspecialitātē vai pirmā gada papildspecialitātēs nepieciešams finansējums 2 363 532 </t>
    </r>
    <r>
      <rPr>
        <i/>
        <sz val="10"/>
        <rFont val="Times New Roman"/>
        <family val="1"/>
        <charset val="186"/>
      </rPr>
      <t>euro</t>
    </r>
    <r>
      <rPr>
        <sz val="10"/>
        <rFont val="Times New Roman"/>
        <family val="1"/>
        <charset val="186"/>
      </rPr>
      <t xml:space="preserve"> apmērā, kas  integrēts  Ministru kabineta noteikumu “Grozījumi Ministru kabineta 2011. gada 30. augusta noteikumos Nr. 685 “Rezidentu uzņemšanas, sadales un rezidentūras finansēšanas kārtība”” projektā</t>
    </r>
  </si>
  <si>
    <r>
      <t xml:space="preserve">10% darba samaksas pieaugums </t>
    </r>
    <r>
      <rPr>
        <sz val="11"/>
        <rFont val="Times New Roman"/>
        <family val="1"/>
        <charset val="186"/>
      </rPr>
      <t>(finansējums, kas nepieciešams saistībā ar pagarinātā normālā darba laika atcelšanu no 2019.gada 14 395 958 euro apmērā budžeta programmai 33.00.00 "Veselības aprūpes nodrošināšana" x 10% darba samaksas pieaugums)</t>
    </r>
  </si>
  <si>
    <r>
      <t xml:space="preserve">* Finansējums 7 413 174 </t>
    </r>
    <r>
      <rPr>
        <i/>
        <sz val="11"/>
        <rFont val="Times New Roman"/>
        <family val="1"/>
        <charset val="186"/>
      </rPr>
      <t>euro</t>
    </r>
    <r>
      <rPr>
        <sz val="11"/>
        <rFont val="Times New Roman"/>
        <family val="1"/>
        <charset val="186"/>
      </rPr>
      <t xml:space="preserve"> apmērā integrēts tarifos atbilstoši Ministru kabineta noteikumu “Grozījumi Ministru kabineta 2018.gada 28.augusta noteikumos Nr.555 „Veselības aprūpes pakalpojumu organizēšanas un samaksas kārtība”” projekta anotācijā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</si>
</sst>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00"/>
    <numFmt numFmtId="168" formatCode="0.0%"/>
  </numFmts>
  <fonts count="81" x14ac:knownFonts="1">
    <font>
      <sz val="11"/>
      <color theme="1"/>
      <name val="Calibri"/>
      <family val="2"/>
      <charset val="186"/>
      <scheme val="minor"/>
    </font>
    <font>
      <b/>
      <sz val="11"/>
      <color theme="1"/>
      <name val="Calibri"/>
      <family val="2"/>
      <charset val="186"/>
      <scheme val="minor"/>
    </font>
    <font>
      <b/>
      <sz val="11"/>
      <color theme="1"/>
      <name val="Times New Roman"/>
      <family val="1"/>
    </font>
    <font>
      <sz val="10"/>
      <color theme="1"/>
      <name val="Times New Roman"/>
      <family val="1"/>
    </font>
    <font>
      <sz val="10"/>
      <color rgb="FF0000CC"/>
      <name val="Times New Roman"/>
      <family val="1"/>
    </font>
    <font>
      <b/>
      <sz val="10"/>
      <color theme="1"/>
      <name val="Times New Roman"/>
      <family val="1"/>
    </font>
    <font>
      <b/>
      <i/>
      <sz val="10"/>
      <color theme="1"/>
      <name val="Times New Roman"/>
      <family val="1"/>
    </font>
    <font>
      <b/>
      <sz val="10"/>
      <color rgb="FF0000CC"/>
      <name val="Times New Roman"/>
      <family val="1"/>
    </font>
    <font>
      <b/>
      <sz val="10"/>
      <color theme="1"/>
      <name val="Times New Roman"/>
      <family val="1"/>
      <charset val="186"/>
    </font>
    <font>
      <sz val="11"/>
      <color indexed="8"/>
      <name val="Calibri"/>
      <family val="2"/>
      <charset val="186"/>
    </font>
    <font>
      <sz val="10"/>
      <name val="Times New Roman"/>
      <family val="1"/>
      <charset val="186"/>
    </font>
    <font>
      <sz val="10"/>
      <name val="Times New Roman"/>
      <family val="1"/>
    </font>
    <font>
      <sz val="10"/>
      <color indexed="8"/>
      <name val="MS Sans Serif"/>
      <family val="2"/>
      <charset val="186"/>
    </font>
    <font>
      <sz val="10"/>
      <color rgb="FFFF0000"/>
      <name val="Times New Roman"/>
      <family val="1"/>
      <charset val="186"/>
    </font>
    <font>
      <b/>
      <sz val="12"/>
      <name val="Times New Roman"/>
      <family val="1"/>
    </font>
    <font>
      <sz val="9"/>
      <color theme="1"/>
      <name val="Times New Roman"/>
      <family val="1"/>
    </font>
    <font>
      <u/>
      <sz val="9"/>
      <color indexed="8"/>
      <name val="Times New Roman"/>
      <family val="1"/>
    </font>
    <font>
      <sz val="9"/>
      <color indexed="8"/>
      <name val="Times New Roman"/>
      <family val="1"/>
    </font>
    <font>
      <b/>
      <sz val="10"/>
      <name val="Times New Roman"/>
      <family val="1"/>
      <charset val="186"/>
    </font>
    <font>
      <b/>
      <sz val="10"/>
      <name val="Times New Roman"/>
      <family val="1"/>
    </font>
    <font>
      <sz val="11"/>
      <color theme="1"/>
      <name val="Times New Roman"/>
      <family val="1"/>
    </font>
    <font>
      <sz val="10"/>
      <color theme="1"/>
      <name val="Times New Roman"/>
      <family val="1"/>
      <charset val="186"/>
    </font>
    <font>
      <b/>
      <sz val="12"/>
      <color theme="1"/>
      <name val="Calibri"/>
      <family val="2"/>
      <charset val="186"/>
      <scheme val="minor"/>
    </font>
    <font>
      <sz val="12"/>
      <color theme="1"/>
      <name val="Times New Roman"/>
      <family val="1"/>
    </font>
    <font>
      <sz val="10"/>
      <color theme="1"/>
      <name val="Calibri"/>
      <family val="2"/>
      <charset val="186"/>
      <scheme val="minor"/>
    </font>
    <font>
      <sz val="11"/>
      <color theme="1"/>
      <name val="Calibri"/>
      <family val="2"/>
      <charset val="186"/>
      <scheme val="minor"/>
    </font>
    <font>
      <b/>
      <i/>
      <sz val="10"/>
      <name val="Times New Roman"/>
      <family val="1"/>
    </font>
    <font>
      <b/>
      <i/>
      <sz val="10"/>
      <name val="Times New Roman"/>
      <family val="1"/>
      <charset val="186"/>
    </font>
    <font>
      <sz val="10"/>
      <name val="Arial"/>
      <family val="2"/>
    </font>
    <font>
      <sz val="9"/>
      <color theme="1"/>
      <name val="Times New Roman"/>
      <family val="1"/>
      <charset val="186"/>
    </font>
    <font>
      <sz val="11"/>
      <name val="Times New Roman"/>
      <family val="1"/>
    </font>
    <font>
      <b/>
      <sz val="14"/>
      <name val="Times New Roman"/>
      <family val="1"/>
    </font>
    <font>
      <sz val="12"/>
      <name val="Times New Roman"/>
      <family val="1"/>
    </font>
    <font>
      <sz val="9"/>
      <name val="Times New Roman"/>
      <family val="1"/>
    </font>
    <font>
      <u/>
      <sz val="9"/>
      <name val="Times New Roman"/>
      <family val="1"/>
    </font>
    <font>
      <b/>
      <i/>
      <u/>
      <sz val="10"/>
      <name val="Times New Roman"/>
      <family val="1"/>
    </font>
    <font>
      <b/>
      <sz val="11"/>
      <name val="Times New Roman"/>
      <family val="1"/>
    </font>
    <font>
      <b/>
      <i/>
      <sz val="11"/>
      <name val="Times New Roman"/>
      <family val="1"/>
    </font>
    <font>
      <b/>
      <sz val="14"/>
      <color theme="1"/>
      <name val="Times New Roman"/>
      <family val="1"/>
    </font>
    <font>
      <b/>
      <sz val="12"/>
      <color theme="1"/>
      <name val="Times New Roman"/>
      <family val="1"/>
      <charset val="186"/>
    </font>
    <font>
      <sz val="10"/>
      <name val="Arial"/>
      <family val="2"/>
      <charset val="186"/>
    </font>
    <font>
      <sz val="11"/>
      <name val="Times New Roman"/>
      <family val="1"/>
      <charset val="186"/>
    </font>
    <font>
      <b/>
      <sz val="11"/>
      <name val="Times New Roman"/>
      <family val="1"/>
      <charset val="186"/>
    </font>
    <font>
      <sz val="11"/>
      <color theme="1"/>
      <name val="Times New Roman"/>
      <family val="1"/>
      <charset val="186"/>
    </font>
    <font>
      <b/>
      <sz val="11"/>
      <color theme="1"/>
      <name val="Times New Roman"/>
      <family val="1"/>
      <charset val="186"/>
    </font>
    <font>
      <sz val="5"/>
      <name val="Arial"/>
      <family val="2"/>
      <charset val="186"/>
    </font>
    <font>
      <b/>
      <sz val="12"/>
      <name val="Times New Roman"/>
      <family val="1"/>
      <charset val="186"/>
    </font>
    <font>
      <b/>
      <sz val="9"/>
      <name val="Times New Roman"/>
      <family val="1"/>
      <charset val="186"/>
    </font>
    <font>
      <sz val="9"/>
      <name val="Times New Roman"/>
      <family val="1"/>
      <charset val="186"/>
    </font>
    <font>
      <b/>
      <sz val="8"/>
      <name val="Times New Roman"/>
      <family val="1"/>
      <charset val="186"/>
    </font>
    <font>
      <b/>
      <i/>
      <sz val="10"/>
      <name val="Arial"/>
      <family val="2"/>
      <charset val="186"/>
    </font>
    <font>
      <b/>
      <i/>
      <sz val="10"/>
      <color rgb="FF7030A0"/>
      <name val="Arial"/>
      <family val="2"/>
      <charset val="186"/>
    </font>
    <font>
      <i/>
      <sz val="9"/>
      <name val="Times New Roman"/>
      <family val="1"/>
      <charset val="186"/>
    </font>
    <font>
      <i/>
      <sz val="10"/>
      <name val="Times New Roman"/>
      <family val="1"/>
      <charset val="186"/>
    </font>
    <font>
      <i/>
      <sz val="10"/>
      <name val="Arial"/>
      <family val="2"/>
      <charset val="186"/>
    </font>
    <font>
      <i/>
      <sz val="9"/>
      <color rgb="FF7030A0"/>
      <name val="Times New Roman"/>
      <family val="1"/>
      <charset val="186"/>
    </font>
    <font>
      <i/>
      <sz val="9"/>
      <name val="Arial"/>
      <family val="2"/>
      <charset val="186"/>
    </font>
    <font>
      <i/>
      <sz val="9"/>
      <color rgb="FF7030A0"/>
      <name val="Arial"/>
      <family val="2"/>
      <charset val="186"/>
    </font>
    <font>
      <b/>
      <sz val="10"/>
      <color rgb="FFFF0000"/>
      <name val="Times New Roman"/>
      <family val="1"/>
      <charset val="186"/>
    </font>
    <font>
      <b/>
      <sz val="10"/>
      <name val="Arial"/>
      <family val="2"/>
      <charset val="186"/>
    </font>
    <font>
      <b/>
      <sz val="8"/>
      <color rgb="FFFF0000"/>
      <name val="Times New Roman"/>
      <family val="1"/>
      <charset val="186"/>
    </font>
    <font>
      <b/>
      <sz val="11"/>
      <color rgb="FFFF0000"/>
      <name val="Calibri"/>
      <family val="2"/>
      <charset val="186"/>
      <scheme val="minor"/>
    </font>
    <font>
      <sz val="10"/>
      <color theme="0"/>
      <name val="Arial"/>
      <family val="2"/>
      <charset val="186"/>
    </font>
    <font>
      <b/>
      <sz val="10"/>
      <name val="Calibri"/>
      <family val="2"/>
      <charset val="186"/>
      <scheme val="minor"/>
    </font>
    <font>
      <sz val="10"/>
      <name val="Calibri"/>
      <family val="2"/>
      <charset val="186"/>
      <scheme val="minor"/>
    </font>
    <font>
      <sz val="12"/>
      <name val="Arial"/>
      <family val="2"/>
      <charset val="186"/>
    </font>
    <font>
      <b/>
      <sz val="7"/>
      <name val="Times New Roman"/>
      <family val="1"/>
      <charset val="186"/>
    </font>
    <font>
      <strike/>
      <sz val="11"/>
      <name val="Calibri"/>
      <family val="2"/>
      <charset val="186"/>
      <scheme val="minor"/>
    </font>
    <font>
      <sz val="11"/>
      <name val="Calibri"/>
      <family val="2"/>
      <charset val="186"/>
      <scheme val="minor"/>
    </font>
    <font>
      <sz val="10"/>
      <name val="Arial Baltic"/>
      <charset val="186"/>
    </font>
    <font>
      <b/>
      <sz val="9"/>
      <color theme="1"/>
      <name val="Times New Roman"/>
      <family val="1"/>
    </font>
    <font>
      <b/>
      <sz val="11"/>
      <color theme="1"/>
      <name val="Calibri"/>
      <family val="2"/>
      <scheme val="minor"/>
    </font>
    <font>
      <b/>
      <sz val="10"/>
      <name val="Arial"/>
      <family val="2"/>
    </font>
    <font>
      <b/>
      <sz val="10"/>
      <color rgb="FFFF0000"/>
      <name val="Arial"/>
      <family val="2"/>
    </font>
    <font>
      <b/>
      <sz val="12"/>
      <color rgb="FFFF0000"/>
      <name val="Arial"/>
      <family val="2"/>
    </font>
    <font>
      <b/>
      <i/>
      <sz val="11"/>
      <name val="Times New Roman"/>
      <family val="1"/>
      <charset val="186"/>
    </font>
    <font>
      <b/>
      <sz val="11"/>
      <name val="Calibri"/>
      <family val="2"/>
      <charset val="186"/>
      <scheme val="minor"/>
    </font>
    <font>
      <b/>
      <sz val="11"/>
      <name val="Calibri"/>
      <family val="2"/>
      <scheme val="minor"/>
    </font>
    <font>
      <u/>
      <sz val="10"/>
      <name val="Times New Roman"/>
      <family val="1"/>
    </font>
    <font>
      <sz val="9"/>
      <name val="Calibri"/>
      <family val="2"/>
      <charset val="186"/>
      <scheme val="minor"/>
    </font>
    <font>
      <i/>
      <sz val="11"/>
      <name val="Times New Roman"/>
      <family val="1"/>
      <charset val="186"/>
    </font>
  </fonts>
  <fills count="27">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00B0F0"/>
        <bgColor indexed="64"/>
      </patternFill>
    </fill>
    <fill>
      <patternFill patternType="solid">
        <fgColor theme="8" tint="0.39997558519241921"/>
        <bgColor indexed="64"/>
      </patternFill>
    </fill>
    <fill>
      <patternFill patternType="solid">
        <fgColor indexed="9"/>
        <bgColor indexed="64"/>
      </patternFill>
    </fill>
    <fill>
      <patternFill patternType="solid">
        <fgColor theme="0"/>
        <bgColor indexed="26"/>
      </patternFill>
    </fill>
    <fill>
      <patternFill patternType="solid">
        <fgColor theme="0" tint="-0.149998474074526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79998168889431442"/>
        <bgColor indexed="26"/>
      </patternFill>
    </fill>
    <fill>
      <patternFill patternType="solid">
        <fgColor rgb="FFFFFF00"/>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FFC000"/>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4">
    <xf numFmtId="0" fontId="0" fillId="0" borderId="0"/>
    <xf numFmtId="0" fontId="9" fillId="0" borderId="0"/>
    <xf numFmtId="0" fontId="12" fillId="0" borderId="0"/>
    <xf numFmtId="9" fontId="25" fillId="0" borderId="0" applyFont="0" applyFill="0" applyBorder="0" applyAlignment="0" applyProtection="0"/>
    <xf numFmtId="0" fontId="28" fillId="0" borderId="0"/>
    <xf numFmtId="0" fontId="40" fillId="0" borderId="0" applyBorder="0"/>
    <xf numFmtId="0" fontId="40" fillId="0" borderId="0" applyBorder="0"/>
    <xf numFmtId="0" fontId="40" fillId="0" borderId="0"/>
    <xf numFmtId="0" fontId="40" fillId="0" borderId="0"/>
    <xf numFmtId="0" fontId="65" fillId="0" borderId="0"/>
    <xf numFmtId="0" fontId="69" fillId="0" borderId="0"/>
    <xf numFmtId="0" fontId="40" fillId="0" borderId="0"/>
    <xf numFmtId="0" fontId="25" fillId="0" borderId="0"/>
    <xf numFmtId="0" fontId="40" fillId="0" borderId="0"/>
  </cellStyleXfs>
  <cellXfs count="1073">
    <xf numFmtId="0" fontId="0" fillId="0" borderId="0" xfId="0"/>
    <xf numFmtId="0" fontId="3" fillId="0" borderId="14" xfId="0" applyFont="1" applyBorder="1" applyAlignment="1">
      <alignment horizontal="center"/>
    </xf>
    <xf numFmtId="0" fontId="3" fillId="0" borderId="14" xfId="0" quotePrefix="1" applyFont="1" applyBorder="1" applyAlignment="1">
      <alignment horizontal="center"/>
    </xf>
    <xf numFmtId="0" fontId="11" fillId="4" borderId="13" xfId="0" applyFont="1" applyFill="1" applyBorder="1" applyAlignment="1">
      <alignment horizontal="left" vertical="center" wrapText="1"/>
    </xf>
    <xf numFmtId="0" fontId="11" fillId="4" borderId="14" xfId="0" applyFont="1" applyFill="1" applyBorder="1" applyAlignment="1">
      <alignment horizontal="center" vertical="center" wrapText="1"/>
    </xf>
    <xf numFmtId="3" fontId="11" fillId="4" borderId="14" xfId="0" applyNumberFormat="1" applyFont="1" applyFill="1" applyBorder="1" applyAlignment="1">
      <alignment horizontal="center" vertical="center" wrapText="1"/>
    </xf>
    <xf numFmtId="0" fontId="11" fillId="0" borderId="14" xfId="0" applyFont="1" applyFill="1" applyBorder="1" applyAlignment="1">
      <alignment horizontal="center" vertical="center" wrapText="1"/>
    </xf>
    <xf numFmtId="3" fontId="11" fillId="0" borderId="14" xfId="0" applyNumberFormat="1" applyFont="1" applyBorder="1" applyAlignment="1">
      <alignment horizontal="center" vertical="center" wrapText="1"/>
    </xf>
    <xf numFmtId="0" fontId="11" fillId="9" borderId="13" xfId="0" applyFont="1" applyFill="1" applyBorder="1" applyAlignment="1">
      <alignment horizontal="left" vertical="center" wrapText="1"/>
    </xf>
    <xf numFmtId="49" fontId="11" fillId="4" borderId="14" xfId="1" applyNumberFormat="1" applyFont="1" applyFill="1" applyBorder="1" applyAlignment="1">
      <alignment horizontal="center" vertical="center" wrapText="1"/>
    </xf>
    <xf numFmtId="0" fontId="11" fillId="0" borderId="13" xfId="1" applyFont="1" applyFill="1" applyBorder="1" applyAlignment="1">
      <alignment vertical="center" wrapText="1"/>
    </xf>
    <xf numFmtId="49" fontId="11" fillId="0" borderId="14" xfId="1" applyNumberFormat="1" applyFont="1" applyBorder="1" applyAlignment="1">
      <alignment horizontal="center" vertical="center" wrapText="1"/>
    </xf>
    <xf numFmtId="3" fontId="11" fillId="10" borderId="14" xfId="1" applyNumberFormat="1" applyFont="1" applyFill="1" applyBorder="1" applyAlignment="1">
      <alignment horizontal="center" vertical="center" wrapText="1"/>
    </xf>
    <xf numFmtId="49" fontId="11" fillId="0" borderId="14" xfId="1" applyNumberFormat="1" applyFont="1" applyBorder="1" applyAlignment="1">
      <alignment horizontal="center" wrapText="1"/>
    </xf>
    <xf numFmtId="3" fontId="11" fillId="4" borderId="14" xfId="0" applyNumberFormat="1" applyFont="1" applyFill="1" applyBorder="1" applyAlignment="1">
      <alignment horizontal="center" wrapText="1"/>
    </xf>
    <xf numFmtId="3" fontId="11" fillId="0" borderId="14" xfId="0" applyNumberFormat="1" applyFont="1" applyBorder="1" applyAlignment="1">
      <alignment horizontal="center" wrapText="1"/>
    </xf>
    <xf numFmtId="0" fontId="11" fillId="0" borderId="14" xfId="0" applyFont="1" applyBorder="1" applyAlignment="1">
      <alignment horizontal="center" vertical="center"/>
    </xf>
    <xf numFmtId="0" fontId="3" fillId="0" borderId="0" xfId="0" applyFont="1" applyAlignment="1">
      <alignment wrapText="1"/>
    </xf>
    <xf numFmtId="0" fontId="11" fillId="0" borderId="14" xfId="1" applyNumberFormat="1" applyFont="1" applyFill="1" applyBorder="1" applyAlignment="1">
      <alignment horizontal="center" vertical="center"/>
    </xf>
    <xf numFmtId="49" fontId="11" fillId="4" borderId="14" xfId="0" quotePrefix="1" applyNumberFormat="1" applyFont="1" applyFill="1" applyBorder="1" applyAlignment="1">
      <alignment horizontal="center" vertical="center"/>
    </xf>
    <xf numFmtId="2" fontId="10" fillId="4" borderId="14" xfId="0" applyNumberFormat="1" applyFont="1" applyFill="1" applyBorder="1" applyAlignment="1">
      <alignment horizontal="center" vertical="center"/>
    </xf>
    <xf numFmtId="0" fontId="11" fillId="0" borderId="13" xfId="0" applyFont="1" applyBorder="1" applyAlignment="1">
      <alignment horizontal="left" vertical="center" wrapText="1"/>
    </xf>
    <xf numFmtId="0" fontId="10" fillId="0" borderId="29" xfId="1" applyFont="1" applyBorder="1" applyAlignment="1">
      <alignment vertical="center" wrapText="1"/>
    </xf>
    <xf numFmtId="0" fontId="11" fillId="0" borderId="29" xfId="1" applyFont="1" applyBorder="1" applyAlignment="1">
      <alignment vertical="center" wrapText="1"/>
    </xf>
    <xf numFmtId="0" fontId="11" fillId="0" borderId="23" xfId="1" applyFont="1" applyBorder="1" applyAlignment="1">
      <alignment vertical="center" wrapText="1"/>
    </xf>
    <xf numFmtId="49" fontId="11" fillId="4" borderId="13" xfId="0" applyNumberFormat="1" applyFont="1" applyFill="1" applyBorder="1" applyAlignment="1">
      <alignment horizontal="left" wrapText="1"/>
    </xf>
    <xf numFmtId="49" fontId="11" fillId="4" borderId="16" xfId="0" applyNumberFormat="1" applyFont="1" applyFill="1" applyBorder="1" applyAlignment="1">
      <alignment horizontal="left" wrapText="1"/>
    </xf>
    <xf numFmtId="0" fontId="20" fillId="0" borderId="0" xfId="0" applyFont="1"/>
    <xf numFmtId="164" fontId="20" fillId="0" borderId="0" xfId="0" applyNumberFormat="1" applyFont="1"/>
    <xf numFmtId="0" fontId="2" fillId="0" borderId="0" xfId="0" applyFont="1"/>
    <xf numFmtId="0" fontId="3" fillId="11" borderId="13" xfId="0" applyFont="1" applyFill="1" applyBorder="1" applyAlignment="1">
      <alignment horizontal="left" vertical="center" wrapText="1"/>
    </xf>
    <xf numFmtId="164" fontId="3" fillId="11" borderId="14" xfId="0" quotePrefix="1" applyNumberFormat="1" applyFont="1" applyFill="1" applyBorder="1" applyAlignment="1">
      <alignment horizontal="center"/>
    </xf>
    <xf numFmtId="3" fontId="11" fillId="11" borderId="14" xfId="0" applyNumberFormat="1" applyFont="1" applyFill="1" applyBorder="1" applyAlignment="1">
      <alignment horizontal="center"/>
    </xf>
    <xf numFmtId="0" fontId="21" fillId="11" borderId="13" xfId="0" applyFont="1" applyFill="1" applyBorder="1" applyAlignment="1">
      <alignment horizontal="left" vertical="center" wrapText="1"/>
    </xf>
    <xf numFmtId="3" fontId="11" fillId="11" borderId="14" xfId="0" applyNumberFormat="1" applyFont="1" applyFill="1" applyBorder="1" applyAlignment="1">
      <alignment horizontal="center" vertical="center"/>
    </xf>
    <xf numFmtId="164" fontId="11" fillId="11" borderId="14" xfId="0" quotePrefix="1" applyNumberFormat="1" applyFont="1" applyFill="1" applyBorder="1" applyAlignment="1">
      <alignment horizontal="center"/>
    </xf>
    <xf numFmtId="3" fontId="11" fillId="11" borderId="15" xfId="0" applyNumberFormat="1" applyFont="1" applyFill="1" applyBorder="1" applyAlignment="1">
      <alignment horizontal="center"/>
    </xf>
    <xf numFmtId="0" fontId="10" fillId="11" borderId="13" xfId="0" applyFont="1" applyFill="1" applyBorder="1" applyAlignment="1">
      <alignment horizontal="left" vertical="center" wrapText="1"/>
    </xf>
    <xf numFmtId="0" fontId="5" fillId="12" borderId="13" xfId="0" applyFont="1" applyFill="1" applyBorder="1" applyAlignment="1">
      <alignment horizontal="left" wrapText="1"/>
    </xf>
    <xf numFmtId="164" fontId="5" fillId="12" borderId="12" xfId="0" applyNumberFormat="1" applyFont="1" applyFill="1" applyBorder="1" applyAlignment="1">
      <alignment horizontal="center" vertical="center" wrapText="1"/>
    </xf>
    <xf numFmtId="3" fontId="5" fillId="12" borderId="14" xfId="0" applyNumberFormat="1" applyFont="1" applyFill="1" applyBorder="1" applyAlignment="1">
      <alignment horizontal="center" vertical="center" wrapText="1"/>
    </xf>
    <xf numFmtId="164" fontId="19" fillId="12" borderId="12" xfId="0" applyNumberFormat="1" applyFont="1" applyFill="1" applyBorder="1" applyAlignment="1">
      <alignment horizontal="center" vertical="center" wrapText="1"/>
    </xf>
    <xf numFmtId="3" fontId="19" fillId="12" borderId="14" xfId="0" applyNumberFormat="1" applyFont="1" applyFill="1" applyBorder="1" applyAlignment="1">
      <alignment horizontal="center" vertical="center" wrapText="1"/>
    </xf>
    <xf numFmtId="164" fontId="3" fillId="11" borderId="14" xfId="0" quotePrefix="1" applyNumberFormat="1" applyFont="1" applyFill="1" applyBorder="1" applyAlignment="1">
      <alignment horizontal="center" vertical="center"/>
    </xf>
    <xf numFmtId="164" fontId="11" fillId="11" borderId="14" xfId="0" quotePrefix="1" applyNumberFormat="1" applyFont="1" applyFill="1" applyBorder="1" applyAlignment="1">
      <alignment horizontal="center" vertical="center"/>
    </xf>
    <xf numFmtId="0" fontId="19" fillId="12" borderId="13" xfId="0" applyFont="1" applyFill="1" applyBorder="1" applyAlignment="1">
      <alignment horizontal="left" wrapText="1"/>
    </xf>
    <xf numFmtId="0" fontId="11" fillId="0" borderId="14" xfId="0" quotePrefix="1" applyNumberFormat="1" applyFont="1" applyBorder="1" applyAlignment="1">
      <alignment horizontal="center"/>
    </xf>
    <xf numFmtId="0" fontId="11" fillId="4" borderId="14" xfId="0" quotePrefix="1" applyNumberFormat="1" applyFont="1" applyFill="1" applyBorder="1" applyAlignment="1">
      <alignment horizontal="center"/>
    </xf>
    <xf numFmtId="0" fontId="3" fillId="4" borderId="14"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1" fillId="14" borderId="14" xfId="0" quotePrefix="1" applyNumberFormat="1" applyFont="1" applyFill="1" applyBorder="1" applyAlignment="1">
      <alignment horizontal="center"/>
    </xf>
    <xf numFmtId="0" fontId="11" fillId="14" borderId="14" xfId="0" quotePrefix="1" applyNumberFormat="1" applyFont="1" applyFill="1" applyBorder="1" applyAlignment="1">
      <alignment horizontal="center" vertical="center"/>
    </xf>
    <xf numFmtId="2" fontId="11" fillId="0" borderId="14" xfId="0" quotePrefix="1" applyNumberFormat="1" applyFont="1" applyBorder="1" applyAlignment="1">
      <alignment horizontal="center"/>
    </xf>
    <xf numFmtId="4" fontId="3" fillId="0" borderId="14" xfId="0" applyNumberFormat="1" applyFont="1" applyBorder="1" applyAlignment="1">
      <alignment horizontal="center"/>
    </xf>
    <xf numFmtId="0" fontId="11" fillId="14" borderId="13" xfId="0" applyFont="1" applyFill="1" applyBorder="1"/>
    <xf numFmtId="0" fontId="11" fillId="0" borderId="13" xfId="0" applyFont="1" applyBorder="1"/>
    <xf numFmtId="0" fontId="11" fillId="14" borderId="13" xfId="0" applyFont="1" applyFill="1" applyBorder="1" applyAlignment="1">
      <alignment wrapText="1"/>
    </xf>
    <xf numFmtId="0" fontId="10" fillId="0" borderId="13" xfId="0" applyFont="1" applyBorder="1"/>
    <xf numFmtId="0" fontId="10" fillId="4" borderId="13" xfId="0" applyFont="1" applyFill="1" applyBorder="1" applyAlignment="1">
      <alignment horizontal="left" vertical="center" wrapText="1"/>
    </xf>
    <xf numFmtId="4" fontId="11" fillId="0" borderId="21" xfId="0" applyNumberFormat="1" applyFont="1" applyBorder="1" applyAlignment="1">
      <alignment horizontal="center"/>
    </xf>
    <xf numFmtId="0" fontId="11" fillId="0" borderId="13" xfId="0" applyFont="1" applyBorder="1" applyAlignment="1">
      <alignment vertical="center"/>
    </xf>
    <xf numFmtId="0" fontId="11" fillId="0" borderId="14" xfId="0" quotePrefix="1" applyFont="1" applyBorder="1" applyAlignment="1">
      <alignment horizontal="center" vertical="center"/>
    </xf>
    <xf numFmtId="0" fontId="11" fillId="0" borderId="13" xfId="0" applyFont="1" applyBorder="1" applyAlignment="1">
      <alignment vertical="center" wrapText="1"/>
    </xf>
    <xf numFmtId="0" fontId="10" fillId="0" borderId="13" xfId="1" applyFont="1" applyFill="1" applyBorder="1" applyAlignment="1">
      <alignment horizontal="left" vertical="center" wrapText="1"/>
    </xf>
    <xf numFmtId="49" fontId="10" fillId="0" borderId="14" xfId="1" applyNumberFormat="1" applyFont="1" applyFill="1" applyBorder="1" applyAlignment="1">
      <alignment horizontal="center" vertical="center"/>
    </xf>
    <xf numFmtId="0" fontId="11" fillId="4" borderId="13" xfId="0" applyFont="1" applyFill="1" applyBorder="1" applyAlignment="1" applyProtection="1">
      <alignment vertical="center"/>
      <protection locked="0"/>
    </xf>
    <xf numFmtId="0" fontId="11" fillId="4" borderId="14" xfId="0" applyFont="1" applyFill="1" applyBorder="1" applyAlignment="1">
      <alignment horizontal="center" vertical="center"/>
    </xf>
    <xf numFmtId="49" fontId="11" fillId="0" borderId="14" xfId="0" applyNumberFormat="1" applyFont="1" applyFill="1" applyBorder="1" applyAlignment="1" applyProtection="1">
      <alignment horizontal="center" vertical="center"/>
      <protection locked="0"/>
    </xf>
    <xf numFmtId="49" fontId="11" fillId="4" borderId="14" xfId="0" applyNumberFormat="1" applyFont="1" applyFill="1" applyBorder="1" applyAlignment="1" applyProtection="1">
      <alignment horizontal="center" vertical="center"/>
      <protection locked="0"/>
    </xf>
    <xf numFmtId="4" fontId="11" fillId="0" borderId="14" xfId="0" applyNumberFormat="1" applyFont="1" applyBorder="1" applyAlignment="1">
      <alignment horizontal="center" vertical="center"/>
    </xf>
    <xf numFmtId="0" fontId="11" fillId="0" borderId="13" xfId="0" applyFont="1" applyFill="1" applyBorder="1" applyAlignment="1">
      <alignment horizontal="left" vertical="center"/>
    </xf>
    <xf numFmtId="4" fontId="11" fillId="4" borderId="14" xfId="0" applyNumberFormat="1" applyFont="1" applyFill="1" applyBorder="1" applyAlignment="1">
      <alignment horizontal="center" vertical="center"/>
    </xf>
    <xf numFmtId="16" fontId="3" fillId="0" borderId="14" xfId="0" quotePrefix="1" applyNumberFormat="1" applyFont="1" applyBorder="1" applyAlignment="1">
      <alignment horizontal="center"/>
    </xf>
    <xf numFmtId="4" fontId="3" fillId="0" borderId="14" xfId="0" applyNumberFormat="1" applyFont="1" applyFill="1" applyBorder="1" applyAlignment="1">
      <alignment horizontal="center"/>
    </xf>
    <xf numFmtId="4" fontId="11" fillId="0" borderId="21" xfId="0" applyNumberFormat="1" applyFont="1" applyFill="1" applyBorder="1" applyAlignment="1">
      <alignment horizontal="center"/>
    </xf>
    <xf numFmtId="0" fontId="10" fillId="0" borderId="13" xfId="0" applyFont="1" applyBorder="1" applyAlignment="1">
      <alignment horizontal="left" vertical="center" wrapText="1"/>
    </xf>
    <xf numFmtId="4" fontId="18" fillId="16" borderId="14" xfId="0" applyNumberFormat="1" applyFont="1" applyFill="1" applyBorder="1" applyAlignment="1">
      <alignment horizontal="center"/>
    </xf>
    <xf numFmtId="49" fontId="19" fillId="15" borderId="14" xfId="1" applyNumberFormat="1" applyFont="1" applyFill="1" applyBorder="1" applyAlignment="1">
      <alignment horizontal="center" vertical="center"/>
    </xf>
    <xf numFmtId="1" fontId="19" fillId="17" borderId="14" xfId="1" applyNumberFormat="1" applyFont="1" applyFill="1" applyBorder="1" applyAlignment="1">
      <alignment horizontal="center" vertical="center"/>
    </xf>
    <xf numFmtId="2" fontId="19" fillId="17" borderId="14" xfId="1" applyNumberFormat="1" applyFont="1" applyFill="1" applyBorder="1" applyAlignment="1">
      <alignment horizontal="center" vertical="center"/>
    </xf>
    <xf numFmtId="2" fontId="19" fillId="15" borderId="14" xfId="0" applyNumberFormat="1" applyFont="1" applyFill="1" applyBorder="1" applyAlignment="1">
      <alignment horizontal="center" vertical="center"/>
    </xf>
    <xf numFmtId="0" fontId="19" fillId="11" borderId="4" xfId="0" applyFont="1" applyFill="1" applyBorder="1" applyAlignment="1">
      <alignment horizontal="center" vertical="center"/>
    </xf>
    <xf numFmtId="0" fontId="19" fillId="11" borderId="5" xfId="0" applyFont="1" applyFill="1" applyBorder="1" applyAlignment="1">
      <alignment horizontal="center" vertical="center"/>
    </xf>
    <xf numFmtId="1" fontId="19" fillId="11" borderId="5" xfId="0" applyNumberFormat="1" applyFont="1" applyFill="1" applyBorder="1" applyAlignment="1">
      <alignment horizontal="center" vertical="center"/>
    </xf>
    <xf numFmtId="2" fontId="19" fillId="11" borderId="5" xfId="0" applyNumberFormat="1" applyFont="1" applyFill="1" applyBorder="1" applyAlignment="1">
      <alignment horizontal="center" vertical="center"/>
    </xf>
    <xf numFmtId="4" fontId="18" fillId="16" borderId="12" xfId="0" applyNumberFormat="1" applyFont="1" applyFill="1" applyBorder="1" applyAlignment="1">
      <alignment horizontal="center"/>
    </xf>
    <xf numFmtId="0" fontId="10" fillId="0" borderId="13" xfId="0" applyFont="1" applyFill="1" applyBorder="1" applyAlignment="1">
      <alignment horizontal="left" vertical="center" wrapText="1"/>
    </xf>
    <xf numFmtId="0" fontId="27" fillId="16" borderId="13" xfId="0" applyFont="1" applyFill="1" applyBorder="1" applyAlignment="1">
      <alignment horizontal="right"/>
    </xf>
    <xf numFmtId="0" fontId="27" fillId="16" borderId="14" xfId="0" applyFont="1" applyFill="1" applyBorder="1" applyAlignment="1">
      <alignment horizontal="right"/>
    </xf>
    <xf numFmtId="0" fontId="27" fillId="16" borderId="12" xfId="0" applyFont="1" applyFill="1" applyBorder="1" applyAlignment="1"/>
    <xf numFmtId="0" fontId="27" fillId="16" borderId="32" xfId="0" applyFont="1" applyFill="1" applyBorder="1" applyAlignment="1">
      <alignment horizontal="right"/>
    </xf>
    <xf numFmtId="0" fontId="26" fillId="16" borderId="14" xfId="0" applyFont="1" applyFill="1" applyBorder="1" applyAlignment="1"/>
    <xf numFmtId="0" fontId="26" fillId="16" borderId="13" xfId="0" applyFont="1" applyFill="1" applyBorder="1" applyAlignment="1">
      <alignment horizontal="right"/>
    </xf>
    <xf numFmtId="4" fontId="0" fillId="0" borderId="0" xfId="0" applyNumberFormat="1"/>
    <xf numFmtId="10" fontId="0" fillId="0" borderId="0" xfId="3" applyNumberFormat="1" applyFont="1"/>
    <xf numFmtId="0" fontId="0" fillId="0" borderId="0" xfId="0" applyFill="1"/>
    <xf numFmtId="0" fontId="0" fillId="0" borderId="0" xfId="0" applyFill="1" applyBorder="1"/>
    <xf numFmtId="0" fontId="3" fillId="0" borderId="13" xfId="0" applyFont="1" applyBorder="1" applyAlignment="1">
      <alignment horizontal="center"/>
    </xf>
    <xf numFmtId="0" fontId="3" fillId="0" borderId="17" xfId="0" quotePrefix="1" applyFont="1" applyBorder="1" applyAlignment="1">
      <alignment horizontal="center"/>
    </xf>
    <xf numFmtId="0" fontId="3" fillId="0" borderId="17" xfId="0" applyFont="1" applyBorder="1" applyAlignment="1">
      <alignment horizontal="center"/>
    </xf>
    <xf numFmtId="0" fontId="3" fillId="4" borderId="13" xfId="0" applyFont="1" applyFill="1" applyBorder="1" applyAlignment="1">
      <alignment horizontal="center" vertical="center" wrapText="1"/>
    </xf>
    <xf numFmtId="16" fontId="3" fillId="4" borderId="14" xfId="0" quotePrefix="1" applyNumberFormat="1" applyFont="1" applyFill="1" applyBorder="1" applyAlignment="1">
      <alignment horizontal="center"/>
    </xf>
    <xf numFmtId="0" fontId="3" fillId="0" borderId="16" xfId="0" applyFont="1" applyBorder="1" applyAlignment="1">
      <alignment horizontal="center"/>
    </xf>
    <xf numFmtId="0" fontId="11" fillId="4" borderId="13" xfId="4" applyFont="1" applyFill="1" applyBorder="1" applyProtection="1">
      <protection locked="0"/>
    </xf>
    <xf numFmtId="49" fontId="11" fillId="4" borderId="14" xfId="4" applyNumberFormat="1" applyFont="1" applyFill="1" applyBorder="1" applyAlignment="1" applyProtection="1">
      <alignment horizontal="center"/>
      <protection locked="0"/>
    </xf>
    <xf numFmtId="4" fontId="11" fillId="4" borderId="14" xfId="4" applyNumberFormat="1" applyFont="1" applyFill="1" applyBorder="1" applyAlignment="1" applyProtection="1">
      <alignment horizontal="center"/>
      <protection locked="0"/>
    </xf>
    <xf numFmtId="4" fontId="19" fillId="16" borderId="14" xfId="0" applyNumberFormat="1" applyFont="1" applyFill="1" applyBorder="1" applyAlignment="1">
      <alignment horizontal="center"/>
    </xf>
    <xf numFmtId="4" fontId="1" fillId="0" borderId="0" xfId="0" applyNumberFormat="1" applyFont="1"/>
    <xf numFmtId="4" fontId="24" fillId="0" borderId="0" xfId="3" applyNumberFormat="1" applyFont="1" applyFill="1" applyBorder="1" applyAlignment="1">
      <alignment horizontal="right"/>
    </xf>
    <xf numFmtId="0" fontId="1" fillId="0" borderId="0" xfId="0" applyFont="1"/>
    <xf numFmtId="0" fontId="30" fillId="0" borderId="0" xfId="0" applyFont="1" applyFill="1"/>
    <xf numFmtId="0" fontId="31" fillId="0" borderId="0" xfId="0" applyFont="1" applyAlignment="1">
      <alignment wrapText="1"/>
    </xf>
    <xf numFmtId="0" fontId="30" fillId="0" borderId="0" xfId="0" applyFont="1"/>
    <xf numFmtId="0" fontId="32" fillId="0" borderId="0" xfId="0" applyFont="1" applyBorder="1"/>
    <xf numFmtId="0" fontId="30" fillId="0" borderId="0" xfId="0" applyFont="1" applyFill="1" applyBorder="1"/>
    <xf numFmtId="0" fontId="33" fillId="0" borderId="0" xfId="0" applyFont="1" applyAlignment="1">
      <alignment horizontal="center" vertical="center"/>
    </xf>
    <xf numFmtId="0" fontId="33" fillId="0" borderId="15"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6" xfId="0" applyFont="1" applyBorder="1" applyAlignment="1">
      <alignment horizontal="center" vertical="center" wrapText="1"/>
    </xf>
    <xf numFmtId="0" fontId="11" fillId="0" borderId="0" xfId="0" applyFont="1" applyAlignment="1">
      <alignment horizontal="center" vertical="center"/>
    </xf>
    <xf numFmtId="0" fontId="26" fillId="4" borderId="0" xfId="0" applyFont="1" applyFill="1" applyBorder="1" applyAlignment="1">
      <alignment vertical="center" wrapText="1"/>
    </xf>
    <xf numFmtId="165" fontId="30" fillId="4" borderId="0" xfId="0" applyNumberFormat="1" applyFont="1" applyFill="1"/>
    <xf numFmtId="16" fontId="11" fillId="5" borderId="14" xfId="0" quotePrefix="1" applyNumberFormat="1" applyFont="1" applyFill="1" applyBorder="1" applyAlignment="1">
      <alignment horizontal="left"/>
    </xf>
    <xf numFmtId="16" fontId="11" fillId="5" borderId="14" xfId="0" quotePrefix="1" applyNumberFormat="1" applyFont="1" applyFill="1" applyBorder="1" applyAlignment="1">
      <alignment horizontal="center"/>
    </xf>
    <xf numFmtId="16" fontId="11" fillId="5" borderId="15" xfId="0" quotePrefix="1" applyNumberFormat="1" applyFont="1" applyFill="1" applyBorder="1" applyAlignment="1">
      <alignment horizontal="center"/>
    </xf>
    <xf numFmtId="16" fontId="11" fillId="5" borderId="13" xfId="0" quotePrefix="1" applyNumberFormat="1" applyFont="1" applyFill="1" applyBorder="1" applyAlignment="1">
      <alignment horizontal="center"/>
    </xf>
    <xf numFmtId="16" fontId="11" fillId="5" borderId="21" xfId="0" quotePrefix="1" applyNumberFormat="1" applyFont="1" applyFill="1" applyBorder="1" applyAlignment="1">
      <alignment horizontal="center"/>
    </xf>
    <xf numFmtId="0" fontId="11" fillId="0" borderId="14" xfId="0" applyFont="1" applyBorder="1" applyAlignment="1">
      <alignment horizontal="left"/>
    </xf>
    <xf numFmtId="0" fontId="11" fillId="0" borderId="14" xfId="0" applyFont="1" applyBorder="1"/>
    <xf numFmtId="0" fontId="11" fillId="0" borderId="15" xfId="0" applyFont="1" applyBorder="1"/>
    <xf numFmtId="165" fontId="11" fillId="0" borderId="13" xfId="0" applyNumberFormat="1" applyFont="1" applyBorder="1"/>
    <xf numFmtId="165" fontId="11" fillId="0" borderId="14" xfId="0" applyNumberFormat="1" applyFont="1" applyBorder="1"/>
    <xf numFmtId="165" fontId="11" fillId="0" borderId="21" xfId="0" applyNumberFormat="1" applyFont="1" applyBorder="1"/>
    <xf numFmtId="165" fontId="30" fillId="0" borderId="0" xfId="0" applyNumberFormat="1" applyFont="1"/>
    <xf numFmtId="0" fontId="11" fillId="5" borderId="14" xfId="0" applyFont="1" applyFill="1" applyBorder="1" applyAlignment="1">
      <alignment horizontal="left"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165" fontId="11" fillId="5" borderId="13" xfId="0" applyNumberFormat="1" applyFont="1" applyFill="1" applyBorder="1" applyAlignment="1">
      <alignment horizontal="center" vertical="center" wrapText="1"/>
    </xf>
    <xf numFmtId="165" fontId="11" fillId="5" borderId="14" xfId="0" applyNumberFormat="1" applyFont="1" applyFill="1" applyBorder="1" applyAlignment="1">
      <alignment horizontal="center" vertical="center" wrapText="1"/>
    </xf>
    <xf numFmtId="165" fontId="11" fillId="5" borderId="21" xfId="0" applyNumberFormat="1" applyFont="1" applyFill="1" applyBorder="1" applyAlignment="1">
      <alignment horizontal="center" vertical="center" wrapText="1"/>
    </xf>
    <xf numFmtId="164" fontId="11" fillId="0" borderId="14" xfId="0" applyNumberFormat="1" applyFont="1" applyBorder="1"/>
    <xf numFmtId="0" fontId="26" fillId="15" borderId="24" xfId="0" applyFont="1" applyFill="1" applyBorder="1" applyAlignment="1">
      <alignment horizontal="center"/>
    </xf>
    <xf numFmtId="164" fontId="19" fillId="15" borderId="14" xfId="0" applyNumberFormat="1" applyFont="1" applyFill="1" applyBorder="1" applyAlignment="1">
      <alignment horizontal="right"/>
    </xf>
    <xf numFmtId="0" fontId="19" fillId="15" borderId="14" xfId="0" applyFont="1" applyFill="1" applyBorder="1" applyAlignment="1">
      <alignment horizontal="right"/>
    </xf>
    <xf numFmtId="0" fontId="19" fillId="15" borderId="15" xfId="0" applyFont="1" applyFill="1" applyBorder="1" applyAlignment="1">
      <alignment horizontal="right"/>
    </xf>
    <xf numFmtId="3" fontId="19" fillId="15" borderId="13" xfId="0" applyNumberFormat="1" applyFont="1" applyFill="1" applyBorder="1" applyAlignment="1">
      <alignment horizontal="right"/>
    </xf>
    <xf numFmtId="3" fontId="19" fillId="15" borderId="14" xfId="0" applyNumberFormat="1" applyFont="1" applyFill="1" applyBorder="1" applyAlignment="1">
      <alignment horizontal="right"/>
    </xf>
    <xf numFmtId="3" fontId="19" fillId="15" borderId="21" xfId="0" applyNumberFormat="1" applyFont="1" applyFill="1" applyBorder="1" applyAlignment="1">
      <alignment horizontal="right"/>
    </xf>
    <xf numFmtId="16" fontId="11" fillId="5" borderId="14" xfId="0" quotePrefix="1" applyNumberFormat="1" applyFont="1" applyFill="1" applyBorder="1" applyAlignment="1">
      <alignment horizontal="left" wrapText="1"/>
    </xf>
    <xf numFmtId="0" fontId="11" fillId="0" borderId="13" xfId="0" applyFont="1" applyBorder="1" applyAlignment="1">
      <alignment vertical="top" wrapText="1"/>
    </xf>
    <xf numFmtId="2" fontId="19" fillId="15" borderId="14" xfId="0" applyNumberFormat="1" applyFont="1" applyFill="1" applyBorder="1" applyAlignment="1">
      <alignment horizontal="right"/>
    </xf>
    <xf numFmtId="0" fontId="11" fillId="4" borderId="13" xfId="0" applyFont="1" applyFill="1" applyBorder="1"/>
    <xf numFmtId="0" fontId="11" fillId="4" borderId="14" xfId="0" applyFont="1" applyFill="1" applyBorder="1"/>
    <xf numFmtId="0" fontId="11" fillId="4" borderId="15" xfId="0" applyFont="1" applyFill="1" applyBorder="1"/>
    <xf numFmtId="0" fontId="11" fillId="0" borderId="13" xfId="0" applyFont="1" applyBorder="1" applyAlignment="1">
      <alignment wrapText="1"/>
    </xf>
    <xf numFmtId="0" fontId="11" fillId="0" borderId="16" xfId="0" applyFont="1" applyBorder="1"/>
    <xf numFmtId="0" fontId="36" fillId="0" borderId="0" xfId="0" applyFont="1"/>
    <xf numFmtId="0" fontId="26" fillId="16" borderId="19" xfId="0" applyFont="1" applyFill="1" applyBorder="1" applyAlignment="1">
      <alignment horizontal="center"/>
    </xf>
    <xf numFmtId="2" fontId="19" fillId="16" borderId="8" xfId="0" applyNumberFormat="1" applyFont="1" applyFill="1" applyBorder="1" applyAlignment="1">
      <alignment horizontal="right"/>
    </xf>
    <xf numFmtId="0" fontId="19" fillId="16" borderId="8" xfId="0" applyFont="1" applyFill="1" applyBorder="1" applyAlignment="1">
      <alignment horizontal="right"/>
    </xf>
    <xf numFmtId="0" fontId="19" fillId="16" borderId="40" xfId="0" applyFont="1" applyFill="1" applyBorder="1" applyAlignment="1">
      <alignment horizontal="right"/>
    </xf>
    <xf numFmtId="165" fontId="37" fillId="6" borderId="14" xfId="0" applyNumberFormat="1" applyFont="1" applyFill="1" applyBorder="1"/>
    <xf numFmtId="3" fontId="37" fillId="6" borderId="14" xfId="0" applyNumberFormat="1" applyFont="1" applyFill="1" applyBorder="1"/>
    <xf numFmtId="166" fontId="30" fillId="0" borderId="0" xfId="0" applyNumberFormat="1" applyFont="1"/>
    <xf numFmtId="4" fontId="21" fillId="0" borderId="0" xfId="0" applyNumberFormat="1" applyFont="1" applyFill="1" applyBorder="1"/>
    <xf numFmtId="10" fontId="24" fillId="0" borderId="0" xfId="3" applyNumberFormat="1" applyFont="1" applyFill="1" applyBorder="1"/>
    <xf numFmtId="10" fontId="24" fillId="0" borderId="0" xfId="3" applyNumberFormat="1" applyFont="1" applyFill="1" applyBorder="1" applyAlignment="1">
      <alignment horizontal="right"/>
    </xf>
    <xf numFmtId="10" fontId="21" fillId="0" borderId="0" xfId="3" applyNumberFormat="1" applyFont="1" applyFill="1" applyBorder="1"/>
    <xf numFmtId="10" fontId="30" fillId="0" borderId="0" xfId="3" applyNumberFormat="1" applyFont="1"/>
    <xf numFmtId="16" fontId="3" fillId="5" borderId="14" xfId="0" quotePrefix="1" applyNumberFormat="1" applyFont="1" applyFill="1" applyBorder="1" applyAlignment="1">
      <alignment horizontal="center"/>
    </xf>
    <xf numFmtId="0" fontId="3" fillId="5" borderId="14" xfId="0" applyFont="1" applyFill="1" applyBorder="1" applyAlignment="1">
      <alignment horizontal="center"/>
    </xf>
    <xf numFmtId="0" fontId="3" fillId="5" borderId="13" xfId="0" applyFont="1" applyFill="1" applyBorder="1" applyAlignment="1">
      <alignment horizontal="center" vertical="center" wrapText="1"/>
    </xf>
    <xf numFmtId="2" fontId="3" fillId="0" borderId="14" xfId="0" applyNumberFormat="1" applyFont="1" applyBorder="1" applyAlignment="1">
      <alignment horizontal="center"/>
    </xf>
    <xf numFmtId="0" fontId="21" fillId="0" borderId="13" xfId="0" applyFont="1" applyFill="1" applyBorder="1"/>
    <xf numFmtId="0" fontId="38" fillId="0" borderId="0" xfId="0" applyFont="1" applyAlignment="1">
      <alignment wrapText="1"/>
    </xf>
    <xf numFmtId="0" fontId="32" fillId="0" borderId="0" xfId="0" applyFont="1" applyFill="1" applyBorder="1"/>
    <xf numFmtId="0" fontId="14" fillId="0" borderId="0" xfId="0" applyFont="1" applyFill="1" applyBorder="1" applyAlignment="1">
      <alignment horizontal="center"/>
    </xf>
    <xf numFmtId="0" fontId="15" fillId="0" borderId="0" xfId="0" applyFont="1" applyAlignment="1">
      <alignment horizontal="center" vertical="center"/>
    </xf>
    <xf numFmtId="0" fontId="3" fillId="0" borderId="0" xfId="0" applyFont="1" applyAlignment="1">
      <alignment horizontal="center" vertical="center"/>
    </xf>
    <xf numFmtId="0" fontId="3" fillId="5" borderId="13" xfId="0" applyFont="1" applyFill="1" applyBorder="1" applyAlignment="1">
      <alignment horizontal="center"/>
    </xf>
    <xf numFmtId="4" fontId="11" fillId="5" borderId="24" xfId="0" applyNumberFormat="1" applyFont="1" applyFill="1" applyBorder="1" applyAlignment="1">
      <alignment horizontal="center"/>
    </xf>
    <xf numFmtId="4" fontId="11" fillId="5" borderId="21" xfId="0" applyNumberFormat="1" applyFont="1" applyFill="1" applyBorder="1" applyAlignment="1">
      <alignment horizontal="center"/>
    </xf>
    <xf numFmtId="0" fontId="21" fillId="0" borderId="13" xfId="0" applyFont="1" applyBorder="1"/>
    <xf numFmtId="4" fontId="11" fillId="0" borderId="13" xfId="0" applyNumberFormat="1" applyFont="1" applyBorder="1" applyAlignment="1">
      <alignment horizontal="center"/>
    </xf>
    <xf numFmtId="4" fontId="11" fillId="0" borderId="13" xfId="0" applyNumberFormat="1" applyFont="1" applyFill="1" applyBorder="1" applyAlignment="1">
      <alignment horizontal="center"/>
    </xf>
    <xf numFmtId="0" fontId="20" fillId="0" borderId="0" xfId="0" applyFont="1" applyFill="1"/>
    <xf numFmtId="4" fontId="21" fillId="0" borderId="14" xfId="0" applyNumberFormat="1" applyFont="1" applyBorder="1" applyAlignment="1">
      <alignment horizontal="center"/>
    </xf>
    <xf numFmtId="167" fontId="4" fillId="5" borderId="14" xfId="0" applyNumberFormat="1" applyFont="1" applyFill="1" applyBorder="1" applyAlignment="1">
      <alignment horizontal="center"/>
    </xf>
    <xf numFmtId="4" fontId="3" fillId="5" borderId="14" xfId="0" applyNumberFormat="1" applyFont="1" applyFill="1" applyBorder="1" applyAlignment="1">
      <alignment horizontal="center"/>
    </xf>
    <xf numFmtId="4" fontId="11" fillId="5" borderId="13" xfId="0" applyNumberFormat="1" applyFont="1" applyFill="1" applyBorder="1" applyAlignment="1">
      <alignment horizontal="center"/>
    </xf>
    <xf numFmtId="4" fontId="15" fillId="5" borderId="13" xfId="0" applyNumberFormat="1" applyFont="1" applyFill="1" applyBorder="1" applyAlignment="1">
      <alignment horizontal="center"/>
    </xf>
    <xf numFmtId="0" fontId="15" fillId="0" borderId="0" xfId="0" applyFont="1" applyFill="1" applyAlignment="1">
      <alignment horizontal="center" vertical="center"/>
    </xf>
    <xf numFmtId="0" fontId="20" fillId="0" borderId="16" xfId="0" applyFont="1" applyBorder="1" applyAlignment="1">
      <alignment horizontal="center" vertical="center"/>
    </xf>
    <xf numFmtId="4" fontId="20" fillId="0" borderId="17" xfId="0" applyNumberFormat="1" applyFont="1" applyBorder="1" applyAlignment="1">
      <alignment horizontal="center"/>
    </xf>
    <xf numFmtId="4" fontId="7" fillId="0" borderId="38" xfId="0" applyNumberFormat="1" applyFont="1" applyBorder="1" applyAlignment="1">
      <alignment horizontal="center" vertical="center"/>
    </xf>
    <xf numFmtId="4" fontId="2" fillId="0" borderId="0" xfId="0" applyNumberFormat="1" applyFont="1"/>
    <xf numFmtId="4" fontId="20" fillId="0" borderId="0" xfId="0" applyNumberFormat="1" applyFont="1"/>
    <xf numFmtId="166" fontId="20" fillId="0" borderId="0" xfId="0" applyNumberFormat="1" applyFont="1"/>
    <xf numFmtId="0" fontId="15" fillId="0" borderId="42" xfId="0" applyFont="1" applyBorder="1" applyAlignment="1">
      <alignment horizontal="center" vertical="center" wrapText="1"/>
    </xf>
    <xf numFmtId="0" fontId="15" fillId="0" borderId="7" xfId="0" applyFont="1" applyBorder="1" applyAlignment="1">
      <alignment horizontal="center" vertical="center" wrapText="1"/>
    </xf>
    <xf numFmtId="0" fontId="8" fillId="0" borderId="7" xfId="0" applyFont="1" applyFill="1" applyBorder="1" applyAlignment="1">
      <alignment horizontal="center" vertical="center"/>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45" xfId="0" applyFont="1" applyBorder="1" applyAlignment="1">
      <alignment horizontal="center" vertical="center" wrapText="1"/>
    </xf>
    <xf numFmtId="0" fontId="8" fillId="11" borderId="9" xfId="0" applyFont="1" applyFill="1" applyBorder="1" applyAlignment="1">
      <alignment horizontal="center" vertical="center"/>
    </xf>
    <xf numFmtId="0" fontId="41" fillId="0" borderId="46" xfId="5" applyFont="1" applyBorder="1" applyAlignment="1">
      <alignment horizontal="right"/>
    </xf>
    <xf numFmtId="4" fontId="20" fillId="0" borderId="32" xfId="0" applyNumberFormat="1" applyFont="1" applyBorder="1" applyAlignment="1">
      <alignment horizontal="right"/>
    </xf>
    <xf numFmtId="167" fontId="42" fillId="0" borderId="32" xfId="5" applyNumberFormat="1" applyFont="1" applyFill="1" applyBorder="1" applyAlignment="1">
      <alignment horizontal="right"/>
    </xf>
    <xf numFmtId="167" fontId="43" fillId="0" borderId="12" xfId="0" applyNumberFormat="1" applyFont="1" applyBorder="1"/>
    <xf numFmtId="167" fontId="43" fillId="0" borderId="33" xfId="0" applyNumberFormat="1" applyFont="1" applyBorder="1"/>
    <xf numFmtId="167" fontId="43" fillId="0" borderId="37" xfId="0" applyNumberFormat="1" applyFont="1" applyBorder="1"/>
    <xf numFmtId="167" fontId="42" fillId="11" borderId="33" xfId="5" applyNumberFormat="1" applyFont="1" applyFill="1" applyBorder="1" applyAlignment="1">
      <alignment horizontal="right"/>
    </xf>
    <xf numFmtId="0" fontId="41" fillId="0" borderId="47" xfId="5" applyFont="1" applyBorder="1" applyAlignment="1">
      <alignment horizontal="right"/>
    </xf>
    <xf numFmtId="167" fontId="42" fillId="0" borderId="13" xfId="5" applyNumberFormat="1" applyFont="1" applyFill="1" applyBorder="1" applyAlignment="1">
      <alignment horizontal="right"/>
    </xf>
    <xf numFmtId="167" fontId="43" fillId="0" borderId="14" xfId="0" applyNumberFormat="1" applyFont="1" applyBorder="1"/>
    <xf numFmtId="167" fontId="43" fillId="0" borderId="21" xfId="0" applyNumberFormat="1" applyFont="1" applyBorder="1"/>
    <xf numFmtId="167" fontId="43" fillId="0" borderId="34" xfId="0" applyNumberFormat="1" applyFont="1" applyBorder="1"/>
    <xf numFmtId="167" fontId="42" fillId="11" borderId="21" xfId="5" applyNumberFormat="1" applyFont="1" applyFill="1" applyBorder="1" applyAlignment="1">
      <alignment horizontal="right"/>
    </xf>
    <xf numFmtId="167" fontId="43" fillId="0" borderId="34" xfId="0" applyNumberFormat="1" applyFont="1" applyFill="1" applyBorder="1"/>
    <xf numFmtId="167" fontId="43" fillId="0" borderId="14" xfId="0" applyNumberFormat="1" applyFont="1" applyFill="1" applyBorder="1"/>
    <xf numFmtId="0" fontId="41" fillId="0" borderId="47" xfId="5" applyFont="1" applyBorder="1" applyAlignment="1">
      <alignment horizontal="left"/>
    </xf>
    <xf numFmtId="0" fontId="44" fillId="0" borderId="42" xfId="0" applyFont="1" applyBorder="1" applyAlignment="1">
      <alignment horizontal="center"/>
    </xf>
    <xf numFmtId="4" fontId="44" fillId="0" borderId="7" xfId="0" applyNumberFormat="1" applyFont="1" applyBorder="1" applyAlignment="1">
      <alignment horizontal="right"/>
    </xf>
    <xf numFmtId="167" fontId="44" fillId="0" borderId="7" xfId="0" applyNumberFormat="1" applyFont="1" applyBorder="1" applyAlignment="1">
      <alignment horizontal="right"/>
    </xf>
    <xf numFmtId="167" fontId="44" fillId="0" borderId="8" xfId="0" applyNumberFormat="1" applyFont="1" applyBorder="1" applyAlignment="1">
      <alignment horizontal="right"/>
    </xf>
    <xf numFmtId="167" fontId="44" fillId="0" borderId="9" xfId="0" applyNumberFormat="1" applyFont="1" applyBorder="1" applyAlignment="1">
      <alignment horizontal="right"/>
    </xf>
    <xf numFmtId="167" fontId="44" fillId="0" borderId="45" xfId="0" applyNumberFormat="1" applyFont="1" applyBorder="1" applyAlignment="1">
      <alignment horizontal="right"/>
    </xf>
    <xf numFmtId="167" fontId="44" fillId="11" borderId="8" xfId="0" applyNumberFormat="1" applyFont="1" applyFill="1" applyBorder="1" applyAlignment="1">
      <alignment horizontal="right"/>
    </xf>
    <xf numFmtId="167" fontId="0" fillId="0" borderId="0" xfId="0" applyNumberFormat="1"/>
    <xf numFmtId="167" fontId="1" fillId="0" borderId="0" xfId="0" applyNumberFormat="1" applyFont="1"/>
    <xf numFmtId="166" fontId="0" fillId="0" borderId="0" xfId="0" applyNumberFormat="1"/>
    <xf numFmtId="166" fontId="1" fillId="0" borderId="0" xfId="0" applyNumberFormat="1" applyFont="1"/>
    <xf numFmtId="0" fontId="11" fillId="4" borderId="48" xfId="0" applyFont="1" applyFill="1" applyBorder="1" applyAlignment="1">
      <alignment vertical="center" wrapText="1"/>
    </xf>
    <xf numFmtId="49" fontId="11" fillId="4" borderId="49" xfId="0" applyNumberFormat="1" applyFont="1" applyFill="1" applyBorder="1" applyAlignment="1">
      <alignment horizontal="center" vertical="center"/>
    </xf>
    <xf numFmtId="0" fontId="45" fillId="0" borderId="0" xfId="0" applyFont="1" applyFill="1" applyAlignment="1">
      <alignment wrapText="1"/>
    </xf>
    <xf numFmtId="0" fontId="40" fillId="0" borderId="0" xfId="0" applyFont="1" applyFill="1" applyAlignment="1">
      <alignment wrapText="1"/>
    </xf>
    <xf numFmtId="0" fontId="18" fillId="0" borderId="0" xfId="6" applyFont="1" applyFill="1" applyBorder="1" applyAlignment="1">
      <alignment vertical="center" wrapText="1"/>
    </xf>
    <xf numFmtId="3" fontId="40" fillId="0" borderId="0" xfId="0" applyNumberFormat="1" applyFont="1" applyFill="1" applyAlignment="1">
      <alignment wrapText="1"/>
    </xf>
    <xf numFmtId="0" fontId="49" fillId="0" borderId="0" xfId="0" applyFont="1" applyFill="1" applyBorder="1" applyAlignment="1">
      <alignment horizontal="center" vertical="center" wrapText="1"/>
    </xf>
    <xf numFmtId="0" fontId="50" fillId="0" borderId="0" xfId="0" applyFont="1" applyFill="1" applyAlignment="1">
      <alignment wrapText="1"/>
    </xf>
    <xf numFmtId="0" fontId="51" fillId="0" borderId="0" xfId="0" applyFont="1" applyFill="1" applyAlignment="1">
      <alignment wrapText="1"/>
    </xf>
    <xf numFmtId="0" fontId="53" fillId="0" borderId="0" xfId="0" applyFont="1" applyFill="1" applyBorder="1" applyAlignment="1">
      <alignment wrapText="1"/>
    </xf>
    <xf numFmtId="0" fontId="54" fillId="0" borderId="0" xfId="0" applyFont="1" applyFill="1" applyAlignment="1">
      <alignment wrapText="1"/>
    </xf>
    <xf numFmtId="0" fontId="55" fillId="0" borderId="0" xfId="0" applyFont="1" applyFill="1" applyBorder="1" applyAlignment="1">
      <alignment wrapText="1"/>
    </xf>
    <xf numFmtId="0" fontId="56" fillId="0" borderId="0" xfId="0" applyFont="1" applyFill="1" applyAlignment="1">
      <alignment wrapText="1"/>
    </xf>
    <xf numFmtId="0" fontId="57" fillId="0" borderId="0" xfId="0" applyFont="1" applyFill="1" applyAlignment="1">
      <alignment wrapText="1"/>
    </xf>
    <xf numFmtId="0" fontId="58" fillId="0" borderId="0" xfId="0" applyFont="1" applyFill="1" applyBorder="1" applyAlignment="1">
      <alignment wrapText="1"/>
    </xf>
    <xf numFmtId="0" fontId="59" fillId="0" borderId="0" xfId="0" applyFont="1" applyFill="1" applyAlignment="1">
      <alignment wrapText="1"/>
    </xf>
    <xf numFmtId="0" fontId="13" fillId="0" borderId="0" xfId="0" applyFont="1" applyFill="1" applyBorder="1" applyAlignment="1">
      <alignment wrapText="1"/>
    </xf>
    <xf numFmtId="3" fontId="56" fillId="0" borderId="0" xfId="0" applyNumberFormat="1" applyFont="1" applyFill="1" applyAlignment="1">
      <alignment wrapText="1"/>
    </xf>
    <xf numFmtId="0" fontId="10" fillId="0" borderId="14" xfId="8" applyFont="1" applyFill="1" applyBorder="1" applyAlignment="1">
      <alignment horizontal="center" vertical="center" wrapText="1"/>
    </xf>
    <xf numFmtId="14" fontId="10" fillId="0" borderId="0" xfId="0" applyNumberFormat="1" applyFont="1"/>
    <xf numFmtId="0" fontId="63" fillId="0" borderId="0" xfId="0" applyFont="1" applyAlignment="1">
      <alignment horizontal="center"/>
    </xf>
    <xf numFmtId="0" fontId="63" fillId="0" borderId="0" xfId="0" applyFont="1" applyFill="1"/>
    <xf numFmtId="0" fontId="64" fillId="0" borderId="0" xfId="0" applyFont="1"/>
    <xf numFmtId="0" fontId="18" fillId="0" borderId="0" xfId="0" applyFont="1"/>
    <xf numFmtId="0" fontId="18" fillId="0" borderId="0" xfId="0" applyFont="1" applyBorder="1" applyAlignment="1">
      <alignment vertical="top" wrapText="1"/>
    </xf>
    <xf numFmtId="0" fontId="10" fillId="0" borderId="14" xfId="0" applyFont="1" applyBorder="1" applyAlignment="1">
      <alignment horizontal="center" vertical="center"/>
    </xf>
    <xf numFmtId="0" fontId="10" fillId="0" borderId="14" xfId="0" applyFont="1" applyBorder="1" applyAlignment="1">
      <alignment horizontal="center" vertical="center" wrapText="1"/>
    </xf>
    <xf numFmtId="0" fontId="10" fillId="23" borderId="14" xfId="0" applyFont="1" applyFill="1" applyBorder="1" applyAlignment="1">
      <alignment horizontal="center" vertical="center" wrapText="1"/>
    </xf>
    <xf numFmtId="0" fontId="18" fillId="24" borderId="14" xfId="0" applyFont="1" applyFill="1" applyBorder="1"/>
    <xf numFmtId="0" fontId="18" fillId="24" borderId="14" xfId="0" applyFont="1" applyFill="1" applyBorder="1" applyAlignment="1">
      <alignment vertical="center" wrapText="1"/>
    </xf>
    <xf numFmtId="2" fontId="18" fillId="24" borderId="14" xfId="0" applyNumberFormat="1" applyFont="1" applyFill="1" applyBorder="1" applyAlignment="1">
      <alignment horizontal="center" vertical="center"/>
    </xf>
    <xf numFmtId="0" fontId="18" fillId="15" borderId="14" xfId="0" applyFont="1" applyFill="1" applyBorder="1" applyAlignment="1">
      <alignment horizontal="center" vertical="center"/>
    </xf>
    <xf numFmtId="0" fontId="18" fillId="15" borderId="14" xfId="0" applyFont="1" applyFill="1" applyBorder="1" applyAlignment="1">
      <alignment vertical="center" wrapText="1"/>
    </xf>
    <xf numFmtId="2" fontId="18" fillId="15" borderId="14" xfId="0" applyNumberFormat="1" applyFont="1" applyFill="1" applyBorder="1" applyAlignment="1">
      <alignment horizontal="center" vertical="center"/>
    </xf>
    <xf numFmtId="0" fontId="18" fillId="0" borderId="14" xfId="0" applyFont="1" applyBorder="1" applyAlignment="1">
      <alignment horizontal="center" vertical="center"/>
    </xf>
    <xf numFmtId="0" fontId="18" fillId="0" borderId="14" xfId="0" applyFont="1" applyBorder="1" applyAlignment="1">
      <alignment vertical="center" wrapText="1"/>
    </xf>
    <xf numFmtId="2" fontId="18" fillId="0" borderId="14" xfId="0" applyNumberFormat="1" applyFont="1" applyBorder="1" applyAlignment="1">
      <alignment horizontal="center" vertical="center"/>
    </xf>
    <xf numFmtId="0" fontId="27" fillId="0" borderId="14" xfId="0" applyFont="1" applyBorder="1" applyAlignment="1">
      <alignment horizontal="center" vertical="center"/>
    </xf>
    <xf numFmtId="0" fontId="27" fillId="0" borderId="14" xfId="0" applyFont="1" applyBorder="1" applyAlignment="1">
      <alignment vertical="center" wrapText="1"/>
    </xf>
    <xf numFmtId="2" fontId="27" fillId="0" borderId="14" xfId="0" applyNumberFormat="1" applyFont="1" applyBorder="1" applyAlignment="1">
      <alignment horizontal="center" vertical="center"/>
    </xf>
    <xf numFmtId="0" fontId="10" fillId="0" borderId="14" xfId="0" applyFont="1" applyBorder="1" applyAlignment="1">
      <alignment vertical="center" wrapText="1"/>
    </xf>
    <xf numFmtId="0" fontId="10" fillId="0" borderId="14" xfId="0" applyFont="1" applyFill="1" applyBorder="1" applyAlignment="1">
      <alignment vertical="center" wrapText="1"/>
    </xf>
    <xf numFmtId="0" fontId="10" fillId="0" borderId="0" xfId="0" applyFont="1" applyBorder="1" applyAlignment="1">
      <alignment horizontal="center" vertical="center"/>
    </xf>
    <xf numFmtId="0" fontId="10" fillId="0" borderId="0" xfId="0" applyFont="1" applyBorder="1" applyAlignment="1">
      <alignment vertical="center" wrapText="1"/>
    </xf>
    <xf numFmtId="2" fontId="64" fillId="0" borderId="0" xfId="0" applyNumberFormat="1" applyFont="1"/>
    <xf numFmtId="0" fontId="10" fillId="0" borderId="0" xfId="0" applyFont="1" applyFill="1" applyBorder="1"/>
    <xf numFmtId="0" fontId="64" fillId="0" borderId="0" xfId="0" applyFont="1" applyFill="1" applyBorder="1"/>
    <xf numFmtId="3" fontId="18" fillId="0" borderId="0" xfId="0" applyNumberFormat="1" applyFont="1" applyFill="1" applyBorder="1" applyAlignment="1">
      <alignment horizontal="center" wrapText="1"/>
    </xf>
    <xf numFmtId="0" fontId="42" fillId="0" borderId="0" xfId="0" applyFont="1"/>
    <xf numFmtId="3" fontId="41" fillId="0" borderId="0" xfId="0" applyNumberFormat="1" applyFont="1"/>
    <xf numFmtId="14" fontId="41" fillId="0" borderId="0" xfId="0" quotePrefix="1" applyNumberFormat="1" applyFont="1"/>
    <xf numFmtId="0" fontId="41" fillId="0" borderId="0" xfId="0" applyFont="1" applyAlignment="1">
      <alignment horizontal="center"/>
    </xf>
    <xf numFmtId="0" fontId="48" fillId="0" borderId="0" xfId="0" applyFont="1" applyAlignment="1">
      <alignment horizontal="center" vertical="center"/>
    </xf>
    <xf numFmtId="1" fontId="66" fillId="0" borderId="0" xfId="0" applyNumberFormat="1" applyFont="1" applyAlignment="1">
      <alignment horizontal="center" vertical="center"/>
    </xf>
    <xf numFmtId="1" fontId="41" fillId="0" borderId="0" xfId="0" applyNumberFormat="1" applyFont="1" applyAlignment="1">
      <alignment horizontal="center" vertical="center"/>
    </xf>
    <xf numFmtId="1" fontId="48" fillId="0" borderId="0" xfId="0" applyNumberFormat="1" applyFont="1" applyAlignment="1">
      <alignment horizontal="center" vertical="center"/>
    </xf>
    <xf numFmtId="0" fontId="42" fillId="0" borderId="0" xfId="0" applyFont="1" applyFill="1"/>
    <xf numFmtId="0" fontId="41" fillId="0" borderId="0" xfId="0" applyFont="1" applyFill="1"/>
    <xf numFmtId="0" fontId="42" fillId="4" borderId="0" xfId="0" applyFont="1" applyFill="1"/>
    <xf numFmtId="0" fontId="41" fillId="4" borderId="0" xfId="0" applyFont="1" applyFill="1"/>
    <xf numFmtId="0" fontId="46" fillId="0" borderId="0" xfId="0" applyFont="1"/>
    <xf numFmtId="0" fontId="46" fillId="4" borderId="0" xfId="0" applyFont="1" applyFill="1"/>
    <xf numFmtId="0" fontId="67" fillId="0" borderId="0" xfId="0" applyFont="1"/>
    <xf numFmtId="0" fontId="68" fillId="0" borderId="0" xfId="0" applyFont="1"/>
    <xf numFmtId="1" fontId="42" fillId="0" borderId="0" xfId="0" applyNumberFormat="1" applyFont="1" applyAlignment="1">
      <alignment horizontal="center" vertical="center"/>
    </xf>
    <xf numFmtId="0" fontId="14" fillId="0" borderId="36" xfId="0" applyFont="1" applyFill="1" applyBorder="1" applyAlignment="1">
      <alignment horizontal="center" vertical="center" wrapText="1"/>
    </xf>
    <xf numFmtId="0" fontId="40" fillId="0" borderId="0" xfId="0" applyFont="1" applyFill="1" applyBorder="1" applyAlignment="1">
      <alignment wrapText="1"/>
    </xf>
    <xf numFmtId="3" fontId="40" fillId="0" borderId="0" xfId="0" applyNumberFormat="1" applyFont="1" applyFill="1" applyBorder="1" applyAlignment="1">
      <alignment wrapText="1"/>
    </xf>
    <xf numFmtId="0" fontId="61" fillId="0" borderId="0" xfId="0" applyFont="1" applyFill="1" applyBorder="1" applyAlignment="1">
      <alignment wrapText="1"/>
    </xf>
    <xf numFmtId="10" fontId="60" fillId="0" borderId="0" xfId="0" applyNumberFormat="1" applyFont="1" applyFill="1" applyBorder="1" applyAlignment="1">
      <alignment horizontal="center" vertical="center" wrapText="1"/>
    </xf>
    <xf numFmtId="0" fontId="62" fillId="0" borderId="0" xfId="0" applyFont="1" applyFill="1" applyBorder="1" applyAlignment="1">
      <alignment wrapText="1"/>
    </xf>
    <xf numFmtId="3" fontId="18" fillId="0" borderId="0"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0" fontId="54" fillId="0" borderId="0" xfId="0" applyFont="1" applyFill="1" applyBorder="1" applyAlignment="1">
      <alignment wrapText="1"/>
    </xf>
    <xf numFmtId="0" fontId="56" fillId="0" borderId="0" xfId="0" applyFont="1" applyFill="1" applyBorder="1" applyAlignment="1">
      <alignment wrapText="1"/>
    </xf>
    <xf numFmtId="3" fontId="55" fillId="0" borderId="0" xfId="0" applyNumberFormat="1" applyFont="1" applyFill="1" applyBorder="1" applyAlignment="1">
      <alignment horizontal="right" vertical="center" wrapText="1"/>
    </xf>
    <xf numFmtId="3" fontId="10" fillId="0" borderId="0" xfId="0" applyNumberFormat="1" applyFont="1" applyFill="1" applyBorder="1" applyAlignment="1">
      <alignment horizontal="center" vertical="center" wrapText="1"/>
    </xf>
    <xf numFmtId="0" fontId="59" fillId="0" borderId="0" xfId="0" applyFont="1" applyFill="1" applyBorder="1" applyAlignment="1">
      <alignment wrapText="1"/>
    </xf>
    <xf numFmtId="3" fontId="18" fillId="0" borderId="0" xfId="0" applyNumberFormat="1" applyFont="1" applyFill="1" applyBorder="1" applyAlignment="1">
      <alignment horizontal="center" vertical="center" wrapText="1"/>
    </xf>
    <xf numFmtId="0" fontId="3" fillId="0" borderId="14" xfId="0" applyFont="1" applyFill="1" applyBorder="1" applyAlignment="1">
      <alignment horizontal="center"/>
    </xf>
    <xf numFmtId="0" fontId="11" fillId="0" borderId="14" xfId="0" applyFont="1" applyFill="1" applyBorder="1" applyAlignment="1">
      <alignment horizontal="center" vertical="center"/>
    </xf>
    <xf numFmtId="49" fontId="11" fillId="0" borderId="14" xfId="4" applyNumberFormat="1" applyFont="1" applyFill="1" applyBorder="1" applyAlignment="1" applyProtection="1">
      <alignment horizontal="center"/>
      <protection locked="0"/>
    </xf>
    <xf numFmtId="0" fontId="11" fillId="0" borderId="14" xfId="0" applyFont="1" applyFill="1" applyBorder="1" applyAlignment="1">
      <alignment horizontal="center"/>
    </xf>
    <xf numFmtId="4" fontId="11" fillId="3" borderId="14" xfId="0" applyNumberFormat="1" applyFont="1" applyFill="1" applyBorder="1" applyAlignment="1">
      <alignment horizontal="center" vertical="center"/>
    </xf>
    <xf numFmtId="4" fontId="11" fillId="3" borderId="14" xfId="0" applyNumberFormat="1" applyFont="1" applyFill="1" applyBorder="1" applyAlignment="1">
      <alignment horizontal="center"/>
    </xf>
    <xf numFmtId="0" fontId="11" fillId="3" borderId="14" xfId="0" applyFont="1" applyFill="1" applyBorder="1" applyAlignment="1">
      <alignment horizontal="center"/>
    </xf>
    <xf numFmtId="49" fontId="11" fillId="0" borderId="14" xfId="0" quotePrefix="1" applyNumberFormat="1" applyFont="1" applyFill="1" applyBorder="1" applyAlignment="1">
      <alignment horizontal="center" vertical="center"/>
    </xf>
    <xf numFmtId="0" fontId="10" fillId="0" borderId="13" xfId="2" applyFont="1" applyFill="1" applyBorder="1" applyAlignment="1">
      <alignment horizontal="left" vertical="center" wrapText="1"/>
    </xf>
    <xf numFmtId="49" fontId="10" fillId="0" borderId="14" xfId="0" applyNumberFormat="1" applyFont="1" applyFill="1" applyBorder="1" applyAlignment="1">
      <alignment horizontal="center" vertical="center"/>
    </xf>
    <xf numFmtId="2" fontId="10" fillId="0" borderId="14" xfId="0" quotePrefix="1" applyNumberFormat="1" applyFont="1" applyFill="1" applyBorder="1" applyAlignment="1">
      <alignment horizontal="center" vertical="center"/>
    </xf>
    <xf numFmtId="49" fontId="10" fillId="0" borderId="14" xfId="0" applyNumberFormat="1" applyFont="1" applyFill="1" applyBorder="1" applyAlignment="1">
      <alignment horizontal="center" vertical="center" wrapText="1"/>
    </xf>
    <xf numFmtId="2" fontId="11" fillId="0" borderId="14" xfId="0" quotePrefix="1" applyNumberFormat="1" applyFont="1" applyFill="1" applyBorder="1" applyAlignment="1">
      <alignment horizontal="center" vertical="center"/>
    </xf>
    <xf numFmtId="49" fontId="11" fillId="0" borderId="14" xfId="1" applyNumberFormat="1" applyFont="1" applyFill="1" applyBorder="1" applyAlignment="1">
      <alignment horizontal="center" vertical="center" wrapText="1"/>
    </xf>
    <xf numFmtId="49" fontId="10" fillId="0" borderId="14" xfId="1" applyNumberFormat="1" applyFont="1" applyFill="1" applyBorder="1" applyAlignment="1">
      <alignment horizontal="center" wrapText="1"/>
    </xf>
    <xf numFmtId="49" fontId="11" fillId="0" borderId="14" xfId="1" applyNumberFormat="1" applyFont="1" applyFill="1" applyBorder="1" applyAlignment="1">
      <alignment horizontal="center" wrapText="1"/>
    </xf>
    <xf numFmtId="2" fontId="11" fillId="0" borderId="49" xfId="0" applyNumberFormat="1" applyFont="1" applyFill="1" applyBorder="1" applyAlignment="1">
      <alignment horizontal="center" vertical="center"/>
    </xf>
    <xf numFmtId="2" fontId="11" fillId="4" borderId="15" xfId="0" applyNumberFormat="1" applyFont="1" applyFill="1" applyBorder="1" applyAlignment="1">
      <alignment horizontal="center" vertical="center"/>
    </xf>
    <xf numFmtId="2" fontId="11" fillId="0" borderId="15" xfId="0" applyNumberFormat="1" applyFont="1" applyBorder="1" applyAlignment="1">
      <alignment horizontal="center" vertical="center"/>
    </xf>
    <xf numFmtId="2" fontId="10" fillId="0" borderId="30" xfId="1" applyNumberFormat="1" applyFont="1" applyBorder="1" applyAlignment="1">
      <alignment horizontal="center" vertical="center"/>
    </xf>
    <xf numFmtId="2" fontId="10" fillId="4" borderId="30" xfId="1" applyNumberFormat="1" applyFont="1" applyFill="1" applyBorder="1" applyAlignment="1">
      <alignment horizontal="center" vertical="center"/>
    </xf>
    <xf numFmtId="2" fontId="11" fillId="0" borderId="30" xfId="1" applyNumberFormat="1" applyFont="1" applyBorder="1" applyAlignment="1">
      <alignment horizontal="center" vertical="center"/>
    </xf>
    <xf numFmtId="2" fontId="11" fillId="0" borderId="14" xfId="0" quotePrefix="1" applyNumberFormat="1" applyFont="1" applyBorder="1" applyAlignment="1">
      <alignment horizontal="center" vertical="center"/>
    </xf>
    <xf numFmtId="2" fontId="11" fillId="4" borderId="18" xfId="0" applyNumberFormat="1" applyFont="1" applyFill="1" applyBorder="1" applyAlignment="1">
      <alignment horizontal="center" vertical="center"/>
    </xf>
    <xf numFmtId="0" fontId="2" fillId="12" borderId="7" xfId="0" applyFont="1" applyFill="1" applyBorder="1" applyAlignment="1">
      <alignment horizontal="center" vertical="center"/>
    </xf>
    <xf numFmtId="0" fontId="20" fillId="12" borderId="8" xfId="0" applyFont="1" applyFill="1" applyBorder="1" applyAlignment="1">
      <alignment horizontal="center" vertical="center"/>
    </xf>
    <xf numFmtId="2" fontId="11" fillId="0" borderId="14" xfId="0" applyNumberFormat="1" applyFont="1" applyBorder="1"/>
    <xf numFmtId="2" fontId="11" fillId="5" borderId="14" xfId="0" quotePrefix="1" applyNumberFormat="1" applyFont="1" applyFill="1" applyBorder="1" applyAlignment="1">
      <alignment horizontal="center"/>
    </xf>
    <xf numFmtId="2" fontId="11" fillId="4" borderId="14" xfId="0" applyNumberFormat="1" applyFont="1" applyFill="1" applyBorder="1"/>
    <xf numFmtId="4" fontId="19" fillId="0" borderId="22" xfId="0" applyNumberFormat="1" applyFont="1" applyBorder="1" applyAlignment="1">
      <alignment horizontal="center" vertical="center"/>
    </xf>
    <xf numFmtId="2" fontId="21" fillId="0" borderId="14" xfId="0" quotePrefix="1" applyNumberFormat="1" applyFont="1" applyBorder="1" applyAlignment="1">
      <alignment horizontal="center"/>
    </xf>
    <xf numFmtId="2" fontId="21" fillId="0" borderId="14" xfId="0" quotePrefix="1" applyNumberFormat="1" applyFont="1" applyFill="1" applyBorder="1" applyAlignment="1">
      <alignment horizontal="center"/>
    </xf>
    <xf numFmtId="166" fontId="21" fillId="0" borderId="14" xfId="0" quotePrefix="1" applyNumberFormat="1" applyFont="1" applyBorder="1" applyAlignment="1">
      <alignment horizontal="center"/>
    </xf>
    <xf numFmtId="2" fontId="11" fillId="3" borderId="14" xfId="0" applyNumberFormat="1" applyFont="1" applyFill="1" applyBorder="1" applyAlignment="1">
      <alignment horizontal="center" vertical="center" wrapText="1"/>
    </xf>
    <xf numFmtId="2" fontId="11" fillId="3" borderId="14" xfId="0" applyNumberFormat="1" applyFont="1" applyFill="1" applyBorder="1" applyAlignment="1">
      <alignment horizontal="center" vertical="center"/>
    </xf>
    <xf numFmtId="2" fontId="3" fillId="3" borderId="14" xfId="0" applyNumberFormat="1" applyFont="1" applyFill="1" applyBorder="1" applyAlignment="1">
      <alignment horizontal="center"/>
    </xf>
    <xf numFmtId="4" fontId="11" fillId="3" borderId="14" xfId="0" applyNumberFormat="1" applyFont="1" applyFill="1" applyBorder="1" applyAlignment="1">
      <alignment horizontal="center" vertical="center" wrapText="1"/>
    </xf>
    <xf numFmtId="4" fontId="11" fillId="3" borderId="14" xfId="1" applyNumberFormat="1" applyFont="1" applyFill="1" applyBorder="1" applyAlignment="1">
      <alignment horizontal="center" vertical="center" wrapText="1"/>
    </xf>
    <xf numFmtId="4" fontId="11" fillId="3" borderId="14" xfId="0" applyNumberFormat="1" applyFont="1" applyFill="1" applyBorder="1" applyAlignment="1">
      <alignment horizontal="center" wrapText="1"/>
    </xf>
    <xf numFmtId="2" fontId="11" fillId="3" borderId="14" xfId="1" applyNumberFormat="1" applyFont="1" applyFill="1" applyBorder="1" applyAlignment="1">
      <alignment horizontal="center" vertical="center"/>
    </xf>
    <xf numFmtId="2" fontId="11" fillId="3" borderId="49" xfId="0" applyNumberFormat="1" applyFont="1" applyFill="1" applyBorder="1" applyAlignment="1">
      <alignment horizontal="center" vertical="center"/>
    </xf>
    <xf numFmtId="4" fontId="10" fillId="0" borderId="14" xfId="0" applyNumberFormat="1" applyFont="1" applyBorder="1" applyAlignment="1">
      <alignment horizontal="center" vertical="center"/>
    </xf>
    <xf numFmtId="4" fontId="11" fillId="0" borderId="14" xfId="0" applyNumberFormat="1" applyFont="1" applyBorder="1"/>
    <xf numFmtId="4" fontId="11" fillId="0" borderId="14" xfId="0" applyNumberFormat="1" applyFont="1" applyBorder="1" applyAlignment="1">
      <alignment horizontal="center"/>
    </xf>
    <xf numFmtId="2" fontId="11" fillId="0" borderId="15" xfId="0" applyNumberFormat="1" applyFont="1" applyBorder="1"/>
    <xf numFmtId="2" fontId="11" fillId="0" borderId="13" xfId="0" applyNumberFormat="1" applyFont="1" applyBorder="1"/>
    <xf numFmtId="2" fontId="11" fillId="0" borderId="21" xfId="0" applyNumberFormat="1" applyFont="1" applyBorder="1"/>
    <xf numFmtId="4" fontId="19" fillId="15" borderId="13" xfId="0" applyNumberFormat="1" applyFont="1" applyFill="1" applyBorder="1" applyAlignment="1">
      <alignment horizontal="right"/>
    </xf>
    <xf numFmtId="4" fontId="19" fillId="15" borderId="14" xfId="0" applyNumberFormat="1" applyFont="1" applyFill="1" applyBorder="1" applyAlignment="1">
      <alignment horizontal="right"/>
    </xf>
    <xf numFmtId="4" fontId="19" fillId="15" borderId="21" xfId="0" applyNumberFormat="1" applyFont="1" applyFill="1" applyBorder="1" applyAlignment="1">
      <alignment horizontal="right"/>
    </xf>
    <xf numFmtId="4" fontId="11" fillId="0" borderId="15" xfId="0" applyNumberFormat="1" applyFont="1" applyBorder="1"/>
    <xf numFmtId="4" fontId="11" fillId="4" borderId="14" xfId="0" applyNumberFormat="1" applyFont="1" applyFill="1" applyBorder="1"/>
    <xf numFmtId="4" fontId="11" fillId="4" borderId="15" xfId="0" applyNumberFormat="1" applyFont="1" applyFill="1" applyBorder="1"/>
    <xf numFmtId="4" fontId="30" fillId="0" borderId="0" xfId="0" applyNumberFormat="1" applyFont="1"/>
    <xf numFmtId="4" fontId="19" fillId="16" borderId="7" xfId="0" applyNumberFormat="1" applyFont="1" applyFill="1" applyBorder="1" applyAlignment="1">
      <alignment horizontal="right"/>
    </xf>
    <xf numFmtId="2" fontId="30" fillId="0" borderId="0" xfId="0" applyNumberFormat="1" applyFont="1"/>
    <xf numFmtId="2" fontId="3" fillId="4" borderId="14" xfId="0" applyNumberFormat="1" applyFont="1" applyFill="1" applyBorder="1" applyAlignment="1">
      <alignment horizontal="center"/>
    </xf>
    <xf numFmtId="2" fontId="3" fillId="4" borderId="17" xfId="0" applyNumberFormat="1" applyFont="1" applyFill="1" applyBorder="1" applyAlignment="1">
      <alignment horizontal="center"/>
    </xf>
    <xf numFmtId="4" fontId="3" fillId="0" borderId="47" xfId="0" applyNumberFormat="1" applyFont="1" applyBorder="1"/>
    <xf numFmtId="2" fontId="11" fillId="0" borderId="14" xfId="0" applyNumberFormat="1" applyFont="1" applyBorder="1" applyAlignment="1">
      <alignment horizontal="center"/>
    </xf>
    <xf numFmtId="0" fontId="11" fillId="2" borderId="53" xfId="0" applyFont="1" applyFill="1" applyBorder="1" applyAlignment="1">
      <alignment horizontal="center" vertical="center" wrapText="1"/>
    </xf>
    <xf numFmtId="2" fontId="19" fillId="6" borderId="15" xfId="0" applyNumberFormat="1" applyFont="1" applyFill="1" applyBorder="1" applyAlignment="1">
      <alignment horizontal="center"/>
    </xf>
    <xf numFmtId="2" fontId="11" fillId="4" borderId="15" xfId="0" applyNumberFormat="1" applyFont="1" applyFill="1" applyBorder="1" applyAlignment="1">
      <alignment horizontal="center"/>
    </xf>
    <xf numFmtId="2" fontId="19" fillId="13" borderId="55" xfId="0" applyNumberFormat="1" applyFont="1" applyFill="1" applyBorder="1" applyAlignment="1">
      <alignment horizontal="center" vertical="center"/>
    </xf>
    <xf numFmtId="0" fontId="0" fillId="0" borderId="47" xfId="0" applyBorder="1"/>
    <xf numFmtId="0" fontId="0" fillId="5" borderId="47" xfId="0" applyFill="1" applyBorder="1"/>
    <xf numFmtId="4" fontId="0" fillId="0" borderId="0" xfId="0" applyNumberFormat="1" applyFill="1" applyBorder="1"/>
    <xf numFmtId="2" fontId="19" fillId="0" borderId="40" xfId="0" applyNumberFormat="1" applyFont="1" applyBorder="1" applyAlignment="1">
      <alignment horizontal="center" vertical="center"/>
    </xf>
    <xf numFmtId="0" fontId="0" fillId="0" borderId="0" xfId="0"/>
    <xf numFmtId="2" fontId="10" fillId="0" borderId="14" xfId="0" applyNumberFormat="1" applyFont="1" applyFill="1" applyBorder="1" applyAlignment="1">
      <alignment horizontal="center" vertical="center"/>
    </xf>
    <xf numFmtId="2" fontId="11" fillId="0" borderId="14" xfId="0" applyNumberFormat="1" applyFont="1" applyFill="1" applyBorder="1" applyAlignment="1">
      <alignment horizontal="center" vertical="center"/>
    </xf>
    <xf numFmtId="4" fontId="10" fillId="0" borderId="14" xfId="1" applyNumberFormat="1" applyFont="1" applyFill="1" applyBorder="1" applyAlignment="1">
      <alignment horizontal="center" vertical="center"/>
    </xf>
    <xf numFmtId="4" fontId="11" fillId="0" borderId="14" xfId="1" applyNumberFormat="1" applyFont="1" applyFill="1" applyBorder="1" applyAlignment="1">
      <alignment horizontal="center" vertical="center"/>
    </xf>
    <xf numFmtId="0" fontId="30" fillId="0" borderId="0" xfId="0" applyFont="1"/>
    <xf numFmtId="3" fontId="30" fillId="0" borderId="0" xfId="0" applyNumberFormat="1" applyFont="1" applyAlignment="1">
      <alignment horizontal="right" vertical="center"/>
    </xf>
    <xf numFmtId="0" fontId="10" fillId="0" borderId="0" xfId="0" applyFont="1"/>
    <xf numFmtId="0" fontId="10" fillId="0" borderId="14" xfId="0" applyFont="1" applyFill="1" applyBorder="1" applyAlignment="1">
      <alignment horizontal="center" vertical="center" wrapText="1"/>
    </xf>
    <xf numFmtId="2" fontId="10" fillId="0" borderId="14" xfId="0" applyNumberFormat="1" applyFont="1" applyBorder="1" applyAlignment="1">
      <alignment horizontal="center" vertical="center"/>
    </xf>
    <xf numFmtId="0" fontId="41" fillId="0" borderId="0" xfId="0" applyFont="1"/>
    <xf numFmtId="2" fontId="11" fillId="0" borderId="15" xfId="0" applyNumberFormat="1" applyFont="1" applyBorder="1" applyAlignment="1">
      <alignment horizontal="center"/>
    </xf>
    <xf numFmtId="49" fontId="11" fillId="0" borderId="14" xfId="0" applyNumberFormat="1" applyFont="1" applyFill="1" applyBorder="1" applyAlignment="1">
      <alignment horizontal="center" vertical="center"/>
    </xf>
    <xf numFmtId="0" fontId="11" fillId="0" borderId="13" xfId="0" applyFont="1" applyFill="1" applyBorder="1" applyAlignment="1">
      <alignment vertical="center" wrapText="1"/>
    </xf>
    <xf numFmtId="0" fontId="11" fillId="4" borderId="13" xfId="0" applyFont="1" applyFill="1" applyBorder="1" applyAlignment="1">
      <alignment vertical="center" wrapText="1"/>
    </xf>
    <xf numFmtId="49" fontId="11" fillId="4" borderId="14" xfId="0" applyNumberFormat="1" applyFont="1" applyFill="1" applyBorder="1" applyAlignment="1">
      <alignment horizontal="center" vertical="center"/>
    </xf>
    <xf numFmtId="49" fontId="11" fillId="4" borderId="14"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2" fontId="11" fillId="0" borderId="14"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49" fontId="11" fillId="0" borderId="14" xfId="0" quotePrefix="1" applyNumberFormat="1" applyFont="1" applyBorder="1" applyAlignment="1">
      <alignment horizontal="center" vertical="center"/>
    </xf>
    <xf numFmtId="4" fontId="11" fillId="0" borderId="15" xfId="0" applyNumberFormat="1" applyFont="1" applyBorder="1" applyAlignment="1">
      <alignment horizontal="center" vertical="center"/>
    </xf>
    <xf numFmtId="0" fontId="14" fillId="0" borderId="0" xfId="0" applyFont="1" applyFill="1" applyBorder="1" applyAlignment="1">
      <alignment horizontal="center" vertical="center" wrapText="1"/>
    </xf>
    <xf numFmtId="4" fontId="11" fillId="0" borderId="15" xfId="0" applyNumberFormat="1" applyFont="1" applyBorder="1" applyAlignment="1">
      <alignment horizontal="center"/>
    </xf>
    <xf numFmtId="4" fontId="19" fillId="6" borderId="15" xfId="0" applyNumberFormat="1" applyFont="1" applyFill="1" applyBorder="1" applyAlignment="1">
      <alignment horizontal="center"/>
    </xf>
    <xf numFmtId="4" fontId="19" fillId="16" borderId="15" xfId="0" applyNumberFormat="1" applyFont="1" applyFill="1" applyBorder="1" applyAlignment="1">
      <alignment horizontal="center" vertical="center"/>
    </xf>
    <xf numFmtId="4" fontId="19" fillId="13" borderId="15" xfId="0" applyNumberFormat="1" applyFont="1" applyFill="1" applyBorder="1" applyAlignment="1">
      <alignment horizontal="center" vertical="center"/>
    </xf>
    <xf numFmtId="4" fontId="11" fillId="4" borderId="15" xfId="0" applyNumberFormat="1" applyFont="1" applyFill="1" applyBorder="1" applyAlignment="1">
      <alignment horizontal="center" vertical="center"/>
    </xf>
    <xf numFmtId="4" fontId="11" fillId="0" borderId="15" xfId="0" applyNumberFormat="1" applyFont="1" applyFill="1" applyBorder="1" applyAlignment="1">
      <alignment horizontal="center"/>
    </xf>
    <xf numFmtId="4" fontId="11" fillId="4" borderId="15" xfId="0" applyNumberFormat="1" applyFont="1" applyFill="1" applyBorder="1" applyAlignment="1">
      <alignment horizontal="center"/>
    </xf>
    <xf numFmtId="4" fontId="19" fillId="16" borderId="15" xfId="0" applyNumberFormat="1" applyFont="1" applyFill="1" applyBorder="1" applyAlignment="1">
      <alignment horizontal="center"/>
    </xf>
    <xf numFmtId="4" fontId="19" fillId="6" borderId="55" xfId="0" applyNumberFormat="1" applyFont="1" applyFill="1" applyBorder="1" applyAlignment="1">
      <alignment horizontal="center"/>
    </xf>
    <xf numFmtId="4" fontId="19" fillId="16" borderId="54" xfId="0" applyNumberFormat="1" applyFont="1" applyFill="1" applyBorder="1" applyAlignment="1">
      <alignment horizontal="center"/>
    </xf>
    <xf numFmtId="2" fontId="19" fillId="15" borderId="15" xfId="1" applyNumberFormat="1" applyFont="1" applyFill="1" applyBorder="1" applyAlignment="1">
      <alignment horizontal="center" vertical="center"/>
    </xf>
    <xf numFmtId="2" fontId="19" fillId="11" borderId="55" xfId="0" applyNumberFormat="1" applyFont="1" applyFill="1" applyBorder="1" applyAlignment="1">
      <alignment horizontal="center" vertical="center"/>
    </xf>
    <xf numFmtId="2" fontId="11" fillId="0" borderId="55" xfId="0" applyNumberFormat="1" applyFont="1" applyBorder="1" applyAlignment="1">
      <alignment horizontal="center"/>
    </xf>
    <xf numFmtId="0" fontId="11" fillId="2" borderId="2" xfId="0"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3" fontId="11" fillId="2" borderId="3" xfId="0" applyNumberFormat="1" applyFont="1" applyFill="1" applyBorder="1" applyAlignment="1">
      <alignment horizontal="center" vertical="center" wrapText="1"/>
    </xf>
    <xf numFmtId="2" fontId="19" fillId="6" borderId="55" xfId="0" applyNumberFormat="1" applyFont="1" applyFill="1" applyBorder="1" applyAlignment="1">
      <alignment horizontal="center"/>
    </xf>
    <xf numFmtId="2" fontId="19" fillId="8" borderId="55" xfId="0" applyNumberFormat="1" applyFont="1" applyFill="1" applyBorder="1" applyAlignment="1">
      <alignment horizontal="center"/>
    </xf>
    <xf numFmtId="0" fontId="68" fillId="8" borderId="7" xfId="0" applyFont="1" applyFill="1" applyBorder="1"/>
    <xf numFmtId="0" fontId="68" fillId="8" borderId="8" xfId="0" applyFont="1" applyFill="1" applyBorder="1"/>
    <xf numFmtId="0" fontId="68" fillId="8" borderId="8" xfId="0" applyFont="1" applyFill="1" applyBorder="1" applyAlignment="1"/>
    <xf numFmtId="0" fontId="68" fillId="8" borderId="40" xfId="0" applyFont="1" applyFill="1" applyBorder="1" applyAlignment="1"/>
    <xf numFmtId="2" fontId="11" fillId="4" borderId="15" xfId="0" applyNumberFormat="1" applyFont="1" applyFill="1" applyBorder="1" applyAlignment="1">
      <alignment horizontal="center" vertical="center" wrapText="1"/>
    </xf>
    <xf numFmtId="2" fontId="11" fillId="0" borderId="15" xfId="0" applyNumberFormat="1" applyFont="1" applyFill="1" applyBorder="1" applyAlignment="1">
      <alignment horizontal="center" vertical="center" wrapText="1"/>
    </xf>
    <xf numFmtId="2" fontId="11" fillId="4" borderId="15" xfId="0" applyNumberFormat="1" applyFont="1" applyFill="1" applyBorder="1" applyAlignment="1">
      <alignment horizontal="center" wrapText="1"/>
    </xf>
    <xf numFmtId="2" fontId="11" fillId="0" borderId="15" xfId="0" applyNumberFormat="1" applyFont="1" applyBorder="1" applyAlignment="1">
      <alignment horizontal="center" wrapText="1"/>
    </xf>
    <xf numFmtId="2" fontId="19" fillId="0" borderId="0" xfId="0" applyNumberFormat="1" applyFont="1" applyFill="1" applyBorder="1" applyAlignment="1">
      <alignment horizontal="center"/>
    </xf>
    <xf numFmtId="0" fontId="11" fillId="0" borderId="16" xfId="0" applyFont="1" applyFill="1" applyBorder="1" applyAlignment="1">
      <alignment vertical="center" wrapText="1"/>
    </xf>
    <xf numFmtId="0" fontId="11" fillId="0" borderId="17" xfId="0" applyFont="1" applyBorder="1" applyAlignment="1">
      <alignment horizontal="center" vertical="center"/>
    </xf>
    <xf numFmtId="0" fontId="11" fillId="0" borderId="17" xfId="0" applyFont="1" applyFill="1" applyBorder="1" applyAlignment="1">
      <alignment horizontal="center" vertical="center"/>
    </xf>
    <xf numFmtId="0" fontId="11" fillId="0" borderId="17" xfId="1" applyNumberFormat="1" applyFont="1" applyFill="1" applyBorder="1" applyAlignment="1">
      <alignment horizontal="center" vertical="center"/>
    </xf>
    <xf numFmtId="2" fontId="11" fillId="3" borderId="17" xfId="1" applyNumberFormat="1" applyFont="1" applyFill="1" applyBorder="1" applyAlignment="1">
      <alignment horizontal="center" vertical="center"/>
    </xf>
    <xf numFmtId="2" fontId="10" fillId="0" borderId="17" xfId="0" applyNumberFormat="1" applyFont="1" applyFill="1" applyBorder="1" applyAlignment="1">
      <alignment horizontal="center" vertical="center"/>
    </xf>
    <xf numFmtId="2" fontId="11" fillId="0" borderId="15" xfId="0" applyNumberFormat="1" applyFont="1" applyFill="1" applyBorder="1" applyAlignment="1">
      <alignment horizontal="center"/>
    </xf>
    <xf numFmtId="2" fontId="11" fillId="0" borderId="18" xfId="0" applyNumberFormat="1" applyFont="1" applyFill="1" applyBorder="1" applyAlignment="1">
      <alignment horizontal="center"/>
    </xf>
    <xf numFmtId="2" fontId="19" fillId="6" borderId="40" xfId="0" applyNumberFormat="1" applyFont="1" applyFill="1" applyBorder="1" applyAlignment="1">
      <alignment horizontal="center"/>
    </xf>
    <xf numFmtId="2" fontId="11" fillId="0" borderId="15" xfId="0" applyNumberFormat="1" applyFont="1" applyFill="1" applyBorder="1" applyAlignment="1">
      <alignment horizontal="center" vertical="center"/>
    </xf>
    <xf numFmtId="2" fontId="11" fillId="0" borderId="50" xfId="0" applyNumberFormat="1" applyFont="1" applyFill="1" applyBorder="1" applyAlignment="1">
      <alignment horizontal="center" vertical="center"/>
    </xf>
    <xf numFmtId="0" fontId="11" fillId="2" borderId="40" xfId="0" applyFont="1" applyFill="1" applyBorder="1" applyAlignment="1">
      <alignment horizontal="center" vertical="center" wrapText="1"/>
    </xf>
    <xf numFmtId="2" fontId="18" fillId="6" borderId="15" xfId="0" applyNumberFormat="1" applyFont="1" applyFill="1" applyBorder="1" applyAlignment="1">
      <alignment horizontal="center"/>
    </xf>
    <xf numFmtId="0" fontId="5" fillId="0" borderId="0" xfId="0" applyFont="1" applyAlignment="1">
      <alignment horizontal="right"/>
    </xf>
    <xf numFmtId="4" fontId="5" fillId="12" borderId="15" xfId="0" applyNumberFormat="1" applyFont="1" applyFill="1" applyBorder="1" applyAlignment="1">
      <alignment horizontal="center" vertical="center" wrapText="1"/>
    </xf>
    <xf numFmtId="4" fontId="11" fillId="11" borderId="15" xfId="0" applyNumberFormat="1" applyFont="1" applyFill="1" applyBorder="1" applyAlignment="1">
      <alignment horizontal="center"/>
    </xf>
    <xf numFmtId="3" fontId="11" fillId="11" borderId="15" xfId="0" applyNumberFormat="1" applyFont="1" applyFill="1" applyBorder="1" applyAlignment="1">
      <alignment horizontal="center" vertical="center"/>
    </xf>
    <xf numFmtId="3" fontId="19" fillId="12" borderId="15" xfId="0" applyNumberFormat="1" applyFont="1" applyFill="1" applyBorder="1" applyAlignment="1">
      <alignment horizontal="center" vertical="center" wrapText="1"/>
    </xf>
    <xf numFmtId="3" fontId="19" fillId="11" borderId="15" xfId="0" applyNumberFormat="1" applyFont="1" applyFill="1" applyBorder="1" applyAlignment="1">
      <alignment horizontal="center"/>
    </xf>
    <xf numFmtId="3" fontId="11" fillId="11" borderId="25" xfId="0" applyNumberFormat="1" applyFont="1" applyFill="1" applyBorder="1" applyAlignment="1">
      <alignment horizontal="center"/>
    </xf>
    <xf numFmtId="3" fontId="2" fillId="12" borderId="40" xfId="0" applyNumberFormat="1" applyFont="1" applyFill="1" applyBorder="1" applyAlignment="1">
      <alignment horizontal="center" vertical="center"/>
    </xf>
    <xf numFmtId="0" fontId="0" fillId="7" borderId="47" xfId="0" applyFill="1" applyBorder="1"/>
    <xf numFmtId="0" fontId="0" fillId="12" borderId="47" xfId="0" applyFill="1" applyBorder="1"/>
    <xf numFmtId="0" fontId="0" fillId="11" borderId="47" xfId="0" applyFill="1" applyBorder="1"/>
    <xf numFmtId="4" fontId="0" fillId="12" borderId="42" xfId="0" applyNumberFormat="1" applyFill="1" applyBorder="1"/>
    <xf numFmtId="0" fontId="20" fillId="0" borderId="0" xfId="0" applyFont="1" applyFill="1" applyAlignment="1">
      <alignment vertical="top" wrapText="1"/>
    </xf>
    <xf numFmtId="4" fontId="19" fillId="16" borderId="64" xfId="0" applyNumberFormat="1" applyFont="1" applyFill="1" applyBorder="1" applyAlignment="1">
      <alignment horizontal="right"/>
    </xf>
    <xf numFmtId="4" fontId="19" fillId="16" borderId="42" xfId="0" applyNumberFormat="1" applyFont="1" applyFill="1" applyBorder="1" applyAlignment="1">
      <alignment horizontal="right"/>
    </xf>
    <xf numFmtId="0" fontId="14" fillId="0" borderId="0" xfId="0" applyFont="1" applyFill="1" applyBorder="1" applyAlignment="1">
      <alignment horizontal="right" vertical="center" wrapText="1"/>
    </xf>
    <xf numFmtId="2" fontId="11" fillId="0" borderId="18" xfId="0" applyNumberFormat="1" applyFont="1" applyBorder="1" applyAlignment="1">
      <alignment horizontal="center"/>
    </xf>
    <xf numFmtId="0" fontId="3" fillId="3" borderId="58" xfId="0" applyFont="1" applyFill="1" applyBorder="1" applyAlignment="1">
      <alignment horizontal="center" vertical="center" wrapText="1"/>
    </xf>
    <xf numFmtId="4" fontId="21" fillId="0" borderId="47" xfId="0" applyNumberFormat="1" applyFont="1" applyFill="1" applyBorder="1"/>
    <xf numFmtId="0" fontId="5" fillId="16" borderId="7" xfId="0" applyFont="1" applyFill="1" applyBorder="1" applyAlignment="1">
      <alignment horizontal="center" vertical="center"/>
    </xf>
    <xf numFmtId="0" fontId="5" fillId="16" borderId="8" xfId="0" applyFont="1" applyFill="1" applyBorder="1" applyAlignment="1">
      <alignment horizontal="center" vertical="center"/>
    </xf>
    <xf numFmtId="0" fontId="19" fillId="16" borderId="40" xfId="0" applyFont="1" applyFill="1" applyBorder="1" applyAlignment="1">
      <alignment horizontal="center" vertical="center"/>
    </xf>
    <xf numFmtId="4" fontId="5" fillId="16" borderId="42" xfId="0" applyNumberFormat="1" applyFont="1" applyFill="1" applyBorder="1"/>
    <xf numFmtId="4" fontId="11" fillId="5" borderId="15" xfId="0" applyNumberFormat="1" applyFont="1" applyFill="1" applyBorder="1" applyAlignment="1">
      <alignment horizontal="center"/>
    </xf>
    <xf numFmtId="4" fontId="15" fillId="5" borderId="15" xfId="0" applyNumberFormat="1" applyFont="1" applyFill="1" applyBorder="1" applyAlignment="1">
      <alignment horizontal="center"/>
    </xf>
    <xf numFmtId="4" fontId="7" fillId="0" borderId="18" xfId="0" applyNumberFormat="1" applyFont="1" applyBorder="1" applyAlignment="1">
      <alignment horizontal="center" vertical="center"/>
    </xf>
    <xf numFmtId="0" fontId="14" fillId="0" borderId="58" xfId="0" applyFont="1" applyFill="1" applyBorder="1" applyAlignment="1">
      <alignment horizontal="center"/>
    </xf>
    <xf numFmtId="4" fontId="11" fillId="0" borderId="47" xfId="0" applyNumberFormat="1" applyFont="1" applyFill="1" applyBorder="1" applyAlignment="1">
      <alignment horizontal="center"/>
    </xf>
    <xf numFmtId="0" fontId="2" fillId="16" borderId="7" xfId="0" applyFont="1" applyFill="1" applyBorder="1" applyAlignment="1">
      <alignment horizontal="center" vertical="center"/>
    </xf>
    <xf numFmtId="166" fontId="2" fillId="16" borderId="8" xfId="0" applyNumberFormat="1" applyFont="1" applyFill="1" applyBorder="1" applyAlignment="1">
      <alignment horizontal="center" vertical="center"/>
    </xf>
    <xf numFmtId="4" fontId="20" fillId="16" borderId="8" xfId="0" applyNumberFormat="1" applyFont="1" applyFill="1" applyBorder="1" applyAlignment="1">
      <alignment horizontal="center" vertical="center"/>
    </xf>
    <xf numFmtId="4" fontId="2" fillId="16" borderId="9" xfId="0" applyNumberFormat="1" applyFont="1" applyFill="1" applyBorder="1" applyAlignment="1">
      <alignment horizontal="center" vertical="center"/>
    </xf>
    <xf numFmtId="4" fontId="2" fillId="16" borderId="19" xfId="0" applyNumberFormat="1" applyFont="1" applyFill="1" applyBorder="1" applyAlignment="1">
      <alignment horizontal="center" vertical="center"/>
    </xf>
    <xf numFmtId="4" fontId="2" fillId="16" borderId="40" xfId="0" applyNumberFormat="1" applyFont="1" applyFill="1" applyBorder="1" applyAlignment="1">
      <alignment horizontal="center" vertical="center"/>
    </xf>
    <xf numFmtId="0" fontId="15" fillId="0" borderId="59" xfId="0" applyFont="1" applyFill="1" applyBorder="1" applyAlignment="1">
      <alignment horizontal="center" vertical="center"/>
    </xf>
    <xf numFmtId="0" fontId="15" fillId="5" borderId="47" xfId="0" applyFont="1" applyFill="1" applyBorder="1" applyAlignment="1">
      <alignment horizontal="center" vertical="center"/>
    </xf>
    <xf numFmtId="4" fontId="11" fillId="5" borderId="47" xfId="0" applyNumberFormat="1" applyFont="1" applyFill="1" applyBorder="1" applyAlignment="1">
      <alignment horizontal="center"/>
    </xf>
    <xf numFmtId="0" fontId="11" fillId="5" borderId="47" xfId="0" applyFont="1" applyFill="1" applyBorder="1" applyAlignment="1">
      <alignment horizontal="center"/>
    </xf>
    <xf numFmtId="0" fontId="3" fillId="5" borderId="47" xfId="0" applyFont="1" applyFill="1" applyBorder="1" applyAlignment="1">
      <alignment horizontal="center" vertical="center" wrapText="1"/>
    </xf>
    <xf numFmtId="0" fontId="19" fillId="0" borderId="0" xfId="0" applyFont="1" applyFill="1" applyBorder="1" applyAlignment="1">
      <alignment horizontal="right"/>
    </xf>
    <xf numFmtId="0" fontId="3" fillId="22" borderId="47" xfId="0" applyFont="1" applyFill="1" applyBorder="1" applyAlignment="1">
      <alignment horizontal="center" vertical="center" wrapText="1"/>
    </xf>
    <xf numFmtId="10" fontId="20" fillId="0" borderId="0" xfId="3" applyNumberFormat="1" applyFont="1" applyFill="1"/>
    <xf numFmtId="4" fontId="2" fillId="0" borderId="0" xfId="0" applyNumberFormat="1" applyFont="1" applyFill="1"/>
    <xf numFmtId="0" fontId="2" fillId="0" borderId="0" xfId="0" applyFont="1" applyFill="1"/>
    <xf numFmtId="0" fontId="11" fillId="0" borderId="13" xfId="0" applyFont="1" applyFill="1" applyBorder="1"/>
    <xf numFmtId="3" fontId="2" fillId="16" borderId="42" xfId="0" applyNumberFormat="1" applyFont="1" applyFill="1" applyBorder="1" applyAlignment="1">
      <alignment horizontal="center" vertical="center"/>
    </xf>
    <xf numFmtId="168" fontId="74" fillId="0" borderId="0" xfId="3" applyNumberFormat="1" applyFont="1" applyFill="1" applyAlignment="1">
      <alignment vertical="center" wrapText="1"/>
    </xf>
    <xf numFmtId="3" fontId="64" fillId="0" borderId="0" xfId="0" applyNumberFormat="1" applyFont="1"/>
    <xf numFmtId="4" fontId="3" fillId="0" borderId="47" xfId="0" applyNumberFormat="1" applyFont="1" applyFill="1" applyBorder="1"/>
    <xf numFmtId="0" fontId="72" fillId="0" borderId="0" xfId="0" applyFont="1" applyFill="1" applyAlignment="1">
      <alignment horizontal="center" wrapText="1"/>
    </xf>
    <xf numFmtId="3" fontId="41" fillId="0" borderId="0" xfId="0" applyNumberFormat="1" applyFont="1" applyFill="1" applyAlignment="1">
      <alignment horizontal="center"/>
    </xf>
    <xf numFmtId="0" fontId="41" fillId="0" borderId="0" xfId="0" quotePrefix="1" applyFont="1"/>
    <xf numFmtId="0" fontId="41" fillId="7" borderId="0" xfId="0" applyFont="1" applyFill="1"/>
    <xf numFmtId="2" fontId="18" fillId="18" borderId="14" xfId="0" applyNumberFormat="1" applyFont="1" applyFill="1" applyBorder="1" applyAlignment="1">
      <alignment horizontal="center" wrapText="1"/>
    </xf>
    <xf numFmtId="3" fontId="18" fillId="18" borderId="14" xfId="0" applyNumberFormat="1" applyFont="1" applyFill="1" applyBorder="1" applyAlignment="1">
      <alignment horizontal="center" wrapText="1"/>
    </xf>
    <xf numFmtId="3" fontId="41" fillId="0" borderId="0" xfId="0" applyNumberFormat="1" applyFont="1" applyAlignment="1">
      <alignment horizontal="center"/>
    </xf>
    <xf numFmtId="1" fontId="66" fillId="0" borderId="37" xfId="0" applyNumberFormat="1" applyFont="1" applyBorder="1" applyAlignment="1">
      <alignment horizontal="center" vertical="center"/>
    </xf>
    <xf numFmtId="1" fontId="66" fillId="0" borderId="12" xfId="0" applyNumberFormat="1" applyFont="1" applyBorder="1" applyAlignment="1">
      <alignment horizontal="center" vertical="center"/>
    </xf>
    <xf numFmtId="1" fontId="66" fillId="0" borderId="33" xfId="0" applyNumberFormat="1" applyFont="1" applyBorder="1" applyAlignment="1">
      <alignment horizontal="center" vertical="center"/>
    </xf>
    <xf numFmtId="0" fontId="42" fillId="5" borderId="34" xfId="0" applyFont="1" applyFill="1" applyBorder="1" applyAlignment="1">
      <alignment vertical="center" wrapText="1"/>
    </xf>
    <xf numFmtId="3" fontId="42" fillId="5" borderId="14" xfId="0" applyNumberFormat="1" applyFont="1" applyFill="1" applyBorder="1" applyAlignment="1">
      <alignment horizontal="center" vertical="center" wrapText="1"/>
    </xf>
    <xf numFmtId="0" fontId="42" fillId="4" borderId="24" xfId="0" applyFont="1" applyFill="1" applyBorder="1" applyAlignment="1">
      <alignment horizontal="center" vertical="center"/>
    </xf>
    <xf numFmtId="0" fontId="42" fillId="4" borderId="34" xfId="0" applyFont="1" applyFill="1" applyBorder="1" applyAlignment="1">
      <alignment horizontal="center" vertical="center"/>
    </xf>
    <xf numFmtId="3" fontId="42" fillId="4" borderId="14" xfId="0" applyNumberFormat="1" applyFont="1" applyFill="1" applyBorder="1" applyAlignment="1">
      <alignment horizontal="center" vertical="center" wrapText="1"/>
    </xf>
    <xf numFmtId="3" fontId="42" fillId="4" borderId="21" xfId="0" applyNumberFormat="1" applyFont="1" applyFill="1" applyBorder="1" applyAlignment="1">
      <alignment horizontal="center" vertical="center" wrapText="1"/>
    </xf>
    <xf numFmtId="0" fontId="42" fillId="4" borderId="24" xfId="0" applyFont="1" applyFill="1" applyBorder="1" applyAlignment="1">
      <alignment horizontal="center" vertical="center" wrapText="1"/>
    </xf>
    <xf numFmtId="0" fontId="42" fillId="4" borderId="34" xfId="0" applyFont="1" applyFill="1" applyBorder="1" applyAlignment="1">
      <alignment horizontal="center" vertical="center" wrapText="1"/>
    </xf>
    <xf numFmtId="4" fontId="42" fillId="5" borderId="47" xfId="0" applyNumberFormat="1" applyFont="1" applyFill="1" applyBorder="1" applyAlignment="1">
      <alignment horizontal="center" vertical="center"/>
    </xf>
    <xf numFmtId="0" fontId="42" fillId="5" borderId="34" xfId="0" applyFont="1" applyFill="1" applyBorder="1" applyAlignment="1">
      <alignment horizontal="center" vertical="center" wrapText="1"/>
    </xf>
    <xf numFmtId="3" fontId="42" fillId="5" borderId="21" xfId="0" applyNumberFormat="1" applyFont="1" applyFill="1" applyBorder="1" applyAlignment="1">
      <alignment horizontal="center" vertical="center" wrapText="1"/>
    </xf>
    <xf numFmtId="0" fontId="46" fillId="25" borderId="24" xfId="0" applyFont="1" applyFill="1" applyBorder="1" applyAlignment="1">
      <alignment horizontal="center" vertical="center" wrapText="1"/>
    </xf>
    <xf numFmtId="0" fontId="46" fillId="25" borderId="34" xfId="0" applyFont="1" applyFill="1" applyBorder="1" applyAlignment="1">
      <alignment horizontal="center" vertical="center"/>
    </xf>
    <xf numFmtId="3" fontId="46" fillId="25" borderId="14" xfId="0" applyNumberFormat="1" applyFont="1" applyFill="1" applyBorder="1" applyAlignment="1">
      <alignment horizontal="center" vertical="center"/>
    </xf>
    <xf numFmtId="0" fontId="42" fillId="0" borderId="0" xfId="0" applyFont="1" applyFill="1" applyBorder="1" applyAlignment="1">
      <alignment horizontal="center"/>
    </xf>
    <xf numFmtId="0" fontId="41" fillId="0" borderId="0" xfId="0" applyFont="1" applyFill="1" applyBorder="1"/>
    <xf numFmtId="3" fontId="68" fillId="0" borderId="0" xfId="0" applyNumberFormat="1" applyFont="1"/>
    <xf numFmtId="4" fontId="41" fillId="0" borderId="0" xfId="0" applyNumberFormat="1" applyFont="1" applyAlignment="1">
      <alignment horizontal="center"/>
    </xf>
    <xf numFmtId="0" fontId="41" fillId="0" borderId="0" xfId="0" applyFont="1" applyFill="1" applyAlignment="1">
      <alignment horizontal="center"/>
    </xf>
    <xf numFmtId="2" fontId="2" fillId="12" borderId="8" xfId="0" applyNumberFormat="1" applyFont="1" applyFill="1" applyBorder="1" applyAlignment="1">
      <alignment horizontal="center" vertical="center"/>
    </xf>
    <xf numFmtId="3" fontId="41" fillId="0" borderId="0" xfId="0" applyNumberFormat="1" applyFont="1" applyFill="1" applyBorder="1"/>
    <xf numFmtId="167" fontId="41" fillId="0" borderId="0" xfId="0" applyNumberFormat="1" applyFont="1" applyFill="1" applyBorder="1"/>
    <xf numFmtId="3" fontId="41" fillId="0" borderId="0" xfId="0" applyNumberFormat="1" applyFont="1" applyFill="1" applyBorder="1" applyAlignment="1">
      <alignment horizontal="center"/>
    </xf>
    <xf numFmtId="0" fontId="11" fillId="0" borderId="14" xfId="0" quotePrefix="1" applyNumberFormat="1" applyFont="1" applyFill="1" applyBorder="1" applyAlignment="1">
      <alignment horizontal="center"/>
    </xf>
    <xf numFmtId="0" fontId="10" fillId="0" borderId="13" xfId="0" applyFont="1" applyFill="1" applyBorder="1" applyAlignment="1">
      <alignment horizontal="left"/>
    </xf>
    <xf numFmtId="0" fontId="3" fillId="0" borderId="14" xfId="0" quotePrefix="1" applyFont="1" applyFill="1" applyBorder="1" applyAlignment="1">
      <alignment horizontal="center"/>
    </xf>
    <xf numFmtId="0" fontId="11" fillId="0" borderId="13" xfId="0" applyFont="1" applyFill="1" applyBorder="1" applyAlignment="1" applyProtection="1">
      <alignment vertical="center"/>
      <protection locked="0"/>
    </xf>
    <xf numFmtId="0" fontId="11" fillId="0" borderId="13" xfId="0" applyFont="1" applyFill="1" applyBorder="1" applyAlignment="1" applyProtection="1">
      <alignment vertical="center" wrapText="1"/>
      <protection locked="0"/>
    </xf>
    <xf numFmtId="0" fontId="11" fillId="0" borderId="13" xfId="4" applyFont="1" applyFill="1" applyBorder="1" applyProtection="1">
      <protection locked="0"/>
    </xf>
    <xf numFmtId="0" fontId="11" fillId="0" borderId="13" xfId="4" applyFont="1" applyFill="1" applyBorder="1" applyAlignment="1" applyProtection="1">
      <alignment wrapText="1"/>
      <protection locked="0"/>
    </xf>
    <xf numFmtId="0" fontId="3" fillId="0" borderId="13" xfId="0" applyFont="1" applyFill="1" applyBorder="1" applyAlignment="1">
      <alignment horizontal="center"/>
    </xf>
    <xf numFmtId="0" fontId="10" fillId="0" borderId="13" xfId="2" applyFont="1" applyFill="1" applyBorder="1" applyAlignment="1">
      <alignment horizontal="left" vertical="center"/>
    </xf>
    <xf numFmtId="0" fontId="10" fillId="0" borderId="13" xfId="0" applyFont="1" applyFill="1" applyBorder="1" applyAlignment="1">
      <alignment vertical="center" wrapText="1"/>
    </xf>
    <xf numFmtId="0" fontId="11" fillId="0" borderId="13" xfId="2" applyFont="1" applyFill="1" applyBorder="1" applyAlignment="1">
      <alignment horizontal="left" wrapText="1"/>
    </xf>
    <xf numFmtId="0" fontId="10" fillId="0" borderId="29" xfId="1" applyFont="1" applyFill="1" applyBorder="1" applyAlignment="1">
      <alignment vertical="center" wrapText="1"/>
    </xf>
    <xf numFmtId="2" fontId="10" fillId="0" borderId="30" xfId="1" applyNumberFormat="1" applyFont="1" applyFill="1" applyBorder="1" applyAlignment="1">
      <alignment horizontal="center" vertical="center"/>
    </xf>
    <xf numFmtId="4" fontId="10" fillId="0" borderId="14" xfId="0" applyNumberFormat="1" applyFont="1" applyFill="1" applyBorder="1" applyAlignment="1">
      <alignment horizontal="center" vertical="center"/>
    </xf>
    <xf numFmtId="4" fontId="11" fillId="0" borderId="14" xfId="0" applyNumberFormat="1" applyFont="1" applyFill="1" applyBorder="1" applyAlignment="1">
      <alignment horizontal="center" vertical="center"/>
    </xf>
    <xf numFmtId="4" fontId="11" fillId="0" borderId="15" xfId="0" applyNumberFormat="1" applyFont="1" applyFill="1" applyBorder="1" applyAlignment="1">
      <alignment horizontal="center" vertical="center"/>
    </xf>
    <xf numFmtId="0" fontId="11" fillId="0" borderId="29" xfId="1" applyFont="1" applyFill="1" applyBorder="1" applyAlignment="1">
      <alignment vertical="center" wrapText="1"/>
    </xf>
    <xf numFmtId="2" fontId="11" fillId="0" borderId="30" xfId="1" applyNumberFormat="1" applyFont="1" applyFill="1" applyBorder="1" applyAlignment="1">
      <alignment horizontal="center" vertical="center"/>
    </xf>
    <xf numFmtId="0" fontId="11" fillId="0" borderId="29" xfId="1" applyFont="1" applyFill="1" applyBorder="1" applyAlignment="1">
      <alignment vertical="center"/>
    </xf>
    <xf numFmtId="0" fontId="11" fillId="0" borderId="31" xfId="1" applyFont="1" applyFill="1" applyBorder="1" applyAlignment="1">
      <alignment vertical="center" wrapText="1"/>
    </xf>
    <xf numFmtId="0" fontId="11" fillId="0" borderId="13" xfId="2" applyFont="1" applyFill="1" applyBorder="1" applyAlignment="1">
      <alignment horizontal="left"/>
    </xf>
    <xf numFmtId="4" fontId="11" fillId="0" borderId="14" xfId="0" applyNumberFormat="1" applyFont="1" applyFill="1" applyBorder="1"/>
    <xf numFmtId="2" fontId="11" fillId="0" borderId="13" xfId="0" applyNumberFormat="1" applyFont="1" applyFill="1" applyBorder="1"/>
    <xf numFmtId="1" fontId="66" fillId="0" borderId="35" xfId="0" applyNumberFormat="1" applyFont="1" applyBorder="1" applyAlignment="1">
      <alignment horizontal="center" vertical="center"/>
    </xf>
    <xf numFmtId="1" fontId="66" fillId="0" borderId="46" xfId="0" applyNumberFormat="1" applyFont="1" applyBorder="1" applyAlignment="1">
      <alignment horizontal="center" vertical="center"/>
    </xf>
    <xf numFmtId="1" fontId="41" fillId="5" borderId="47" xfId="0" applyNumberFormat="1" applyFont="1" applyFill="1" applyBorder="1" applyAlignment="1">
      <alignment horizontal="center" vertical="center"/>
    </xf>
    <xf numFmtId="0" fontId="42" fillId="5" borderId="14" xfId="0" applyFont="1" applyFill="1" applyBorder="1" applyAlignment="1">
      <alignment vertical="center" wrapText="1"/>
    </xf>
    <xf numFmtId="0" fontId="42" fillId="5" borderId="21" xfId="0" applyFont="1" applyFill="1" applyBorder="1" applyAlignment="1">
      <alignment horizontal="center" vertical="center" wrapText="1"/>
    </xf>
    <xf numFmtId="4" fontId="18" fillId="5" borderId="47" xfId="0" applyNumberFormat="1" applyFont="1" applyFill="1" applyBorder="1" applyAlignment="1">
      <alignment horizontal="center" vertical="center"/>
    </xf>
    <xf numFmtId="4" fontId="42" fillId="4" borderId="47" xfId="0" applyNumberFormat="1" applyFont="1" applyFill="1" applyBorder="1" applyAlignment="1">
      <alignment horizontal="center"/>
    </xf>
    <xf numFmtId="3" fontId="42" fillId="0" borderId="14" xfId="0" applyNumberFormat="1" applyFont="1" applyFill="1" applyBorder="1" applyAlignment="1">
      <alignment horizontal="center" vertical="center" wrapText="1"/>
    </xf>
    <xf numFmtId="4" fontId="42" fillId="0" borderId="47" xfId="0" applyNumberFormat="1" applyFont="1" applyFill="1" applyBorder="1" applyAlignment="1">
      <alignment horizontal="center"/>
    </xf>
    <xf numFmtId="4" fontId="46" fillId="25" borderId="47" xfId="0" applyNumberFormat="1" applyFont="1" applyFill="1" applyBorder="1" applyAlignment="1">
      <alignment horizontal="center" vertical="center"/>
    </xf>
    <xf numFmtId="3" fontId="46" fillId="25" borderId="21" xfId="0" applyNumberFormat="1" applyFont="1" applyFill="1" applyBorder="1" applyAlignment="1">
      <alignment horizontal="center" vertical="center"/>
    </xf>
    <xf numFmtId="3" fontId="42" fillId="25" borderId="9" xfId="0" applyNumberFormat="1" applyFont="1" applyFill="1" applyBorder="1" applyAlignment="1">
      <alignment horizontal="center" vertical="center" wrapText="1" readingOrder="1"/>
    </xf>
    <xf numFmtId="0" fontId="41" fillId="0" borderId="0" xfId="0" applyFont="1" applyFill="1" applyBorder="1" applyAlignment="1">
      <alignment horizontal="center" wrapText="1" readingOrder="1"/>
    </xf>
    <xf numFmtId="2" fontId="41"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3" fontId="41" fillId="0" borderId="0" xfId="0" applyNumberFormat="1" applyFont="1" applyFill="1" applyBorder="1" applyAlignment="1">
      <alignment horizontal="right" vertical="center" wrapText="1" indent="1" readingOrder="1"/>
    </xf>
    <xf numFmtId="3" fontId="41" fillId="0" borderId="0" xfId="0" applyNumberFormat="1" applyFont="1" applyFill="1" applyBorder="1" applyAlignment="1">
      <alignment horizontal="center" vertical="center" wrapText="1" readingOrder="1"/>
    </xf>
    <xf numFmtId="3" fontId="42" fillId="25" borderId="42" xfId="0" applyNumberFormat="1" applyFont="1" applyFill="1" applyBorder="1" applyAlignment="1">
      <alignment horizontal="center" vertical="center" wrapText="1" readingOrder="1"/>
    </xf>
    <xf numFmtId="3" fontId="42" fillId="0" borderId="0" xfId="0" applyNumberFormat="1" applyFont="1" applyAlignment="1">
      <alignment horizontal="center"/>
    </xf>
    <xf numFmtId="0" fontId="36" fillId="0" borderId="0" xfId="0" applyFont="1" applyFill="1" applyBorder="1" applyAlignment="1">
      <alignment vertical="center" wrapText="1"/>
    </xf>
    <xf numFmtId="0" fontId="36" fillId="0" borderId="0" xfId="0" applyFont="1" applyAlignment="1">
      <alignment vertical="center" wrapText="1"/>
    </xf>
    <xf numFmtId="0" fontId="10" fillId="24" borderId="14" xfId="0" applyFont="1" applyFill="1" applyBorder="1" applyAlignment="1">
      <alignment horizontal="center" vertical="center" wrapText="1"/>
    </xf>
    <xf numFmtId="3" fontId="63" fillId="0" borderId="0" xfId="0" applyNumberFormat="1" applyFont="1" applyAlignment="1">
      <alignment horizontal="center"/>
    </xf>
    <xf numFmtId="3" fontId="18" fillId="0" borderId="0" xfId="0" applyNumberFormat="1" applyFont="1" applyAlignment="1">
      <alignment horizontal="center"/>
    </xf>
    <xf numFmtId="0" fontId="11" fillId="0" borderId="13" xfId="0" applyFont="1" applyFill="1" applyBorder="1" applyAlignment="1">
      <alignment vertical="top" wrapText="1"/>
    </xf>
    <xf numFmtId="0" fontId="11" fillId="0" borderId="14" xfId="0" applyFont="1" applyFill="1" applyBorder="1"/>
    <xf numFmtId="0" fontId="10" fillId="21"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8" fillId="8" borderId="45" xfId="0" applyFont="1" applyFill="1" applyBorder="1"/>
    <xf numFmtId="0" fontId="32" fillId="0" borderId="0" xfId="0" applyFont="1" applyAlignment="1">
      <alignment horizontal="center"/>
    </xf>
    <xf numFmtId="0" fontId="11" fillId="0" borderId="0" xfId="0" applyFont="1"/>
    <xf numFmtId="0" fontId="68" fillId="0" borderId="0" xfId="0" applyFont="1" applyFill="1" applyBorder="1"/>
    <xf numFmtId="0" fontId="36" fillId="0" borderId="0" xfId="0" applyFont="1" applyFill="1" applyBorder="1" applyAlignment="1">
      <alignment horizontal="center" vertical="center" wrapText="1"/>
    </xf>
    <xf numFmtId="0" fontId="68" fillId="0" borderId="0" xfId="0" applyFont="1" applyBorder="1" applyAlignment="1"/>
    <xf numFmtId="0" fontId="19" fillId="0" borderId="0" xfId="0" applyFont="1" applyBorder="1" applyAlignment="1">
      <alignment horizontal="right"/>
    </xf>
    <xf numFmtId="0" fontId="68" fillId="0" borderId="0" xfId="0" applyFont="1" applyFill="1" applyBorder="1" applyAlignment="1"/>
    <xf numFmtId="0" fontId="11" fillId="2" borderId="1"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8" fillId="0" borderId="0" xfId="0" applyFont="1" applyFill="1" applyBorder="1" applyAlignment="1">
      <alignment vertical="center" wrapText="1"/>
    </xf>
    <xf numFmtId="0" fontId="68" fillId="7" borderId="13" xfId="0" applyFont="1" applyFill="1" applyBorder="1" applyAlignment="1">
      <alignment horizontal="center"/>
    </xf>
    <xf numFmtId="0" fontId="68" fillId="7" borderId="34" xfId="0" applyFont="1" applyFill="1" applyBorder="1" applyAlignment="1">
      <alignment horizontal="center"/>
    </xf>
    <xf numFmtId="0" fontId="68" fillId="7" borderId="14" xfId="0" applyFont="1" applyFill="1" applyBorder="1" applyAlignment="1">
      <alignment horizontal="center"/>
    </xf>
    <xf numFmtId="0" fontId="68" fillId="7" borderId="21" xfId="0" applyFont="1" applyFill="1" applyBorder="1" applyAlignment="1">
      <alignment horizontal="center"/>
    </xf>
    <xf numFmtId="0" fontId="68" fillId="0" borderId="0" xfId="0" applyFont="1" applyFill="1" applyBorder="1" applyAlignment="1">
      <alignment horizontal="center"/>
    </xf>
    <xf numFmtId="0" fontId="64" fillId="0" borderId="13" xfId="0" applyFont="1" applyFill="1" applyBorder="1"/>
    <xf numFmtId="0" fontId="64" fillId="0" borderId="34" xfId="0" applyFont="1" applyFill="1" applyBorder="1"/>
    <xf numFmtId="0" fontId="64" fillId="0" borderId="14" xfId="0" applyFont="1" applyFill="1" applyBorder="1"/>
    <xf numFmtId="0" fontId="64" fillId="0" borderId="21" xfId="0" applyFont="1" applyFill="1" applyBorder="1"/>
    <xf numFmtId="0" fontId="64" fillId="5" borderId="13" xfId="0" applyFont="1" applyFill="1" applyBorder="1"/>
    <xf numFmtId="0" fontId="64" fillId="5" borderId="34" xfId="0" applyFont="1" applyFill="1" applyBorder="1"/>
    <xf numFmtId="0" fontId="64" fillId="5" borderId="14" xfId="0" applyFont="1" applyFill="1" applyBorder="1"/>
    <xf numFmtId="0" fontId="68" fillId="5" borderId="14" xfId="0" applyFont="1" applyFill="1" applyBorder="1"/>
    <xf numFmtId="0" fontId="68" fillId="5" borderId="21" xfId="0" applyFont="1" applyFill="1" applyBorder="1"/>
    <xf numFmtId="0" fontId="11" fillId="0" borderId="14" xfId="0" applyFont="1" applyBorder="1" applyAlignment="1">
      <alignment horizontal="center"/>
    </xf>
    <xf numFmtId="0" fontId="11" fillId="0" borderId="14" xfId="0" applyNumberFormat="1" applyFont="1" applyFill="1" applyBorder="1" applyAlignment="1">
      <alignment horizontal="center"/>
    </xf>
    <xf numFmtId="4" fontId="10" fillId="0" borderId="13" xfId="0" applyNumberFormat="1" applyFont="1" applyFill="1" applyBorder="1"/>
    <xf numFmtId="4" fontId="10" fillId="0" borderId="34" xfId="0" applyNumberFormat="1" applyFont="1" applyFill="1" applyBorder="1"/>
    <xf numFmtId="4" fontId="10" fillId="0" borderId="14" xfId="0" applyNumberFormat="1" applyFont="1" applyFill="1" applyBorder="1"/>
    <xf numFmtId="4" fontId="10" fillId="0" borderId="21" xfId="0" applyNumberFormat="1" applyFont="1" applyFill="1" applyBorder="1"/>
    <xf numFmtId="4" fontId="10" fillId="0" borderId="0" xfId="0" applyNumberFormat="1" applyFont="1" applyFill="1" applyBorder="1"/>
    <xf numFmtId="10" fontId="64" fillId="0" borderId="0" xfId="3" applyNumberFormat="1" applyFont="1" applyFill="1" applyBorder="1"/>
    <xf numFmtId="10" fontId="64" fillId="0" borderId="0" xfId="3" applyNumberFormat="1" applyFont="1" applyFill="1" applyBorder="1" applyAlignment="1">
      <alignment horizontal="right"/>
    </xf>
    <xf numFmtId="4" fontId="64" fillId="0" borderId="0" xfId="3" applyNumberFormat="1" applyFont="1" applyFill="1" applyBorder="1" applyAlignment="1">
      <alignment horizontal="right"/>
    </xf>
    <xf numFmtId="4" fontId="68" fillId="0" borderId="0" xfId="0" applyNumberFormat="1" applyFont="1" applyFill="1" applyBorder="1"/>
    <xf numFmtId="10" fontId="68" fillId="0" borderId="0" xfId="3" applyNumberFormat="1" applyFont="1" applyFill="1" applyBorder="1"/>
    <xf numFmtId="0" fontId="18" fillId="6" borderId="13" xfId="0" applyFont="1" applyFill="1" applyBorder="1" applyAlignment="1">
      <alignment horizontal="right"/>
    </xf>
    <xf numFmtId="0" fontId="11" fillId="6" borderId="14" xfId="0" quotePrefix="1" applyNumberFormat="1" applyFont="1" applyFill="1" applyBorder="1" applyAlignment="1">
      <alignment horizontal="center"/>
    </xf>
    <xf numFmtId="0" fontId="11" fillId="6" borderId="14" xfId="0" applyNumberFormat="1" applyFont="1" applyFill="1" applyBorder="1" applyAlignment="1">
      <alignment horizontal="center"/>
    </xf>
    <xf numFmtId="0" fontId="11" fillId="6" borderId="14" xfId="0" applyFont="1" applyFill="1" applyBorder="1" applyAlignment="1">
      <alignment horizontal="center"/>
    </xf>
    <xf numFmtId="0" fontId="68" fillId="6" borderId="13" xfId="0" applyFont="1" applyFill="1" applyBorder="1"/>
    <xf numFmtId="0" fontId="68" fillId="6" borderId="34" xfId="0" applyFont="1" applyFill="1" applyBorder="1"/>
    <xf numFmtId="0" fontId="68" fillId="6" borderId="14" xfId="0" applyFont="1" applyFill="1" applyBorder="1"/>
    <xf numFmtId="0" fontId="68" fillId="6" borderId="21" xfId="0" applyFont="1" applyFill="1" applyBorder="1"/>
    <xf numFmtId="0" fontId="68" fillId="5" borderId="13" xfId="0" applyFont="1" applyFill="1" applyBorder="1"/>
    <xf numFmtId="0" fontId="68" fillId="5" borderId="34" xfId="0" applyFont="1" applyFill="1" applyBorder="1"/>
    <xf numFmtId="2" fontId="11" fillId="4" borderId="14" xfId="0" applyNumberFormat="1" applyFont="1" applyFill="1" applyBorder="1" applyAlignment="1">
      <alignment horizontal="center"/>
    </xf>
    <xf numFmtId="0" fontId="11" fillId="4" borderId="14" xfId="0" applyFont="1" applyFill="1" applyBorder="1" applyAlignment="1">
      <alignment horizontal="center"/>
    </xf>
    <xf numFmtId="0" fontId="68" fillId="6" borderId="16" xfId="0" applyFont="1" applyFill="1" applyBorder="1"/>
    <xf numFmtId="0" fontId="68" fillId="6" borderId="61" xfId="0" applyFont="1" applyFill="1" applyBorder="1"/>
    <xf numFmtId="0" fontId="68" fillId="6" borderId="17" xfId="0" applyFont="1" applyFill="1" applyBorder="1"/>
    <xf numFmtId="0" fontId="68" fillId="6" borderId="22" xfId="0" applyFont="1" applyFill="1" applyBorder="1"/>
    <xf numFmtId="0" fontId="19" fillId="13" borderId="4" xfId="0" applyFont="1" applyFill="1" applyBorder="1" applyAlignment="1">
      <alignment horizontal="right" vertical="center"/>
    </xf>
    <xf numFmtId="0" fontId="19" fillId="13" borderId="5" xfId="0" applyFont="1" applyFill="1" applyBorder="1" applyAlignment="1">
      <alignment horizontal="center" vertical="center"/>
    </xf>
    <xf numFmtId="0" fontId="68" fillId="13" borderId="7" xfId="0" applyFont="1" applyFill="1" applyBorder="1"/>
    <xf numFmtId="0" fontId="68" fillId="13" borderId="45" xfId="0" applyFont="1" applyFill="1" applyBorder="1"/>
    <xf numFmtId="0" fontId="68" fillId="13" borderId="8" xfId="0" applyFont="1" applyFill="1" applyBorder="1"/>
    <xf numFmtId="0" fontId="76" fillId="13" borderId="8" xfId="0" applyFont="1" applyFill="1" applyBorder="1"/>
    <xf numFmtId="4" fontId="19" fillId="13" borderId="9" xfId="0" applyNumberFormat="1" applyFont="1" applyFill="1" applyBorder="1"/>
    <xf numFmtId="4" fontId="76" fillId="0" borderId="0" xfId="0" applyNumberFormat="1" applyFont="1" applyFill="1" applyBorder="1"/>
    <xf numFmtId="0" fontId="76" fillId="0" borderId="0" xfId="0" applyFont="1" applyFill="1" applyBorder="1"/>
    <xf numFmtId="0" fontId="19" fillId="0" borderId="0" xfId="1" applyFont="1" applyAlignment="1">
      <alignment vertical="center"/>
    </xf>
    <xf numFmtId="0" fontId="19" fillId="0" borderId="0" xfId="1" applyFont="1" applyAlignment="1">
      <alignment horizontal="center" vertical="center"/>
    </xf>
    <xf numFmtId="1" fontId="19" fillId="0" borderId="0" xfId="1" applyNumberFormat="1" applyFont="1" applyAlignment="1">
      <alignment horizontal="center" vertical="center"/>
    </xf>
    <xf numFmtId="0" fontId="19" fillId="0" borderId="0" xfId="0" applyFont="1" applyAlignment="1">
      <alignment horizontal="center" vertical="center"/>
    </xf>
    <xf numFmtId="2" fontId="19" fillId="0" borderId="0" xfId="1" applyNumberFormat="1" applyFont="1" applyAlignment="1">
      <alignment horizontal="center" vertical="center"/>
    </xf>
    <xf numFmtId="0" fontId="68" fillId="0" borderId="32" xfId="0" applyFont="1" applyFill="1" applyBorder="1"/>
    <xf numFmtId="0" fontId="68" fillId="0" borderId="37" xfId="0" applyFont="1" applyFill="1" applyBorder="1"/>
    <xf numFmtId="0" fontId="68" fillId="0" borderId="12" xfId="0" applyFont="1" applyFill="1" applyBorder="1"/>
    <xf numFmtId="0" fontId="76" fillId="0" borderId="33" xfId="0" applyFont="1" applyFill="1" applyBorder="1"/>
    <xf numFmtId="10" fontId="76" fillId="0" borderId="0" xfId="3" applyNumberFormat="1" applyFont="1" applyFill="1" applyBorder="1"/>
    <xf numFmtId="0" fontId="68" fillId="7" borderId="13" xfId="0" applyFont="1" applyFill="1" applyBorder="1"/>
    <xf numFmtId="0" fontId="68" fillId="7" borderId="34" xfId="0" applyFont="1" applyFill="1" applyBorder="1"/>
    <xf numFmtId="0" fontId="68" fillId="7" borderId="14" xfId="0" applyFont="1" applyFill="1" applyBorder="1"/>
    <xf numFmtId="0" fontId="68" fillId="7" borderId="21" xfId="0" applyFont="1" applyFill="1" applyBorder="1"/>
    <xf numFmtId="0" fontId="68" fillId="22" borderId="13" xfId="0" applyFont="1" applyFill="1" applyBorder="1"/>
    <xf numFmtId="0" fontId="68" fillId="22" borderId="34" xfId="0" applyFont="1" applyFill="1" applyBorder="1"/>
    <xf numFmtId="0" fontId="68" fillId="22" borderId="14" xfId="0" applyFont="1" applyFill="1" applyBorder="1"/>
    <xf numFmtId="4" fontId="77" fillId="22" borderId="21" xfId="0" applyNumberFormat="1" applyFont="1" applyFill="1" applyBorder="1"/>
    <xf numFmtId="4" fontId="68" fillId="6" borderId="21" xfId="0" applyNumberFormat="1" applyFont="1" applyFill="1" applyBorder="1"/>
    <xf numFmtId="0" fontId="19" fillId="16" borderId="14" xfId="0" applyFont="1" applyFill="1" applyBorder="1" applyAlignment="1">
      <alignment vertical="center"/>
    </xf>
    <xf numFmtId="0" fontId="68" fillId="16" borderId="13" xfId="0" applyFont="1" applyFill="1" applyBorder="1"/>
    <xf numFmtId="0" fontId="68" fillId="16" borderId="34" xfId="0" applyFont="1" applyFill="1" applyBorder="1"/>
    <xf numFmtId="0" fontId="68" fillId="16" borderId="14" xfId="0" applyFont="1" applyFill="1" applyBorder="1"/>
    <xf numFmtId="0" fontId="68" fillId="16" borderId="21" xfId="0" applyFont="1" applyFill="1" applyBorder="1"/>
    <xf numFmtId="0" fontId="68" fillId="0" borderId="13" xfId="0" applyFont="1" applyBorder="1"/>
    <xf numFmtId="0" fontId="68" fillId="0" borderId="34" xfId="0" applyFont="1" applyBorder="1"/>
    <xf numFmtId="0" fontId="68" fillId="0" borderId="14" xfId="0" applyFont="1" applyBorder="1"/>
    <xf numFmtId="0" fontId="68" fillId="0" borderId="21" xfId="0" applyFont="1" applyBorder="1"/>
    <xf numFmtId="0" fontId="11" fillId="0" borderId="14" xfId="0" quotePrefix="1" applyFont="1" applyFill="1" applyBorder="1" applyAlignment="1">
      <alignment horizontal="center"/>
    </xf>
    <xf numFmtId="0" fontId="68" fillId="0" borderId="0" xfId="0" quotePrefix="1" applyFont="1" applyFill="1" applyBorder="1"/>
    <xf numFmtId="0" fontId="19" fillId="13" borderId="13" xfId="0" applyFont="1" applyFill="1" applyBorder="1" applyAlignment="1">
      <alignment horizontal="right" vertical="center"/>
    </xf>
    <xf numFmtId="0" fontId="19" fillId="13" borderId="14" xfId="0" applyFont="1" applyFill="1" applyBorder="1" applyAlignment="1">
      <alignment horizontal="center" vertical="center"/>
    </xf>
    <xf numFmtId="0" fontId="68" fillId="13" borderId="13" xfId="0" applyFont="1" applyFill="1" applyBorder="1"/>
    <xf numFmtId="0" fontId="68" fillId="13" borderId="34" xfId="0" applyFont="1" applyFill="1" applyBorder="1"/>
    <xf numFmtId="0" fontId="68" fillId="13" borderId="14" xfId="0" applyFont="1" applyFill="1" applyBorder="1"/>
    <xf numFmtId="0" fontId="68" fillId="13" borderId="21" xfId="0" applyFont="1" applyFill="1" applyBorder="1"/>
    <xf numFmtId="4" fontId="11" fillId="4" borderId="14" xfId="0" applyNumberFormat="1" applyFont="1" applyFill="1" applyBorder="1" applyAlignment="1">
      <alignment horizontal="center"/>
    </xf>
    <xf numFmtId="0" fontId="10" fillId="13" borderId="14" xfId="0" applyFont="1" applyFill="1" applyBorder="1" applyAlignment="1">
      <alignment horizontal="center" vertical="center"/>
    </xf>
    <xf numFmtId="0" fontId="11" fillId="0" borderId="14" xfId="0" quotePrefix="1" applyFont="1" applyBorder="1" applyAlignment="1">
      <alignment horizontal="center"/>
    </xf>
    <xf numFmtId="0" fontId="10" fillId="0" borderId="13" xfId="0" applyFont="1" applyBorder="1" applyAlignment="1">
      <alignment horizontal="left"/>
    </xf>
    <xf numFmtId="16" fontId="11" fillId="0" borderId="14" xfId="0" quotePrefix="1" applyNumberFormat="1" applyFont="1" applyBorder="1" applyAlignment="1">
      <alignment horizontal="center"/>
    </xf>
    <xf numFmtId="4" fontId="11" fillId="0" borderId="14" xfId="0" applyNumberFormat="1" applyFont="1" applyFill="1" applyBorder="1" applyAlignment="1">
      <alignment horizontal="center"/>
    </xf>
    <xf numFmtId="49" fontId="11" fillId="0" borderId="14" xfId="0" quotePrefix="1" applyNumberFormat="1" applyFont="1" applyBorder="1" applyAlignment="1">
      <alignment horizontal="center"/>
    </xf>
    <xf numFmtId="0" fontId="11" fillId="0" borderId="13" xfId="0" applyFont="1" applyFill="1" applyBorder="1" applyAlignment="1">
      <alignment horizontal="left"/>
    </xf>
    <xf numFmtId="0" fontId="11" fillId="0" borderId="13" xfId="0" applyFont="1" applyFill="1" applyBorder="1" applyAlignment="1">
      <alignment horizontal="left" wrapText="1"/>
    </xf>
    <xf numFmtId="49" fontId="11" fillId="0" borderId="14" xfId="0" quotePrefix="1" applyNumberFormat="1" applyFont="1" applyFill="1" applyBorder="1" applyAlignment="1">
      <alignment horizontal="center"/>
    </xf>
    <xf numFmtId="0" fontId="19" fillId="6" borderId="13" xfId="0" applyFont="1" applyFill="1" applyBorder="1" applyAlignment="1">
      <alignment horizontal="right"/>
    </xf>
    <xf numFmtId="0" fontId="11" fillId="13" borderId="14" xfId="0" applyFont="1" applyFill="1" applyBorder="1" applyAlignment="1">
      <alignment horizontal="center" vertical="center"/>
    </xf>
    <xf numFmtId="0" fontId="11" fillId="0" borderId="13" xfId="0" applyFont="1" applyFill="1" applyBorder="1" applyAlignment="1">
      <alignment vertical="center"/>
    </xf>
    <xf numFmtId="1" fontId="11" fillId="0" borderId="14" xfId="0" quotePrefix="1" applyNumberFormat="1" applyFont="1" applyBorder="1" applyAlignment="1">
      <alignment horizontal="center"/>
    </xf>
    <xf numFmtId="1" fontId="11" fillId="0" borderId="14" xfId="0" quotePrefix="1" applyNumberFormat="1" applyFont="1" applyFill="1" applyBorder="1" applyAlignment="1">
      <alignment horizontal="center"/>
    </xf>
    <xf numFmtId="0" fontId="18" fillId="6" borderId="4" xfId="0" applyFont="1" applyFill="1" applyBorder="1" applyAlignment="1">
      <alignment horizontal="right"/>
    </xf>
    <xf numFmtId="0" fontId="11" fillId="6" borderId="5" xfId="0" quotePrefix="1" applyNumberFormat="1" applyFont="1" applyFill="1" applyBorder="1" applyAlignment="1">
      <alignment horizontal="center"/>
    </xf>
    <xf numFmtId="0" fontId="11" fillId="6" borderId="5" xfId="0" applyNumberFormat="1" applyFont="1" applyFill="1" applyBorder="1" applyAlignment="1">
      <alignment horizontal="center"/>
    </xf>
    <xf numFmtId="0" fontId="11" fillId="6" borderId="5" xfId="0" applyFont="1" applyFill="1" applyBorder="1" applyAlignment="1">
      <alignment horizontal="center"/>
    </xf>
    <xf numFmtId="4" fontId="76" fillId="16" borderId="21" xfId="0" applyNumberFormat="1" applyFont="1" applyFill="1" applyBorder="1"/>
    <xf numFmtId="0" fontId="68" fillId="15" borderId="13" xfId="0" applyFont="1" applyFill="1" applyBorder="1"/>
    <xf numFmtId="0" fontId="68" fillId="15" borderId="34" xfId="0" applyFont="1" applyFill="1" applyBorder="1"/>
    <xf numFmtId="0" fontId="68" fillId="15" borderId="14" xfId="0" applyFont="1" applyFill="1" applyBorder="1"/>
    <xf numFmtId="0" fontId="76" fillId="15" borderId="21" xfId="0" applyFont="1" applyFill="1" applyBorder="1"/>
    <xf numFmtId="0" fontId="68" fillId="15" borderId="21" xfId="0" applyFont="1" applyFill="1" applyBorder="1"/>
    <xf numFmtId="0" fontId="68" fillId="15" borderId="16" xfId="0" applyFont="1" applyFill="1" applyBorder="1"/>
    <xf numFmtId="0" fontId="68" fillId="15" borderId="61" xfId="0" applyFont="1" applyFill="1" applyBorder="1"/>
    <xf numFmtId="0" fontId="68" fillId="15" borderId="17" xfId="0" applyFont="1" applyFill="1" applyBorder="1"/>
    <xf numFmtId="0" fontId="68" fillId="15" borderId="22" xfId="0" applyFont="1" applyFill="1" applyBorder="1"/>
    <xf numFmtId="0" fontId="68" fillId="11" borderId="7" xfId="0" applyFont="1" applyFill="1" applyBorder="1"/>
    <xf numFmtId="0" fontId="68" fillId="11" borderId="45" xfId="0" applyFont="1" applyFill="1" applyBorder="1"/>
    <xf numFmtId="0" fontId="68" fillId="11" borderId="8" xfId="0" applyFont="1" applyFill="1" applyBorder="1"/>
    <xf numFmtId="4" fontId="19" fillId="11" borderId="9" xfId="0" applyNumberFormat="1" applyFont="1" applyFill="1" applyBorder="1"/>
    <xf numFmtId="0" fontId="68" fillId="0" borderId="32" xfId="0" applyFont="1" applyBorder="1"/>
    <xf numFmtId="0" fontId="68" fillId="0" borderId="37" xfId="0" applyFont="1" applyBorder="1"/>
    <xf numFmtId="0" fontId="68" fillId="0" borderId="12" xfId="0" applyFont="1" applyBorder="1"/>
    <xf numFmtId="0" fontId="68" fillId="0" borderId="33" xfId="0" applyFont="1" applyBorder="1"/>
    <xf numFmtId="0" fontId="11" fillId="0" borderId="13" xfId="0" applyFont="1" applyBorder="1" applyAlignment="1">
      <alignment horizontal="center" vertical="center"/>
    </xf>
    <xf numFmtId="0" fontId="11" fillId="0" borderId="13" xfId="0" applyFont="1" applyFill="1" applyBorder="1" applyAlignment="1">
      <alignment horizontal="center" vertical="center"/>
    </xf>
    <xf numFmtId="4" fontId="76" fillId="5" borderId="21" xfId="0" applyNumberFormat="1" applyFont="1" applyFill="1" applyBorder="1"/>
    <xf numFmtId="0" fontId="11" fillId="0" borderId="13" xfId="0" applyFont="1" applyFill="1" applyBorder="1" applyAlignment="1">
      <alignment horizontal="center"/>
    </xf>
    <xf numFmtId="4" fontId="76" fillId="22" borderId="22" xfId="0" applyNumberFormat="1" applyFont="1" applyFill="1" applyBorder="1"/>
    <xf numFmtId="0" fontId="68" fillId="5" borderId="0" xfId="0" applyFont="1" applyFill="1"/>
    <xf numFmtId="0" fontId="11" fillId="0" borderId="13" xfId="0" applyFont="1" applyBorder="1" applyAlignment="1">
      <alignment horizontal="center"/>
    </xf>
    <xf numFmtId="0" fontId="11" fillId="4" borderId="12" xfId="0" applyFont="1" applyFill="1" applyBorder="1" applyAlignment="1">
      <alignment horizontal="center" vertical="center" wrapText="1"/>
    </xf>
    <xf numFmtId="0" fontId="68" fillId="5" borderId="16" xfId="0" applyFont="1" applyFill="1" applyBorder="1"/>
    <xf numFmtId="0" fontId="68" fillId="5" borderId="61" xfId="0" applyFont="1" applyFill="1" applyBorder="1"/>
    <xf numFmtId="0" fontId="68" fillId="5" borderId="17" xfId="0" applyFont="1" applyFill="1" applyBorder="1"/>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68" fillId="0" borderId="7" xfId="0" applyFont="1" applyFill="1" applyBorder="1"/>
    <xf numFmtId="0" fontId="68" fillId="0" borderId="45" xfId="0" applyFont="1" applyFill="1" applyBorder="1"/>
    <xf numFmtId="0" fontId="68" fillId="0" borderId="8" xfId="0" applyFont="1" applyFill="1" applyBorder="1"/>
    <xf numFmtId="4" fontId="19" fillId="0" borderId="9" xfId="0" applyNumberFormat="1" applyFont="1" applyFill="1" applyBorder="1"/>
    <xf numFmtId="0" fontId="68" fillId="0" borderId="33" xfId="0" applyFont="1" applyFill="1" applyBorder="1"/>
    <xf numFmtId="0" fontId="11" fillId="0" borderId="4" xfId="0" applyFont="1" applyFill="1" applyBorder="1"/>
    <xf numFmtId="0" fontId="11" fillId="0" borderId="5" xfId="0" quotePrefix="1" applyFont="1" applyBorder="1" applyAlignment="1">
      <alignment horizontal="center"/>
    </xf>
    <xf numFmtId="0" fontId="11" fillId="0" borderId="5" xfId="0" applyFont="1" applyBorder="1" applyAlignment="1">
      <alignment horizontal="center"/>
    </xf>
    <xf numFmtId="0" fontId="11" fillId="3" borderId="5" xfId="0" applyFont="1" applyFill="1" applyBorder="1" applyAlignment="1">
      <alignment horizontal="center"/>
    </xf>
    <xf numFmtId="2" fontId="11" fillId="0" borderId="5" xfId="0" applyNumberFormat="1" applyFont="1" applyBorder="1" applyAlignment="1">
      <alignment horizontal="center"/>
    </xf>
    <xf numFmtId="0" fontId="10" fillId="0" borderId="13" xfId="0" applyFont="1" applyFill="1" applyBorder="1"/>
    <xf numFmtId="0" fontId="10" fillId="0" borderId="4" xfId="0" applyFont="1" applyFill="1" applyBorder="1"/>
    <xf numFmtId="16" fontId="11" fillId="0" borderId="5" xfId="0" quotePrefix="1" applyNumberFormat="1" applyFont="1" applyBorder="1" applyAlignment="1">
      <alignment horizontal="center"/>
    </xf>
    <xf numFmtId="4" fontId="10" fillId="0" borderId="17" xfId="0" applyNumberFormat="1" applyFont="1" applyFill="1" applyBorder="1"/>
    <xf numFmtId="4" fontId="10" fillId="0" borderId="22" xfId="0" applyNumberFormat="1" applyFont="1" applyFill="1" applyBorder="1"/>
    <xf numFmtId="0" fontId="68" fillId="0" borderId="7" xfId="0" applyFont="1" applyBorder="1"/>
    <xf numFmtId="0" fontId="68" fillId="0" borderId="45" xfId="0" applyFont="1" applyBorder="1"/>
    <xf numFmtId="0" fontId="68" fillId="0" borderId="8" xfId="0" applyFont="1" applyBorder="1"/>
    <xf numFmtId="0" fontId="10" fillId="0" borderId="66" xfId="0" applyFont="1" applyFill="1" applyBorder="1"/>
    <xf numFmtId="0" fontId="68" fillId="0" borderId="0" xfId="0" applyFont="1" applyFill="1"/>
    <xf numFmtId="4" fontId="76" fillId="0" borderId="0" xfId="0" applyNumberFormat="1" applyFont="1" applyFill="1"/>
    <xf numFmtId="0" fontId="76" fillId="0" borderId="0" xfId="0" applyFont="1" applyFill="1"/>
    <xf numFmtId="0" fontId="68" fillId="0" borderId="0" xfId="0" applyFont="1" applyFill="1" applyAlignment="1"/>
    <xf numFmtId="0" fontId="68" fillId="0" borderId="0" xfId="0" applyFont="1" applyFill="1" applyBorder="1" applyAlignment="1">
      <alignment wrapText="1"/>
    </xf>
    <xf numFmtId="0" fontId="68" fillId="0" borderId="0" xfId="0" applyFont="1" applyFill="1" applyAlignment="1">
      <alignment wrapText="1"/>
    </xf>
    <xf numFmtId="0" fontId="68" fillId="0" borderId="0" xfId="0" applyFont="1" applyFill="1" applyAlignment="1">
      <alignment vertical="center" wrapText="1"/>
    </xf>
    <xf numFmtId="0" fontId="19" fillId="0" borderId="0" xfId="0" applyFont="1" applyAlignment="1">
      <alignment horizontal="right"/>
    </xf>
    <xf numFmtId="0" fontId="64" fillId="0" borderId="13" xfId="0" applyFont="1" applyBorder="1"/>
    <xf numFmtId="0" fontId="64" fillId="0" borderId="14" xfId="0" applyFont="1" applyBorder="1"/>
    <xf numFmtId="0" fontId="64" fillId="0" borderId="15" xfId="0" applyFont="1" applyBorder="1"/>
    <xf numFmtId="0" fontId="11" fillId="0" borderId="47" xfId="0" applyFont="1" applyBorder="1"/>
    <xf numFmtId="0" fontId="11" fillId="7" borderId="47" xfId="0" applyFont="1" applyFill="1" applyBorder="1"/>
    <xf numFmtId="0" fontId="11" fillId="5" borderId="47" xfId="0" applyFont="1" applyFill="1" applyBorder="1"/>
    <xf numFmtId="0" fontId="11" fillId="14" borderId="14" xfId="0" applyFont="1" applyFill="1" applyBorder="1" applyAlignment="1">
      <alignment horizontal="center"/>
    </xf>
    <xf numFmtId="0" fontId="11" fillId="14" borderId="14" xfId="0" applyNumberFormat="1" applyFont="1" applyFill="1" applyBorder="1" applyAlignment="1">
      <alignment horizontal="center"/>
    </xf>
    <xf numFmtId="0" fontId="11" fillId="14" borderId="15" xfId="0" applyFont="1" applyFill="1" applyBorder="1" applyAlignment="1">
      <alignment horizontal="center"/>
    </xf>
    <xf numFmtId="0" fontId="11" fillId="14" borderId="47" xfId="0" applyFont="1" applyFill="1" applyBorder="1"/>
    <xf numFmtId="4" fontId="11" fillId="0" borderId="47" xfId="0" applyNumberFormat="1" applyFont="1" applyBorder="1"/>
    <xf numFmtId="2" fontId="11" fillId="6" borderId="14" xfId="0" quotePrefix="1" applyNumberFormat="1" applyFont="1" applyFill="1" applyBorder="1" applyAlignment="1">
      <alignment horizontal="center"/>
    </xf>
    <xf numFmtId="0" fontId="11" fillId="6" borderId="15" xfId="0" applyFont="1" applyFill="1" applyBorder="1" applyAlignment="1">
      <alignment horizontal="center"/>
    </xf>
    <xf numFmtId="0" fontId="11" fillId="6" borderId="47" xfId="0" applyFont="1" applyFill="1" applyBorder="1" applyAlignment="1">
      <alignment horizontal="center"/>
    </xf>
    <xf numFmtId="0" fontId="11" fillId="14" borderId="14" xfId="0" applyFont="1" applyFill="1" applyBorder="1" applyAlignment="1">
      <alignment horizontal="center" vertical="center"/>
    </xf>
    <xf numFmtId="0" fontId="11" fillId="14" borderId="14" xfId="0" applyNumberFormat="1" applyFont="1" applyFill="1" applyBorder="1" applyAlignment="1">
      <alignment horizontal="center" vertical="center"/>
    </xf>
    <xf numFmtId="4" fontId="11" fillId="0" borderId="47" xfId="0" applyNumberFormat="1" applyFont="1" applyFill="1" applyBorder="1"/>
    <xf numFmtId="2" fontId="19" fillId="13" borderId="5" xfId="0" applyNumberFormat="1" applyFont="1" applyFill="1" applyBorder="1" applyAlignment="1">
      <alignment horizontal="center" vertical="center"/>
    </xf>
    <xf numFmtId="0" fontId="19" fillId="13" borderId="55" xfId="0" applyFont="1" applyFill="1" applyBorder="1" applyAlignment="1">
      <alignment horizontal="center" vertical="center"/>
    </xf>
    <xf numFmtId="4" fontId="19" fillId="13" borderId="60" xfId="0" applyNumberFormat="1" applyFont="1" applyFill="1" applyBorder="1"/>
    <xf numFmtId="2" fontId="63" fillId="0" borderId="0" xfId="0" applyNumberFormat="1" applyFont="1"/>
    <xf numFmtId="10" fontId="63" fillId="0" borderId="0" xfId="3" applyNumberFormat="1" applyFont="1"/>
    <xf numFmtId="0" fontId="76" fillId="0" borderId="0" xfId="0" applyFont="1" applyBorder="1" applyAlignment="1">
      <alignment vertical="center" wrapText="1"/>
    </xf>
    <xf numFmtId="0" fontId="68" fillId="0" borderId="0" xfId="0" applyFont="1" applyBorder="1"/>
    <xf numFmtId="0" fontId="36" fillId="0" borderId="0" xfId="0" applyFont="1" applyFill="1" applyBorder="1" applyAlignment="1">
      <alignment horizontal="right" vertical="center" wrapText="1"/>
    </xf>
    <xf numFmtId="0" fontId="76" fillId="0" borderId="0" xfId="0" applyFont="1" applyBorder="1" applyAlignment="1"/>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48" fillId="0" borderId="0" xfId="0" applyFont="1" applyFill="1" applyBorder="1" applyAlignment="1">
      <alignment horizontal="center" vertical="top" wrapText="1"/>
    </xf>
    <xf numFmtId="0" fontId="19" fillId="7" borderId="35" xfId="0" applyFont="1" applyFill="1" applyBorder="1" applyAlignment="1">
      <alignment vertical="center"/>
    </xf>
    <xf numFmtId="0" fontId="19" fillId="7" borderId="36" xfId="0" applyFont="1" applyFill="1" applyBorder="1" applyAlignment="1">
      <alignment vertical="center"/>
    </xf>
    <xf numFmtId="0" fontId="19" fillId="7" borderId="13" xfId="0" applyFont="1" applyFill="1" applyBorder="1" applyAlignment="1">
      <alignment vertical="center"/>
    </xf>
    <xf numFmtId="0" fontId="19" fillId="7" borderId="34" xfId="0" applyFont="1" applyFill="1" applyBorder="1" applyAlignment="1">
      <alignment vertical="center"/>
    </xf>
    <xf numFmtId="0" fontId="19" fillId="7" borderId="14" xfId="0" applyFont="1" applyFill="1" applyBorder="1" applyAlignment="1">
      <alignment vertical="center"/>
    </xf>
    <xf numFmtId="0" fontId="19" fillId="7" borderId="21" xfId="0" applyFont="1" applyFill="1" applyBorder="1" applyAlignment="1">
      <alignment vertical="center"/>
    </xf>
    <xf numFmtId="0" fontId="19" fillId="0" borderId="0" xfId="0" applyFont="1" applyFill="1" applyBorder="1" applyAlignment="1">
      <alignment vertical="center"/>
    </xf>
    <xf numFmtId="0" fontId="68" fillId="0" borderId="0" xfId="0" applyFont="1" applyFill="1" applyAlignment="1">
      <alignment horizontal="center"/>
    </xf>
    <xf numFmtId="0" fontId="26" fillId="4" borderId="13" xfId="0" applyFont="1" applyFill="1" applyBorder="1" applyAlignment="1">
      <alignment vertical="center" wrapText="1"/>
    </xf>
    <xf numFmtId="0" fontId="26" fillId="4" borderId="34" xfId="0" applyFont="1" applyFill="1" applyBorder="1" applyAlignment="1">
      <alignment vertical="center" wrapText="1"/>
    </xf>
    <xf numFmtId="0" fontId="26" fillId="4" borderId="14" xfId="0" applyFont="1" applyFill="1" applyBorder="1" applyAlignment="1">
      <alignment vertical="center" wrapText="1"/>
    </xf>
    <xf numFmtId="0" fontId="26" fillId="4" borderId="21" xfId="0" applyFont="1" applyFill="1" applyBorder="1" applyAlignment="1">
      <alignment vertical="center" wrapText="1"/>
    </xf>
    <xf numFmtId="0" fontId="26" fillId="0" borderId="0" xfId="0" applyFont="1" applyFill="1" applyBorder="1" applyAlignment="1">
      <alignment vertical="center" wrapText="1"/>
    </xf>
    <xf numFmtId="16" fontId="18" fillId="5" borderId="24" xfId="0" quotePrefix="1" applyNumberFormat="1" applyFont="1" applyFill="1" applyBorder="1" applyAlignment="1"/>
    <xf numFmtId="16" fontId="18" fillId="5" borderId="25" xfId="0" quotePrefix="1" applyNumberFormat="1" applyFont="1" applyFill="1" applyBorder="1" applyAlignment="1"/>
    <xf numFmtId="16" fontId="18" fillId="5" borderId="13" xfId="0" quotePrefix="1" applyNumberFormat="1" applyFont="1" applyFill="1" applyBorder="1" applyAlignment="1"/>
    <xf numFmtId="16" fontId="18" fillId="5" borderId="34" xfId="0" quotePrefix="1" applyNumberFormat="1" applyFont="1" applyFill="1" applyBorder="1" applyAlignment="1"/>
    <xf numFmtId="16" fontId="18" fillId="5" borderId="14" xfId="0" quotePrefix="1" applyNumberFormat="1" applyFont="1" applyFill="1" applyBorder="1" applyAlignment="1"/>
    <xf numFmtId="16" fontId="18" fillId="5" borderId="21" xfId="0" quotePrefix="1" applyNumberFormat="1" applyFont="1" applyFill="1" applyBorder="1" applyAlignment="1"/>
    <xf numFmtId="16" fontId="18" fillId="0" borderId="0" xfId="0" quotePrefix="1" applyNumberFormat="1" applyFont="1" applyFill="1" applyBorder="1" applyAlignment="1"/>
    <xf numFmtId="10" fontId="68" fillId="0" borderId="0" xfId="3" applyNumberFormat="1" applyFont="1" applyFill="1" applyBorder="1" applyAlignment="1">
      <alignment horizontal="right"/>
    </xf>
    <xf numFmtId="4" fontId="68" fillId="0" borderId="0" xfId="3" applyNumberFormat="1" applyFont="1" applyFill="1" applyBorder="1" applyAlignment="1">
      <alignment horizontal="right"/>
    </xf>
    <xf numFmtId="4" fontId="68" fillId="0" borderId="0" xfId="0" applyNumberFormat="1" applyFont="1" applyFill="1" applyAlignment="1"/>
    <xf numFmtId="10" fontId="68" fillId="0" borderId="0" xfId="3" applyNumberFormat="1" applyFont="1" applyFill="1"/>
    <xf numFmtId="4" fontId="68" fillId="6" borderId="14" xfId="0" applyNumberFormat="1" applyFont="1" applyFill="1" applyBorder="1"/>
    <xf numFmtId="0" fontId="10" fillId="6" borderId="21" xfId="0" applyFont="1" applyFill="1" applyBorder="1"/>
    <xf numFmtId="0" fontId="68" fillId="0" borderId="0" xfId="0" applyFont="1" applyAlignment="1"/>
    <xf numFmtId="0" fontId="19" fillId="8" borderId="4" xfId="0" applyFont="1" applyFill="1" applyBorder="1" applyAlignment="1">
      <alignment horizontal="right" vertical="center"/>
    </xf>
    <xf numFmtId="0" fontId="11" fillId="8" borderId="5" xfId="0" applyFont="1" applyFill="1" applyBorder="1"/>
    <xf numFmtId="0" fontId="68" fillId="8" borderId="40" xfId="0" applyFont="1" applyFill="1" applyBorder="1"/>
    <xf numFmtId="4" fontId="19" fillId="8" borderId="42" xfId="0" applyNumberFormat="1" applyFont="1" applyFill="1" applyBorder="1"/>
    <xf numFmtId="4" fontId="68" fillId="0" borderId="0" xfId="0" applyNumberFormat="1" applyFont="1" applyFill="1"/>
    <xf numFmtId="0" fontId="11" fillId="0" borderId="0" xfId="0" applyFont="1" applyFill="1" applyBorder="1" applyAlignment="1">
      <alignment horizontal="center" vertical="center"/>
    </xf>
    <xf numFmtId="0" fontId="68" fillId="7" borderId="1" xfId="0" applyFont="1" applyFill="1" applyBorder="1"/>
    <xf numFmtId="0" fontId="68" fillId="7" borderId="56" xfId="0" applyFont="1" applyFill="1" applyBorder="1"/>
    <xf numFmtId="0" fontId="68" fillId="7" borderId="2" xfId="0" applyFont="1" applyFill="1" applyBorder="1"/>
    <xf numFmtId="0" fontId="68" fillId="7" borderId="3" xfId="0" applyFont="1" applyFill="1" applyBorder="1"/>
    <xf numFmtId="10" fontId="76" fillId="0" borderId="0" xfId="3" applyNumberFormat="1" applyFont="1" applyFill="1"/>
    <xf numFmtId="2" fontId="11" fillId="3" borderId="14" xfId="0" applyNumberFormat="1" applyFont="1" applyFill="1" applyBorder="1" applyAlignment="1">
      <alignment horizontal="center"/>
    </xf>
    <xf numFmtId="4" fontId="68" fillId="0" borderId="0" xfId="0" applyNumberFormat="1" applyFont="1" applyFill="1" applyBorder="1" applyAlignment="1"/>
    <xf numFmtId="0" fontId="11" fillId="0" borderId="14" xfId="0" applyNumberFormat="1" applyFont="1" applyBorder="1" applyAlignment="1">
      <alignment horizontal="center"/>
    </xf>
    <xf numFmtId="0" fontId="11" fillId="0" borderId="13" xfId="0" applyFont="1" applyFill="1" applyBorder="1" applyAlignment="1">
      <alignment wrapText="1"/>
    </xf>
    <xf numFmtId="0" fontId="68" fillId="13" borderId="40" xfId="0" applyFont="1" applyFill="1" applyBorder="1"/>
    <xf numFmtId="4" fontId="19" fillId="13" borderId="42" xfId="0" applyNumberFormat="1" applyFont="1" applyFill="1" applyBorder="1"/>
    <xf numFmtId="0" fontId="19" fillId="0" borderId="0" xfId="0" applyFont="1" applyBorder="1" applyAlignment="1">
      <alignment horizontal="center" vertical="center"/>
    </xf>
    <xf numFmtId="0" fontId="68" fillId="6" borderId="17" xfId="0" applyFont="1" applyFill="1" applyBorder="1" applyAlignment="1"/>
    <xf numFmtId="0" fontId="68" fillId="6" borderId="22" xfId="0" applyFont="1" applyFill="1" applyBorder="1" applyAlignment="1"/>
    <xf numFmtId="4" fontId="19" fillId="13" borderId="62" xfId="0" applyNumberFormat="1" applyFont="1" applyFill="1" applyBorder="1"/>
    <xf numFmtId="3" fontId="76" fillId="0" borderId="0" xfId="0" applyNumberFormat="1" applyFont="1" applyFill="1" applyBorder="1"/>
    <xf numFmtId="0" fontId="79" fillId="7" borderId="2" xfId="0" applyFont="1" applyFill="1" applyBorder="1"/>
    <xf numFmtId="4" fontId="68" fillId="7" borderId="3" xfId="0" applyNumberFormat="1" applyFont="1" applyFill="1" applyBorder="1"/>
    <xf numFmtId="0" fontId="79" fillId="0" borderId="14" xfId="0" applyFont="1" applyBorder="1"/>
    <xf numFmtId="4" fontId="68" fillId="0" borderId="21" xfId="0" applyNumberFormat="1" applyFont="1" applyBorder="1"/>
    <xf numFmtId="0" fontId="79" fillId="5" borderId="14" xfId="0" applyFont="1" applyFill="1" applyBorder="1"/>
    <xf numFmtId="4" fontId="68" fillId="5" borderId="21" xfId="0" applyNumberFormat="1" applyFont="1" applyFill="1" applyBorder="1"/>
    <xf numFmtId="0" fontId="11" fillId="0" borderId="0" xfId="0" applyFont="1" applyFill="1" applyBorder="1" applyAlignment="1">
      <alignment vertical="center" wrapText="1"/>
    </xf>
    <xf numFmtId="0" fontId="11" fillId="0" borderId="0" xfId="0" applyFont="1" applyFill="1" applyBorder="1" applyAlignment="1">
      <alignment wrapText="1"/>
    </xf>
    <xf numFmtId="0" fontId="11" fillId="6" borderId="13" xfId="0" applyFont="1" applyFill="1" applyBorder="1"/>
    <xf numFmtId="0" fontId="11" fillId="6" borderId="34" xfId="0" applyFont="1" applyFill="1" applyBorder="1"/>
    <xf numFmtId="0" fontId="11" fillId="5" borderId="13" xfId="0" applyFont="1" applyFill="1" applyBorder="1"/>
    <xf numFmtId="0" fontId="11" fillId="5" borderId="34" xfId="0" applyFont="1" applyFill="1" applyBorder="1"/>
    <xf numFmtId="3" fontId="19" fillId="5" borderId="14" xfId="0" applyNumberFormat="1" applyFont="1" applyFill="1" applyBorder="1" applyAlignment="1">
      <alignment horizontal="center" wrapText="1"/>
    </xf>
    <xf numFmtId="164" fontId="19" fillId="5" borderId="15" xfId="0" applyNumberFormat="1" applyFont="1" applyFill="1" applyBorder="1" applyAlignment="1">
      <alignment horizontal="center" wrapText="1"/>
    </xf>
    <xf numFmtId="0" fontId="11" fillId="6" borderId="16" xfId="0" applyFont="1" applyFill="1" applyBorder="1"/>
    <xf numFmtId="0" fontId="11" fillId="6" borderId="61" xfId="0" applyFont="1" applyFill="1" applyBorder="1"/>
    <xf numFmtId="0" fontId="11" fillId="8" borderId="7" xfId="0" applyFont="1" applyFill="1" applyBorder="1"/>
    <xf numFmtId="0" fontId="11" fillId="8" borderId="45" xfId="0" applyFont="1" applyFill="1" applyBorder="1"/>
    <xf numFmtId="4" fontId="19" fillId="8" borderId="9" xfId="0" applyNumberFormat="1" applyFont="1" applyFill="1" applyBorder="1"/>
    <xf numFmtId="0" fontId="11" fillId="7" borderId="1" xfId="0" applyFont="1" applyFill="1" applyBorder="1"/>
    <xf numFmtId="0" fontId="11" fillId="7" borderId="56" xfId="0" applyFont="1" applyFill="1" applyBorder="1"/>
    <xf numFmtId="0" fontId="11" fillId="0" borderId="34" xfId="0" applyFont="1" applyBorder="1"/>
    <xf numFmtId="2" fontId="68" fillId="0" borderId="21" xfId="0" applyNumberFormat="1" applyFont="1" applyBorder="1"/>
    <xf numFmtId="0" fontId="11" fillId="0" borderId="0" xfId="0" applyFont="1" applyFill="1" applyBorder="1"/>
    <xf numFmtId="0" fontId="19" fillId="6" borderId="7" xfId="0" applyFont="1" applyFill="1" applyBorder="1" applyAlignment="1">
      <alignment horizontal="right"/>
    </xf>
    <xf numFmtId="0" fontId="11" fillId="6" borderId="8" xfId="0" quotePrefix="1" applyNumberFormat="1" applyFont="1" applyFill="1" applyBorder="1" applyAlignment="1">
      <alignment horizontal="center"/>
    </xf>
    <xf numFmtId="0" fontId="11" fillId="6" borderId="8" xfId="0" applyNumberFormat="1" applyFont="1" applyFill="1" applyBorder="1" applyAlignment="1">
      <alignment horizontal="center"/>
    </xf>
    <xf numFmtId="0" fontId="11" fillId="6" borderId="8" xfId="0" applyFont="1" applyFill="1" applyBorder="1" applyAlignment="1">
      <alignment horizontal="center"/>
    </xf>
    <xf numFmtId="0" fontId="68" fillId="6" borderId="7" xfId="0" applyFont="1" applyFill="1" applyBorder="1"/>
    <xf numFmtId="0" fontId="68" fillId="6" borderId="45" xfId="0" applyFont="1" applyFill="1" applyBorder="1"/>
    <xf numFmtId="0" fontId="68" fillId="6" borderId="8" xfId="0" applyFont="1" applyFill="1" applyBorder="1"/>
    <xf numFmtId="4" fontId="19" fillId="6" borderId="9" xfId="0" applyNumberFormat="1" applyFont="1" applyFill="1" applyBorder="1"/>
    <xf numFmtId="0" fontId="11" fillId="0" borderId="0" xfId="0" quotePrefix="1" applyNumberFormat="1" applyFont="1" applyFill="1" applyBorder="1" applyAlignment="1">
      <alignment horizontal="center"/>
    </xf>
    <xf numFmtId="0"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9" fillId="6" borderId="4" xfId="0" applyFont="1" applyFill="1" applyBorder="1" applyAlignment="1">
      <alignment horizontal="right"/>
    </xf>
    <xf numFmtId="4" fontId="68" fillId="0" borderId="0" xfId="0" applyNumberFormat="1" applyFont="1"/>
    <xf numFmtId="0" fontId="68" fillId="5" borderId="22" xfId="0" applyFont="1" applyFill="1" applyBorder="1"/>
    <xf numFmtId="4" fontId="19" fillId="0" borderId="9" xfId="0" applyNumberFormat="1" applyFont="1" applyBorder="1"/>
    <xf numFmtId="0" fontId="11" fillId="0" borderId="65" xfId="0" applyFont="1" applyFill="1" applyBorder="1" applyAlignment="1">
      <alignment vertical="center"/>
    </xf>
    <xf numFmtId="0" fontId="19" fillId="0" borderId="0" xfId="0" applyFont="1" applyFill="1" applyBorder="1" applyAlignment="1">
      <alignment horizontal="right" vertical="center"/>
    </xf>
    <xf numFmtId="0" fontId="42" fillId="0" borderId="19" xfId="0" applyFont="1" applyFill="1" applyBorder="1" applyAlignment="1">
      <alignment horizontal="left" wrapText="1" readingOrder="1"/>
    </xf>
    <xf numFmtId="4" fontId="42" fillId="0" borderId="42" xfId="0" applyNumberFormat="1" applyFont="1" applyFill="1" applyBorder="1" applyAlignment="1">
      <alignment horizontal="center" vertical="center" wrapText="1"/>
    </xf>
    <xf numFmtId="0" fontId="42" fillId="0" borderId="45" xfId="0" applyFont="1" applyFill="1" applyBorder="1" applyAlignment="1">
      <alignment horizontal="center" vertical="center" wrapText="1"/>
    </xf>
    <xf numFmtId="0" fontId="42" fillId="0" borderId="8" xfId="0" applyFont="1" applyFill="1" applyBorder="1" applyAlignment="1">
      <alignment horizontal="center" vertical="center" wrapText="1"/>
    </xf>
    <xf numFmtId="164" fontId="42" fillId="0" borderId="8" xfId="0" applyNumberFormat="1" applyFont="1" applyFill="1" applyBorder="1" applyAlignment="1">
      <alignment horizontal="center" vertical="center" wrapText="1"/>
    </xf>
    <xf numFmtId="3" fontId="42" fillId="0" borderId="8" xfId="0" applyNumberFormat="1" applyFont="1" applyFill="1" applyBorder="1" applyAlignment="1">
      <alignment horizontal="right" vertical="center" wrapText="1" indent="1" readingOrder="1"/>
    </xf>
    <xf numFmtId="3" fontId="42" fillId="0" borderId="9" xfId="0" applyNumberFormat="1" applyFont="1" applyFill="1" applyBorder="1" applyAlignment="1">
      <alignment horizontal="center" vertical="center" wrapText="1" readingOrder="1"/>
    </xf>
    <xf numFmtId="0" fontId="42" fillId="0" borderId="0" xfId="0" applyFont="1" applyFill="1" applyBorder="1" applyAlignment="1">
      <alignment horizontal="left" wrapText="1" readingOrder="1"/>
    </xf>
    <xf numFmtId="4" fontId="42"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164" fontId="42" fillId="0" borderId="0" xfId="0" applyNumberFormat="1" applyFont="1" applyFill="1" applyBorder="1" applyAlignment="1">
      <alignment horizontal="center" vertical="center" wrapText="1"/>
    </xf>
    <xf numFmtId="3" fontId="42" fillId="0" borderId="0" xfId="0" applyNumberFormat="1" applyFont="1" applyFill="1" applyBorder="1" applyAlignment="1">
      <alignment horizontal="right" vertical="center" wrapText="1" indent="1" readingOrder="1"/>
    </xf>
    <xf numFmtId="3" fontId="42" fillId="0" borderId="0" xfId="0" applyNumberFormat="1" applyFont="1" applyFill="1" applyBorder="1" applyAlignment="1">
      <alignment horizontal="center" vertical="center" wrapText="1" readingOrder="1"/>
    </xf>
    <xf numFmtId="0" fontId="73" fillId="0" borderId="0" xfId="0" applyFont="1" applyFill="1" applyAlignment="1">
      <alignment horizontal="center" vertical="center" wrapText="1"/>
    </xf>
    <xf numFmtId="0" fontId="72" fillId="26" borderId="0" xfId="0" applyFont="1" applyFill="1" applyAlignment="1">
      <alignment horizontal="center" vertical="center" wrapText="1"/>
    </xf>
    <xf numFmtId="0" fontId="50" fillId="26" borderId="0" xfId="0" applyFont="1" applyFill="1" applyAlignment="1">
      <alignment horizontal="center" vertical="center" wrapText="1"/>
    </xf>
    <xf numFmtId="3" fontId="75" fillId="0" borderId="0" xfId="0" applyNumberFormat="1" applyFont="1" applyFill="1" applyBorder="1" applyAlignment="1">
      <alignment horizontal="right" vertical="center" wrapText="1"/>
    </xf>
    <xf numFmtId="0" fontId="26" fillId="22" borderId="10" xfId="0" applyFont="1" applyFill="1" applyBorder="1" applyAlignment="1">
      <alignment horizontal="left" vertical="center" wrapText="1"/>
    </xf>
    <xf numFmtId="0" fontId="26" fillId="22" borderId="11" xfId="0" applyFont="1" applyFill="1" applyBorder="1" applyAlignment="1">
      <alignment horizontal="left" vertical="center" wrapText="1"/>
    </xf>
    <xf numFmtId="0" fontId="11" fillId="5" borderId="24" xfId="0" applyFont="1" applyFill="1" applyBorder="1" applyAlignment="1">
      <alignment horizontal="left" vertical="center" wrapText="1"/>
    </xf>
    <xf numFmtId="0" fontId="11" fillId="5" borderId="25" xfId="0" applyFont="1" applyFill="1" applyBorder="1" applyAlignment="1">
      <alignment horizontal="left" vertical="center" wrapText="1"/>
    </xf>
    <xf numFmtId="16" fontId="11" fillId="5" borderId="24" xfId="0" quotePrefix="1" applyNumberFormat="1" applyFont="1" applyFill="1" applyBorder="1" applyAlignment="1">
      <alignment horizontal="left"/>
    </xf>
    <xf numFmtId="16" fontId="11" fillId="5" borderId="25" xfId="0" quotePrefix="1" applyNumberFormat="1" applyFont="1" applyFill="1" applyBorder="1" applyAlignment="1">
      <alignment horizontal="left"/>
    </xf>
    <xf numFmtId="0" fontId="19" fillId="7" borderId="19" xfId="0" applyFont="1" applyFill="1" applyBorder="1" applyAlignment="1">
      <alignment horizontal="center" vertical="center"/>
    </xf>
    <xf numFmtId="0" fontId="19" fillId="7" borderId="20" xfId="0" applyFont="1" applyFill="1" applyBorder="1" applyAlignment="1">
      <alignment horizontal="center" vertical="center"/>
    </xf>
    <xf numFmtId="16" fontId="11" fillId="5" borderId="24" xfId="0" quotePrefix="1" applyNumberFormat="1" applyFont="1" applyFill="1" applyBorder="1" applyAlignment="1">
      <alignment horizontal="left" vertical="center"/>
    </xf>
    <xf numFmtId="16" fontId="11" fillId="5" borderId="25" xfId="0" quotePrefix="1" applyNumberFormat="1" applyFont="1" applyFill="1" applyBorder="1" applyAlignment="1">
      <alignment horizontal="left" vertical="center"/>
    </xf>
    <xf numFmtId="0" fontId="26" fillId="22" borderId="24" xfId="0" applyFont="1" applyFill="1" applyBorder="1" applyAlignment="1">
      <alignment horizontal="left" vertical="center" wrapText="1"/>
    </xf>
    <xf numFmtId="0" fontId="26" fillId="22" borderId="25" xfId="0" applyFont="1" applyFill="1" applyBorder="1" applyAlignment="1">
      <alignment horizontal="left" vertical="center" wrapText="1"/>
    </xf>
    <xf numFmtId="16" fontId="11" fillId="5" borderId="38" xfId="0" quotePrefix="1" applyNumberFormat="1" applyFont="1" applyFill="1" applyBorder="1" applyAlignment="1">
      <alignment horizontal="left" vertical="center"/>
    </xf>
    <xf numFmtId="16" fontId="11" fillId="5" borderId="39" xfId="0" quotePrefix="1" applyNumberFormat="1" applyFont="1" applyFill="1" applyBorder="1" applyAlignment="1">
      <alignment horizontal="left" vertical="center"/>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53" xfId="0" applyFont="1" applyFill="1" applyBorder="1" applyAlignment="1">
      <alignment horizontal="center" vertical="center"/>
    </xf>
    <xf numFmtId="0" fontId="26" fillId="4" borderId="13" xfId="0" applyFont="1" applyFill="1" applyBorder="1" applyAlignment="1">
      <alignment horizontal="left" vertical="center" wrapText="1"/>
    </xf>
    <xf numFmtId="0" fontId="26" fillId="4" borderId="14" xfId="0" applyFont="1" applyFill="1" applyBorder="1" applyAlignment="1">
      <alignment horizontal="left" vertical="center" wrapText="1"/>
    </xf>
    <xf numFmtId="0" fontId="26" fillId="4" borderId="15" xfId="0" applyFont="1" applyFill="1" applyBorder="1" applyAlignment="1">
      <alignment horizontal="left" vertical="center" wrapText="1"/>
    </xf>
    <xf numFmtId="16" fontId="18" fillId="5" borderId="13" xfId="0" quotePrefix="1" applyNumberFormat="1" applyFont="1" applyFill="1" applyBorder="1" applyAlignment="1">
      <alignment horizontal="left"/>
    </xf>
    <xf numFmtId="16" fontId="18" fillId="5" borderId="14" xfId="0" quotePrefix="1" applyNumberFormat="1" applyFont="1" applyFill="1" applyBorder="1" applyAlignment="1">
      <alignment horizontal="left"/>
    </xf>
    <xf numFmtId="16" fontId="18" fillId="5" borderId="15" xfId="0" quotePrefix="1" applyNumberFormat="1" applyFont="1" applyFill="1" applyBorder="1" applyAlignment="1">
      <alignment horizontal="left"/>
    </xf>
    <xf numFmtId="16" fontId="18" fillId="5" borderId="24" xfId="0" quotePrefix="1" applyNumberFormat="1" applyFont="1" applyFill="1" applyBorder="1" applyAlignment="1">
      <alignment horizontal="left"/>
    </xf>
    <xf numFmtId="16" fontId="18" fillId="5" borderId="25" xfId="0" quotePrefix="1" applyNumberFormat="1" applyFont="1" applyFill="1" applyBorder="1" applyAlignment="1">
      <alignment horizontal="left"/>
    </xf>
    <xf numFmtId="16" fontId="19" fillId="5" borderId="13" xfId="0" quotePrefix="1" applyNumberFormat="1" applyFont="1" applyFill="1" applyBorder="1" applyAlignment="1">
      <alignment horizontal="left"/>
    </xf>
    <xf numFmtId="16" fontId="19" fillId="5" borderId="14" xfId="0" quotePrefix="1" applyNumberFormat="1" applyFont="1" applyFill="1" applyBorder="1" applyAlignment="1">
      <alignment horizontal="left"/>
    </xf>
    <xf numFmtId="16" fontId="19" fillId="5" borderId="15" xfId="0" quotePrefix="1" applyNumberFormat="1" applyFont="1" applyFill="1" applyBorder="1" applyAlignment="1">
      <alignment horizontal="left"/>
    </xf>
    <xf numFmtId="0" fontId="19" fillId="5" borderId="13" xfId="0" applyFont="1" applyFill="1" applyBorder="1" applyAlignment="1">
      <alignment horizontal="left" vertical="center" wrapText="1"/>
    </xf>
    <xf numFmtId="0" fontId="19" fillId="5" borderId="14" xfId="0" applyFont="1" applyFill="1" applyBorder="1" applyAlignment="1">
      <alignment horizontal="left" vertical="center" wrapText="1"/>
    </xf>
    <xf numFmtId="0" fontId="19" fillId="5" borderId="15" xfId="0" applyFont="1" applyFill="1" applyBorder="1" applyAlignment="1">
      <alignment horizontal="left" vertical="center" wrapText="1"/>
    </xf>
    <xf numFmtId="0" fontId="26" fillId="22" borderId="13" xfId="0" applyFont="1" applyFill="1" applyBorder="1" applyAlignment="1">
      <alignment horizontal="left" vertical="center" wrapText="1"/>
    </xf>
    <xf numFmtId="0" fontId="26" fillId="22" borderId="14" xfId="0" applyFont="1" applyFill="1" applyBorder="1" applyAlignment="1">
      <alignment horizontal="left" vertical="center" wrapText="1"/>
    </xf>
    <xf numFmtId="0" fontId="26" fillId="22" borderId="15" xfId="0" applyFont="1" applyFill="1" applyBorder="1" applyAlignment="1">
      <alignment horizontal="left" vertical="center" wrapText="1"/>
    </xf>
    <xf numFmtId="0" fontId="27" fillId="4" borderId="13" xfId="0" applyFont="1" applyFill="1" applyBorder="1" applyAlignment="1">
      <alignment horizontal="left"/>
    </xf>
    <xf numFmtId="0" fontId="27" fillId="4" borderId="14" xfId="0" applyFont="1" applyFill="1" applyBorder="1" applyAlignment="1">
      <alignment horizontal="left"/>
    </xf>
    <xf numFmtId="0" fontId="27" fillId="4" borderId="15" xfId="0" applyFont="1" applyFill="1" applyBorder="1" applyAlignment="1">
      <alignment horizontal="left"/>
    </xf>
    <xf numFmtId="16" fontId="19" fillId="5" borderId="24" xfId="0" quotePrefix="1" applyNumberFormat="1" applyFont="1" applyFill="1" applyBorder="1" applyAlignment="1">
      <alignment horizontal="left"/>
    </xf>
    <xf numFmtId="16" fontId="19" fillId="5" borderId="25" xfId="0" quotePrefix="1" applyNumberFormat="1" applyFont="1" applyFill="1" applyBorder="1" applyAlignment="1">
      <alignment horizontal="left"/>
    </xf>
    <xf numFmtId="0" fontId="18" fillId="5" borderId="13"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32" fillId="0" borderId="0" xfId="0" applyFont="1" applyAlignment="1">
      <alignment horizontal="center"/>
    </xf>
    <xf numFmtId="0" fontId="36" fillId="0" borderId="0" xfId="0" applyFont="1" applyFill="1" applyBorder="1" applyAlignment="1">
      <alignment horizontal="center" vertical="center" wrapText="1"/>
    </xf>
    <xf numFmtId="0" fontId="18" fillId="4" borderId="24" xfId="0" applyFont="1" applyFill="1" applyBorder="1" applyAlignment="1">
      <alignment horizontal="left" vertical="center" wrapText="1"/>
    </xf>
    <xf numFmtId="0" fontId="18" fillId="4" borderId="25" xfId="0" applyFont="1" applyFill="1" applyBorder="1" applyAlignment="1">
      <alignment horizontal="left" vertical="center" wrapText="1"/>
    </xf>
    <xf numFmtId="0" fontId="19" fillId="7" borderId="24" xfId="0" applyFont="1" applyFill="1" applyBorder="1" applyAlignment="1">
      <alignment horizontal="center" vertical="center"/>
    </xf>
    <xf numFmtId="0" fontId="19" fillId="7" borderId="25" xfId="0" applyFont="1" applyFill="1" applyBorder="1" applyAlignment="1">
      <alignment horizontal="center" vertical="center"/>
    </xf>
    <xf numFmtId="0" fontId="19" fillId="15" borderId="13" xfId="1" applyFont="1" applyFill="1" applyBorder="1" applyAlignment="1">
      <alignment horizontal="left" vertical="top" wrapText="1"/>
    </xf>
    <xf numFmtId="0" fontId="19" fillId="15" borderId="14" xfId="1" applyFont="1" applyFill="1" applyBorder="1" applyAlignment="1">
      <alignment horizontal="left" vertical="top" wrapText="1"/>
    </xf>
    <xf numFmtId="0" fontId="19" fillId="5" borderId="24" xfId="0" applyFont="1" applyFill="1" applyBorder="1" applyAlignment="1">
      <alignment horizontal="left" vertical="center" wrapText="1"/>
    </xf>
    <xf numFmtId="0" fontId="19" fillId="5" borderId="25"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164" fontId="11" fillId="0" borderId="2" xfId="0" applyNumberFormat="1" applyFont="1" applyBorder="1" applyAlignment="1">
      <alignment horizontal="center" vertical="center" wrapText="1"/>
    </xf>
    <xf numFmtId="164" fontId="11" fillId="0" borderId="14"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0" fillId="3" borderId="58"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9" fillId="0" borderId="0" xfId="0" applyFont="1" applyAlignment="1">
      <alignment horizontal="center"/>
    </xf>
    <xf numFmtId="0" fontId="11" fillId="0" borderId="53" xfId="0" applyFont="1" applyBorder="1" applyAlignment="1">
      <alignment horizontal="center" vertical="center" wrapText="1"/>
    </xf>
    <xf numFmtId="0" fontId="11" fillId="0" borderId="15" xfId="0" applyFont="1" applyBorder="1" applyAlignment="1">
      <alignment horizontal="center" vertical="center" wrapText="1"/>
    </xf>
    <xf numFmtId="0" fontId="19" fillId="7" borderId="13" xfId="0" applyFont="1" applyFill="1" applyBorder="1" applyAlignment="1">
      <alignment horizontal="center" vertical="center"/>
    </xf>
    <xf numFmtId="0" fontId="19" fillId="7" borderId="14" xfId="0" applyFont="1" applyFill="1" applyBorder="1" applyAlignment="1">
      <alignment horizontal="center" vertical="center"/>
    </xf>
    <xf numFmtId="0" fontId="19" fillId="7" borderId="15" xfId="0" applyFont="1" applyFill="1" applyBorder="1" applyAlignment="1">
      <alignment horizontal="center" vertical="center"/>
    </xf>
    <xf numFmtId="0" fontId="19" fillId="4" borderId="24" xfId="0" applyFont="1" applyFill="1" applyBorder="1" applyAlignment="1">
      <alignment horizontal="left" vertical="center" wrapText="1"/>
    </xf>
    <xf numFmtId="0" fontId="19" fillId="4" borderId="25" xfId="0" applyFont="1" applyFill="1" applyBorder="1" applyAlignment="1">
      <alignment horizontal="left" vertical="center" wrapText="1"/>
    </xf>
    <xf numFmtId="0" fontId="11" fillId="5" borderId="38" xfId="0" applyFont="1" applyFill="1" applyBorder="1" applyAlignment="1">
      <alignment horizontal="left" vertical="center" wrapText="1"/>
    </xf>
    <xf numFmtId="0" fontId="11" fillId="5" borderId="39" xfId="0" applyFont="1" applyFill="1" applyBorder="1" applyAlignment="1">
      <alignment horizontal="left" vertical="center" wrapText="1"/>
    </xf>
    <xf numFmtId="0" fontId="68" fillId="0" borderId="0" xfId="0" applyFont="1" applyFill="1" applyBorder="1" applyAlignment="1">
      <alignment horizontal="center"/>
    </xf>
    <xf numFmtId="0" fontId="18" fillId="5" borderId="24" xfId="0" applyFont="1" applyFill="1" applyBorder="1" applyAlignment="1">
      <alignment horizontal="left" vertical="center" wrapText="1"/>
    </xf>
    <xf numFmtId="0" fontId="18" fillId="5" borderId="25" xfId="0" applyFont="1" applyFill="1" applyBorder="1" applyAlignment="1">
      <alignment horizontal="left" vertical="center" wrapText="1"/>
    </xf>
    <xf numFmtId="0" fontId="26" fillId="4" borderId="13" xfId="0" applyFont="1" applyFill="1" applyBorder="1" applyAlignment="1">
      <alignment horizontal="left" vertical="center"/>
    </xf>
    <xf numFmtId="0" fontId="26" fillId="4" borderId="14" xfId="0" applyFont="1" applyFill="1" applyBorder="1" applyAlignment="1">
      <alignment horizontal="left" vertical="center"/>
    </xf>
    <xf numFmtId="0" fontId="26" fillId="4" borderId="15" xfId="0" applyFont="1" applyFill="1" applyBorder="1" applyAlignment="1">
      <alignment horizontal="left" vertical="center"/>
    </xf>
    <xf numFmtId="0" fontId="19" fillId="7" borderId="1"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53" xfId="0" applyFont="1" applyFill="1" applyBorder="1" applyAlignment="1">
      <alignment horizontal="center" vertical="center" wrapText="1"/>
    </xf>
    <xf numFmtId="16" fontId="19" fillId="5" borderId="13" xfId="0" quotePrefix="1" applyNumberFormat="1" applyFont="1" applyFill="1" applyBorder="1" applyAlignment="1">
      <alignment horizontal="left" vertical="center" wrapText="1"/>
    </xf>
    <xf numFmtId="16" fontId="19" fillId="5" borderId="14" xfId="0" quotePrefix="1" applyNumberFormat="1" applyFont="1" applyFill="1" applyBorder="1" applyAlignment="1">
      <alignment horizontal="left" vertical="center" wrapText="1"/>
    </xf>
    <xf numFmtId="16" fontId="19" fillId="5" borderId="15" xfId="0" quotePrefix="1" applyNumberFormat="1" applyFont="1" applyFill="1" applyBorder="1" applyAlignment="1">
      <alignment horizontal="left" vertical="center" wrapText="1"/>
    </xf>
    <xf numFmtId="0" fontId="26" fillId="4" borderId="24" xfId="0" applyFont="1" applyFill="1" applyBorder="1" applyAlignment="1">
      <alignment horizontal="left" vertical="center" wrapText="1"/>
    </xf>
    <xf numFmtId="0" fontId="26" fillId="4" borderId="25" xfId="0" applyFont="1" applyFill="1" applyBorder="1" applyAlignment="1">
      <alignment horizontal="left" vertical="center" wrapText="1"/>
    </xf>
    <xf numFmtId="0" fontId="19" fillId="7" borderId="10" xfId="0" applyFont="1" applyFill="1" applyBorder="1" applyAlignment="1">
      <alignment horizontal="center" vertical="center"/>
    </xf>
    <xf numFmtId="0" fontId="19" fillId="7" borderId="11" xfId="0" applyFont="1" applyFill="1" applyBorder="1" applyAlignment="1">
      <alignment horizontal="center" vertical="center"/>
    </xf>
    <xf numFmtId="0" fontId="76" fillId="0" borderId="0" xfId="0" applyFont="1" applyBorder="1" applyAlignment="1">
      <alignment horizontal="center" vertical="center" wrapText="1"/>
    </xf>
    <xf numFmtId="0" fontId="26" fillId="4" borderId="26" xfId="0" applyFont="1" applyFill="1" applyBorder="1" applyAlignment="1">
      <alignment horizontal="left" vertical="center" wrapText="1"/>
    </xf>
    <xf numFmtId="0" fontId="68" fillId="0" borderId="14" xfId="0" applyFont="1" applyBorder="1" applyAlignment="1">
      <alignment horizontal="center"/>
    </xf>
    <xf numFmtId="0" fontId="19" fillId="7" borderId="10"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21" fillId="3" borderId="59"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14" fillId="0" borderId="10" xfId="0" applyFont="1" applyFill="1" applyBorder="1" applyAlignment="1">
      <alignment horizontal="center"/>
    </xf>
    <xf numFmtId="0" fontId="14" fillId="0" borderId="11" xfId="0" applyFont="1" applyFill="1" applyBorder="1" applyAlignment="1">
      <alignment horizontal="center"/>
    </xf>
    <xf numFmtId="0" fontId="14" fillId="0" borderId="27" xfId="0" applyFont="1" applyFill="1" applyBorder="1" applyAlignment="1">
      <alignment horizont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6"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22" fillId="0" borderId="0" xfId="0" applyFont="1" applyAlignment="1">
      <alignment horizontal="center" vertical="center" wrapText="1"/>
    </xf>
    <xf numFmtId="0" fontId="15" fillId="0" borderId="13" xfId="0" applyFont="1" applyBorder="1" applyAlignment="1">
      <alignment horizontal="center" vertical="center" wrapText="1"/>
    </xf>
    <xf numFmtId="0" fontId="15" fillId="0" borderId="16" xfId="0" applyFont="1" applyBorder="1" applyAlignment="1">
      <alignment horizontal="center" vertical="center" wrapText="1"/>
    </xf>
    <xf numFmtId="164" fontId="15" fillId="0" borderId="14" xfId="0" applyNumberFormat="1" applyFont="1" applyBorder="1" applyAlignment="1">
      <alignment horizontal="center" vertical="center" wrapText="1"/>
    </xf>
    <xf numFmtId="164" fontId="15" fillId="0" borderId="17" xfId="0" applyNumberFormat="1" applyFont="1" applyBorder="1" applyAlignment="1">
      <alignment horizontal="center" vertical="center" wrapText="1"/>
    </xf>
    <xf numFmtId="0" fontId="15" fillId="0" borderId="14"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8"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0" borderId="14" xfId="0" applyFont="1" applyFill="1" applyBorder="1" applyAlignment="1">
      <alignment horizontal="center"/>
    </xf>
    <xf numFmtId="0" fontId="14" fillId="0" borderId="15" xfId="0" applyFont="1" applyFill="1" applyBorder="1" applyAlignment="1">
      <alignment horizontal="center"/>
    </xf>
    <xf numFmtId="0" fontId="14" fillId="0" borderId="1" xfId="0" applyFont="1" applyFill="1" applyBorder="1" applyAlignment="1">
      <alignment horizontal="center"/>
    </xf>
    <xf numFmtId="0" fontId="14" fillId="0" borderId="2" xfId="0" applyFont="1" applyFill="1" applyBorder="1" applyAlignment="1">
      <alignment horizontal="center"/>
    </xf>
    <xf numFmtId="0" fontId="14" fillId="0" borderId="3" xfId="0" applyFont="1" applyFill="1" applyBorder="1" applyAlignment="1">
      <alignment horizontal="center"/>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48" fillId="0" borderId="13" xfId="0" applyFont="1" applyBorder="1" applyAlignment="1">
      <alignment horizontal="center" vertical="center" wrapText="1"/>
    </xf>
    <xf numFmtId="0" fontId="33" fillId="3" borderId="21" xfId="0" applyFont="1" applyFill="1" applyBorder="1" applyAlignment="1">
      <alignment horizontal="center" vertical="center" wrapText="1"/>
    </xf>
    <xf numFmtId="0" fontId="19" fillId="19" borderId="15" xfId="0" applyFont="1" applyFill="1" applyBorder="1" applyAlignment="1">
      <alignment horizontal="center" vertical="center"/>
    </xf>
    <xf numFmtId="0" fontId="19" fillId="19" borderId="25" xfId="0" applyFont="1" applyFill="1" applyBorder="1" applyAlignment="1">
      <alignment horizontal="center" vertical="center"/>
    </xf>
    <xf numFmtId="0" fontId="19" fillId="19" borderId="26" xfId="0" applyFont="1" applyFill="1" applyBorder="1" applyAlignment="1">
      <alignment horizontal="center" vertical="center"/>
    </xf>
    <xf numFmtId="0" fontId="71" fillId="0" borderId="0" xfId="0" applyFont="1" applyAlignment="1">
      <alignment horizontal="center" wrapText="1"/>
    </xf>
    <xf numFmtId="16" fontId="3" fillId="5" borderId="24" xfId="0" quotePrefix="1" applyNumberFormat="1" applyFont="1" applyFill="1" applyBorder="1" applyAlignment="1">
      <alignment horizontal="left"/>
    </xf>
    <xf numFmtId="16" fontId="3" fillId="5" borderId="25" xfId="0" quotePrefix="1" applyNumberFormat="1" applyFont="1" applyFill="1" applyBorder="1" applyAlignment="1">
      <alignment horizontal="left"/>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1" fillId="7" borderId="43" xfId="0" applyFont="1" applyFill="1" applyBorder="1" applyAlignment="1">
      <alignment horizontal="center"/>
    </xf>
    <xf numFmtId="0" fontId="6" fillId="22" borderId="10" xfId="0" applyFont="1" applyFill="1" applyBorder="1" applyAlignment="1">
      <alignment horizontal="left" vertical="center" wrapText="1"/>
    </xf>
    <xf numFmtId="0" fontId="6" fillId="22" borderId="11" xfId="0" applyFont="1" applyFill="1" applyBorder="1" applyAlignment="1">
      <alignment horizontal="left" vertical="center" wrapText="1"/>
    </xf>
    <xf numFmtId="0" fontId="6" fillId="22" borderId="27" xfId="0" applyFont="1" applyFill="1" applyBorder="1" applyAlignment="1">
      <alignment horizontal="left" vertical="center" wrapText="1"/>
    </xf>
    <xf numFmtId="0" fontId="5" fillId="19" borderId="19" xfId="0" applyFont="1" applyFill="1" applyBorder="1" applyAlignment="1">
      <alignment horizontal="left" vertical="center"/>
    </xf>
    <xf numFmtId="0" fontId="5" fillId="19" borderId="20" xfId="0" applyFont="1" applyFill="1" applyBorder="1" applyAlignment="1">
      <alignment horizontal="left" vertical="center"/>
    </xf>
    <xf numFmtId="0" fontId="5" fillId="19" borderId="28" xfId="0" applyFont="1" applyFill="1" applyBorder="1" applyAlignment="1">
      <alignment horizontal="left" vertical="center"/>
    </xf>
    <xf numFmtId="0" fontId="70" fillId="3" borderId="59" xfId="0" applyFont="1" applyFill="1" applyBorder="1" applyAlignment="1">
      <alignment horizontal="center" vertical="center" wrapText="1"/>
    </xf>
    <xf numFmtId="0" fontId="70" fillId="3" borderId="46" xfId="0" applyFont="1" applyFill="1" applyBorder="1" applyAlignment="1">
      <alignment horizontal="center" vertical="center" wrapText="1"/>
    </xf>
    <xf numFmtId="0" fontId="14" fillId="0" borderId="0" xfId="0" applyFont="1" applyFill="1" applyBorder="1" applyAlignment="1">
      <alignment horizontal="center" wrapText="1"/>
    </xf>
    <xf numFmtId="0" fontId="23" fillId="0" borderId="0" xfId="0" applyFont="1" applyAlignment="1">
      <alignment horizontal="right"/>
    </xf>
    <xf numFmtId="0" fontId="29" fillId="0" borderId="63"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14" fillId="0" borderId="0" xfId="0" applyFont="1" applyFill="1" applyBorder="1" applyAlignment="1">
      <alignment horizontal="left" wrapText="1"/>
    </xf>
    <xf numFmtId="0" fontId="14" fillId="0" borderId="19" xfId="0" applyFont="1" applyFill="1" applyBorder="1" applyAlignment="1">
      <alignment horizontal="center"/>
    </xf>
    <xf numFmtId="0" fontId="14" fillId="0" borderId="20" xfId="0" applyFont="1" applyFill="1" applyBorder="1" applyAlignment="1">
      <alignment horizont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2" xfId="0" applyFont="1" applyBorder="1" applyAlignment="1">
      <alignment horizontal="center" vertical="center" wrapText="1"/>
    </xf>
    <xf numFmtId="0" fontId="3" fillId="0" borderId="0" xfId="0" applyFont="1" applyAlignment="1">
      <alignment horizontal="left" wrapText="1"/>
    </xf>
    <xf numFmtId="0" fontId="39" fillId="0" borderId="0" xfId="0" applyFont="1" applyBorder="1" applyAlignment="1">
      <alignment horizontal="center" wrapText="1"/>
    </xf>
    <xf numFmtId="0" fontId="39" fillId="16" borderId="44" xfId="0" applyFont="1" applyFill="1" applyBorder="1" applyAlignment="1">
      <alignment horizontal="left" vertical="top" wrapText="1"/>
    </xf>
    <xf numFmtId="0" fontId="39" fillId="15" borderId="7" xfId="0" applyFont="1" applyFill="1" applyBorder="1" applyAlignment="1">
      <alignment horizontal="left" wrapText="1"/>
    </xf>
    <xf numFmtId="0" fontId="39" fillId="15" borderId="40" xfId="0" applyFont="1" applyFill="1" applyBorder="1" applyAlignment="1">
      <alignment horizontal="left"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45" xfId="0" applyFont="1" applyBorder="1" applyAlignment="1">
      <alignment horizontal="center" vertical="center" wrapText="1"/>
    </xf>
    <xf numFmtId="0" fontId="10" fillId="0" borderId="0" xfId="0" applyFont="1" applyAlignment="1">
      <alignment horizontal="left" wrapText="1"/>
    </xf>
    <xf numFmtId="0" fontId="18" fillId="20" borderId="15" xfId="0" applyFont="1" applyFill="1" applyBorder="1" applyAlignment="1">
      <alignment horizontal="right" wrapText="1"/>
    </xf>
    <xf numFmtId="0" fontId="18" fillId="20" borderId="34" xfId="0" applyFont="1" applyFill="1" applyBorder="1" applyAlignment="1">
      <alignment horizontal="right" wrapText="1"/>
    </xf>
    <xf numFmtId="0" fontId="47" fillId="0" borderId="2"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2" fillId="0" borderId="0" xfId="0" applyFont="1" applyFill="1" applyAlignment="1">
      <alignment horizontal="center"/>
    </xf>
    <xf numFmtId="0" fontId="47" fillId="0" borderId="58" xfId="0" applyFont="1" applyBorder="1" applyAlignment="1">
      <alignment horizontal="center" vertical="center" wrapText="1"/>
    </xf>
    <xf numFmtId="0" fontId="47" fillId="0" borderId="60" xfId="0" applyFont="1" applyBorder="1" applyAlignment="1">
      <alignment horizontal="center" vertical="center" wrapText="1"/>
    </xf>
    <xf numFmtId="4" fontId="47" fillId="0" borderId="58" xfId="0" applyNumberFormat="1" applyFont="1" applyBorder="1" applyAlignment="1">
      <alignment horizontal="center" vertical="center" wrapText="1"/>
    </xf>
    <xf numFmtId="4" fontId="47" fillId="0" borderId="60" xfId="0" applyNumberFormat="1" applyFont="1" applyBorder="1" applyAlignment="1">
      <alignment horizontal="center" vertical="center" wrapText="1"/>
    </xf>
    <xf numFmtId="0" fontId="47" fillId="0" borderId="56" xfId="0" applyFont="1" applyBorder="1" applyAlignment="1">
      <alignment horizontal="center" vertical="center" wrapText="1"/>
    </xf>
    <xf numFmtId="0" fontId="47" fillId="0" borderId="57"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6" xfId="0" applyFont="1" applyBorder="1" applyAlignment="1">
      <alignment horizontal="center" vertical="center" wrapText="1"/>
    </xf>
    <xf numFmtId="0" fontId="42" fillId="0" borderId="19" xfId="0" applyFont="1" applyFill="1" applyBorder="1" applyAlignment="1">
      <alignment horizontal="right" wrapText="1" readingOrder="1"/>
    </xf>
    <xf numFmtId="0" fontId="42" fillId="0" borderId="20" xfId="0" applyFont="1" applyFill="1" applyBorder="1" applyAlignment="1">
      <alignment horizontal="right" wrapText="1" readingOrder="1"/>
    </xf>
    <xf numFmtId="0" fontId="42" fillId="0" borderId="28" xfId="0" applyFont="1" applyFill="1" applyBorder="1" applyAlignment="1">
      <alignment horizontal="right" wrapText="1" readingOrder="1"/>
    </xf>
    <xf numFmtId="14" fontId="41" fillId="0" borderId="0" xfId="0" quotePrefix="1" applyNumberFormat="1" applyFont="1" applyAlignment="1">
      <alignment horizontal="left" wrapText="1"/>
    </xf>
    <xf numFmtId="0" fontId="42" fillId="5" borderId="24" xfId="0" applyFont="1" applyFill="1" applyBorder="1" applyAlignment="1">
      <alignment horizontal="left" vertical="center" wrapText="1"/>
    </xf>
    <xf numFmtId="3" fontId="42" fillId="25" borderId="19" xfId="0" applyNumberFormat="1" applyFont="1" applyFill="1" applyBorder="1" applyAlignment="1">
      <alignment horizontal="right" vertical="center" wrapText="1" readingOrder="1"/>
    </xf>
    <xf numFmtId="3" fontId="42" fillId="25" borderId="20" xfId="0" applyNumberFormat="1" applyFont="1" applyFill="1" applyBorder="1" applyAlignment="1">
      <alignment horizontal="right" vertical="center" wrapText="1" readingOrder="1"/>
    </xf>
  </cellXfs>
  <cellStyles count="14">
    <cellStyle name="Excel Built-in Normal" xfId="1" xr:uid="{00000000-0005-0000-0000-000000000000}"/>
    <cellStyle name="Normal" xfId="0" builtinId="0"/>
    <cellStyle name="Normal 2" xfId="4" xr:uid="{00000000-0005-0000-0000-000002000000}"/>
    <cellStyle name="Normal 2 2 2" xfId="7" xr:uid="{00000000-0005-0000-0000-000003000000}"/>
    <cellStyle name="Normal 2 2 2 2" xfId="11" xr:uid="{00000000-0005-0000-0000-000004000000}"/>
    <cellStyle name="Normal 2 3" xfId="8" xr:uid="{00000000-0005-0000-0000-000005000000}"/>
    <cellStyle name="Normal 28 7" xfId="13" xr:uid="{00000000-0005-0000-0000-000006000000}"/>
    <cellStyle name="Normal 3" xfId="12" xr:uid="{00000000-0005-0000-0000-000007000000}"/>
    <cellStyle name="Normal 4" xfId="10" xr:uid="{00000000-0005-0000-0000-000008000000}"/>
    <cellStyle name="Normal 5" xfId="9" xr:uid="{00000000-0005-0000-0000-000009000000}"/>
    <cellStyle name="Normal_Dažādi" xfId="5" xr:uid="{00000000-0005-0000-0000-00000A000000}"/>
    <cellStyle name="Normal_Sheet1" xfId="2" xr:uid="{00000000-0005-0000-0000-00000B000000}"/>
    <cellStyle name="Normal_Sheet1 2" xfId="6" xr:uid="{00000000-0005-0000-0000-00000C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direct_profiles/VM_Sandra_Kasparenko/My%20Documents/Budzets_2019/Budzeta_projekts/Prioritarie_pasakumi_2019-2021/VMvestp1_xx0818_PP_2019-2021%20PRO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H"/>
      <sheetName val="02_H"/>
      <sheetName val="01_P"/>
      <sheetName val="02_P"/>
      <sheetName val="03_P"/>
      <sheetName val="04_P"/>
      <sheetName val="05_P"/>
      <sheetName val="06_P"/>
      <sheetName val="07_P"/>
      <sheetName val="08_P"/>
      <sheetName val="09_P"/>
      <sheetName val="10_P"/>
      <sheetName val="11_P"/>
      <sheetName val="12_P"/>
      <sheetName val="13_P"/>
      <sheetName val="14_P"/>
      <sheetName val="15_P"/>
      <sheetName val="16_P"/>
      <sheetName val="17_P"/>
      <sheetName val="18_P"/>
      <sheetName val="19_P"/>
      <sheetName val="20_P"/>
      <sheetName val="21_P"/>
      <sheetName val="22_P"/>
      <sheetName val="23_P"/>
      <sheetName val="24_P"/>
      <sheetName val="25_P"/>
      <sheetName val="26_P"/>
      <sheetName val="27_P"/>
      <sheetName val="28_P"/>
      <sheetName val="29_P"/>
      <sheetName val="30_P"/>
      <sheetName val="31_P"/>
      <sheetName val="32_P"/>
      <sheetName val="33_P"/>
      <sheetName val="34_P"/>
      <sheetName val="35_P"/>
      <sheetName val="36_P"/>
      <sheetName val="37_P"/>
      <sheetName val="38_P"/>
      <sheetName val="39_P"/>
      <sheetName val="40_P"/>
      <sheetName val="41_P"/>
      <sheetName val="42_P"/>
      <sheetName val="43_P"/>
      <sheetName val="44_P"/>
      <sheetName val="45_P"/>
      <sheetName val="46_P"/>
      <sheetName val="46_P (2)"/>
      <sheetName val="46_P (3)"/>
      <sheetName val="47_P"/>
      <sheetName val="48_P"/>
      <sheetName val="49_P"/>
      <sheetName val="KOPĀ"/>
      <sheetName val="Šablo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N57"/>
  <sheetViews>
    <sheetView topLeftCell="A2" workbookViewId="0">
      <selection activeCell="O25" sqref="O25"/>
    </sheetView>
  </sheetViews>
  <sheetFormatPr defaultColWidth="8.85546875" defaultRowHeight="12.75" x14ac:dyDescent="0.2"/>
  <cols>
    <col min="1" max="4" width="8.85546875" style="237" customWidth="1"/>
    <col min="5" max="5" width="8.85546875" style="237"/>
    <col min="6" max="6" width="12" style="237" customWidth="1"/>
    <col min="7" max="10" width="11.7109375" style="237" bestFit="1" customWidth="1"/>
    <col min="11" max="16384" width="8.85546875" style="237"/>
  </cols>
  <sheetData>
    <row r="1" spans="1:14" hidden="1" x14ac:dyDescent="0.2">
      <c r="B1" s="236" t="s">
        <v>538</v>
      </c>
      <c r="C1" s="236" t="s">
        <v>539</v>
      </c>
    </row>
    <row r="2" spans="1:14" ht="15.75" customHeight="1" x14ac:dyDescent="0.2">
      <c r="A2" s="300"/>
      <c r="B2" s="300"/>
      <c r="C2" s="300"/>
      <c r="D2" s="300"/>
      <c r="E2" s="300"/>
    </row>
    <row r="3" spans="1:14" ht="13.5" customHeight="1" x14ac:dyDescent="0.2">
      <c r="A3" s="300"/>
      <c r="B3" s="238"/>
      <c r="C3" s="238"/>
      <c r="D3" s="238"/>
      <c r="E3" s="300"/>
    </row>
    <row r="4" spans="1:14" ht="13.5" customHeight="1" x14ac:dyDescent="0.2">
      <c r="A4" s="300"/>
      <c r="B4" s="300"/>
      <c r="C4" s="300"/>
      <c r="D4" s="300"/>
      <c r="E4" s="300"/>
    </row>
    <row r="5" spans="1:14" ht="18.75" customHeight="1" x14ac:dyDescent="0.25">
      <c r="A5" s="300"/>
      <c r="B5" s="302"/>
      <c r="C5" s="302"/>
      <c r="D5" s="302"/>
      <c r="E5" s="300"/>
    </row>
    <row r="6" spans="1:14" ht="12.75" customHeight="1" x14ac:dyDescent="0.25">
      <c r="A6" s="300"/>
      <c r="B6" s="302"/>
      <c r="C6" s="302"/>
      <c r="D6" s="302"/>
      <c r="E6" s="300"/>
    </row>
    <row r="7" spans="1:14" x14ac:dyDescent="0.2">
      <c r="A7" s="301"/>
      <c r="B7" s="300"/>
      <c r="C7" s="300"/>
      <c r="D7" s="300"/>
      <c r="E7" s="300"/>
    </row>
    <row r="8" spans="1:14" ht="61.5" customHeight="1" x14ac:dyDescent="0.2">
      <c r="A8" s="240"/>
      <c r="B8" s="240"/>
      <c r="C8" s="240"/>
      <c r="D8" s="240"/>
      <c r="E8" s="300"/>
      <c r="F8" s="494" t="s">
        <v>621</v>
      </c>
    </row>
    <row r="9" spans="1:14" x14ac:dyDescent="0.2">
      <c r="A9" s="240"/>
      <c r="B9" s="303"/>
      <c r="C9" s="303"/>
      <c r="D9" s="240"/>
      <c r="E9" s="304"/>
    </row>
    <row r="10" spans="1:14" ht="15.75" customHeight="1" x14ac:dyDescent="0.2">
      <c r="A10" s="891" t="s">
        <v>623</v>
      </c>
      <c r="B10" s="891"/>
      <c r="C10" s="891"/>
      <c r="D10" s="891"/>
      <c r="E10" s="891"/>
      <c r="F10" s="491">
        <v>0.1</v>
      </c>
      <c r="G10" s="889" t="s">
        <v>627</v>
      </c>
      <c r="H10" s="889"/>
      <c r="I10" s="889"/>
      <c r="J10" s="888" t="s">
        <v>626</v>
      </c>
      <c r="K10" s="888"/>
      <c r="L10" s="888"/>
      <c r="M10" s="888"/>
      <c r="N10" s="888"/>
    </row>
    <row r="11" spans="1:14" s="241" customFormat="1" ht="13.5" customHeight="1" x14ac:dyDescent="0.2">
      <c r="A11" s="891"/>
      <c r="B11" s="891"/>
      <c r="C11" s="891"/>
      <c r="D11" s="891"/>
      <c r="E11" s="891"/>
      <c r="F11" s="491"/>
      <c r="G11" s="889"/>
      <c r="H11" s="889"/>
      <c r="I11" s="889"/>
      <c r="J11" s="888"/>
      <c r="K11" s="888"/>
      <c r="L11" s="888"/>
      <c r="M11" s="888"/>
      <c r="N11" s="888"/>
    </row>
    <row r="12" spans="1:14" s="242" customFormat="1" ht="13.5" customHeight="1" x14ac:dyDescent="0.2">
      <c r="A12" s="891"/>
      <c r="B12" s="891"/>
      <c r="C12" s="891"/>
      <c r="D12" s="891"/>
      <c r="E12" s="891"/>
      <c r="F12" s="491"/>
      <c r="G12" s="889"/>
      <c r="H12" s="889"/>
      <c r="I12" s="889"/>
      <c r="J12" s="888"/>
      <c r="K12" s="888"/>
      <c r="L12" s="888"/>
      <c r="M12" s="888"/>
      <c r="N12" s="888"/>
    </row>
    <row r="13" spans="1:14" ht="13.5" customHeight="1" x14ac:dyDescent="0.2">
      <c r="J13" s="888"/>
      <c r="K13" s="888"/>
      <c r="L13" s="888"/>
      <c r="M13" s="888"/>
      <c r="N13" s="888"/>
    </row>
    <row r="14" spans="1:14" s="241" customFormat="1" ht="30.75" customHeight="1" x14ac:dyDescent="0.2">
      <c r="A14" s="891" t="s">
        <v>622</v>
      </c>
      <c r="B14" s="891"/>
      <c r="C14" s="891"/>
      <c r="D14" s="891"/>
      <c r="E14" s="891"/>
      <c r="F14" s="491">
        <v>0.1</v>
      </c>
      <c r="G14" s="890" t="s">
        <v>625</v>
      </c>
      <c r="H14" s="890"/>
      <c r="I14" s="890"/>
      <c r="J14" s="888"/>
      <c r="K14" s="888"/>
      <c r="L14" s="888"/>
      <c r="M14" s="888"/>
      <c r="N14" s="888"/>
    </row>
    <row r="15" spans="1:14" s="244" customFormat="1" ht="13.5" customHeight="1" x14ac:dyDescent="0.2">
      <c r="A15" s="891"/>
      <c r="B15" s="891"/>
      <c r="C15" s="891"/>
      <c r="D15" s="891"/>
      <c r="E15" s="891"/>
      <c r="F15" s="491"/>
      <c r="G15" s="890"/>
      <c r="H15" s="890"/>
      <c r="I15" s="890"/>
      <c r="J15" s="888"/>
      <c r="K15" s="888"/>
      <c r="L15" s="888"/>
      <c r="M15" s="888"/>
      <c r="N15" s="888"/>
    </row>
    <row r="16" spans="1:14" s="244" customFormat="1" ht="13.5" customHeight="1" x14ac:dyDescent="0.2">
      <c r="A16" s="243"/>
      <c r="B16" s="306"/>
      <c r="C16" s="306"/>
      <c r="D16" s="307"/>
      <c r="E16" s="308"/>
    </row>
    <row r="17" spans="1:7" s="249" customFormat="1" ht="30.75" customHeight="1" x14ac:dyDescent="0.2">
      <c r="A17" s="248"/>
      <c r="B17" s="305"/>
      <c r="C17" s="305"/>
      <c r="D17" s="305"/>
      <c r="E17" s="312"/>
    </row>
    <row r="18" spans="1:7" s="249" customFormat="1" x14ac:dyDescent="0.2">
      <c r="A18" s="248"/>
      <c r="B18" s="305"/>
      <c r="C18" s="305"/>
      <c r="D18" s="305"/>
      <c r="E18" s="312"/>
    </row>
    <row r="19" spans="1:7" s="249" customFormat="1" ht="28.5" customHeight="1" x14ac:dyDescent="0.2">
      <c r="A19" s="248"/>
      <c r="B19" s="311"/>
      <c r="C19" s="311"/>
      <c r="D19" s="311"/>
      <c r="E19" s="312"/>
    </row>
    <row r="20" spans="1:7" s="249" customFormat="1" x14ac:dyDescent="0.2">
      <c r="A20" s="248"/>
      <c r="B20" s="310"/>
      <c r="C20" s="310"/>
      <c r="D20" s="310"/>
      <c r="E20" s="312"/>
    </row>
    <row r="21" spans="1:7" ht="27" customHeight="1" x14ac:dyDescent="0.2">
      <c r="A21" s="250"/>
      <c r="B21" s="305"/>
      <c r="C21" s="305"/>
      <c r="D21" s="305"/>
      <c r="E21" s="300"/>
    </row>
    <row r="22" spans="1:7" ht="13.5" customHeight="1" x14ac:dyDescent="0.2">
      <c r="A22" s="250"/>
      <c r="B22" s="311"/>
      <c r="C22" s="311"/>
      <c r="D22" s="311"/>
      <c r="E22" s="300"/>
    </row>
    <row r="23" spans="1:7" s="247" customFormat="1" ht="12" x14ac:dyDescent="0.2">
      <c r="A23" s="245"/>
      <c r="B23" s="310"/>
      <c r="C23" s="310"/>
      <c r="D23" s="310"/>
      <c r="E23" s="309"/>
      <c r="F23" s="246"/>
      <c r="G23" s="246"/>
    </row>
    <row r="24" spans="1:7" ht="13.5" customHeight="1" x14ac:dyDescent="0.2">
      <c r="A24" s="250"/>
      <c r="B24" s="311"/>
      <c r="C24" s="311"/>
      <c r="D24" s="311"/>
      <c r="E24" s="300"/>
    </row>
    <row r="25" spans="1:7" s="247" customFormat="1" ht="12" x14ac:dyDescent="0.2">
      <c r="A25" s="245"/>
      <c r="B25" s="310"/>
      <c r="C25" s="310"/>
      <c r="D25" s="310"/>
      <c r="E25" s="309"/>
      <c r="F25" s="246"/>
      <c r="G25" s="246"/>
    </row>
    <row r="26" spans="1:7" ht="13.5" customHeight="1" x14ac:dyDescent="0.2">
      <c r="A26" s="250"/>
      <c r="B26" s="311"/>
      <c r="C26" s="311"/>
      <c r="D26" s="311"/>
      <c r="E26" s="300"/>
    </row>
    <row r="27" spans="1:7" s="247" customFormat="1" ht="12" x14ac:dyDescent="0.2">
      <c r="A27" s="245"/>
      <c r="B27" s="310"/>
      <c r="C27" s="310"/>
      <c r="D27" s="310"/>
      <c r="E27" s="309"/>
      <c r="F27" s="246"/>
      <c r="G27" s="246"/>
    </row>
    <row r="28" spans="1:7" ht="13.5" customHeight="1" x14ac:dyDescent="0.2">
      <c r="A28" s="250"/>
      <c r="B28" s="311"/>
      <c r="C28" s="311"/>
      <c r="D28" s="311"/>
      <c r="E28" s="300"/>
    </row>
    <row r="29" spans="1:7" s="247" customFormat="1" ht="12" x14ac:dyDescent="0.2">
      <c r="A29" s="245"/>
      <c r="B29" s="310"/>
      <c r="C29" s="310"/>
      <c r="D29" s="310"/>
      <c r="E29" s="309"/>
      <c r="F29" s="246"/>
      <c r="G29" s="246"/>
    </row>
    <row r="30" spans="1:7" s="249" customFormat="1" ht="13.5" customHeight="1" x14ac:dyDescent="0.2">
      <c r="A30" s="248"/>
      <c r="B30" s="305"/>
      <c r="C30" s="305"/>
      <c r="D30" s="305"/>
      <c r="E30" s="312"/>
    </row>
    <row r="31" spans="1:7" ht="29.25" customHeight="1" x14ac:dyDescent="0.2">
      <c r="A31" s="250"/>
      <c r="B31" s="311"/>
      <c r="C31" s="311"/>
      <c r="D31" s="311"/>
      <c r="E31" s="300"/>
    </row>
    <row r="32" spans="1:7" s="247" customFormat="1" ht="12" x14ac:dyDescent="0.2">
      <c r="A32" s="245"/>
      <c r="B32" s="310"/>
      <c r="C32" s="310"/>
      <c r="D32" s="310"/>
      <c r="E32" s="309"/>
      <c r="F32" s="246"/>
      <c r="G32" s="246"/>
    </row>
    <row r="33" spans="1:7" ht="17.25" customHeight="1" x14ac:dyDescent="0.2">
      <c r="A33" s="250"/>
      <c r="B33" s="311"/>
      <c r="C33" s="311"/>
      <c r="D33" s="311"/>
      <c r="E33" s="300"/>
    </row>
    <row r="34" spans="1:7" s="247" customFormat="1" ht="12" x14ac:dyDescent="0.2">
      <c r="A34" s="245"/>
      <c r="B34" s="310"/>
      <c r="C34" s="310"/>
      <c r="D34" s="310"/>
      <c r="E34" s="309"/>
      <c r="F34" s="251"/>
      <c r="G34" s="246"/>
    </row>
    <row r="35" spans="1:7" ht="41.25" customHeight="1" x14ac:dyDescent="0.2">
      <c r="A35" s="250"/>
      <c r="B35" s="311"/>
      <c r="C35" s="311"/>
      <c r="D35" s="311"/>
      <c r="E35" s="300"/>
    </row>
    <row r="36" spans="1:7" s="247" customFormat="1" ht="12" x14ac:dyDescent="0.2">
      <c r="A36" s="245"/>
      <c r="B36" s="310"/>
      <c r="C36" s="310"/>
      <c r="D36" s="310"/>
      <c r="E36" s="309"/>
      <c r="F36" s="246"/>
      <c r="G36" s="246"/>
    </row>
    <row r="37" spans="1:7" ht="27.75" customHeight="1" x14ac:dyDescent="0.2">
      <c r="A37" s="250"/>
      <c r="B37" s="311"/>
      <c r="C37" s="311"/>
      <c r="D37" s="311"/>
      <c r="E37" s="300"/>
    </row>
    <row r="38" spans="1:7" s="247" customFormat="1" ht="12" x14ac:dyDescent="0.2">
      <c r="A38" s="245"/>
      <c r="B38" s="310"/>
      <c r="C38" s="310"/>
      <c r="D38" s="310"/>
      <c r="E38" s="309"/>
      <c r="F38" s="246"/>
      <c r="G38" s="246"/>
    </row>
    <row r="39" spans="1:7" ht="27.75" customHeight="1" x14ac:dyDescent="0.2">
      <c r="A39" s="250"/>
      <c r="B39" s="311"/>
      <c r="C39" s="311"/>
      <c r="D39" s="311"/>
      <c r="E39" s="300"/>
    </row>
    <row r="40" spans="1:7" ht="13.5" customHeight="1" x14ac:dyDescent="0.2">
      <c r="A40" s="250"/>
      <c r="B40" s="313"/>
      <c r="C40" s="313"/>
      <c r="D40" s="313"/>
      <c r="E40" s="300"/>
    </row>
    <row r="41" spans="1:7" ht="13.5" customHeight="1" x14ac:dyDescent="0.2">
      <c r="A41" s="250"/>
      <c r="B41" s="311"/>
      <c r="C41" s="311"/>
      <c r="D41" s="311"/>
      <c r="E41" s="300"/>
    </row>
    <row r="42" spans="1:7" s="247" customFormat="1" ht="12" x14ac:dyDescent="0.2">
      <c r="A42" s="245"/>
      <c r="B42" s="310"/>
      <c r="C42" s="310"/>
      <c r="D42" s="310"/>
      <c r="E42" s="309"/>
      <c r="F42" s="246"/>
      <c r="G42" s="246"/>
    </row>
    <row r="43" spans="1:7" s="249" customFormat="1" ht="13.5" customHeight="1" x14ac:dyDescent="0.2">
      <c r="A43" s="248"/>
      <c r="B43" s="313"/>
      <c r="C43" s="313"/>
      <c r="D43" s="313"/>
      <c r="E43" s="312"/>
    </row>
    <row r="44" spans="1:7" ht="13.5" customHeight="1" x14ac:dyDescent="0.2">
      <c r="A44" s="300"/>
      <c r="B44" s="311"/>
      <c r="C44" s="311"/>
      <c r="D44" s="311"/>
      <c r="E44" s="300"/>
    </row>
    <row r="45" spans="1:7" s="247" customFormat="1" ht="12" x14ac:dyDescent="0.2">
      <c r="A45" s="245"/>
      <c r="B45" s="310"/>
      <c r="C45" s="310"/>
      <c r="D45" s="310"/>
      <c r="E45" s="309"/>
      <c r="F45" s="246"/>
      <c r="G45" s="246"/>
    </row>
    <row r="46" spans="1:7" ht="13.5" customHeight="1" x14ac:dyDescent="0.2">
      <c r="A46" s="300"/>
      <c r="B46" s="311"/>
      <c r="C46" s="311"/>
      <c r="D46" s="311"/>
      <c r="E46" s="300"/>
    </row>
    <row r="47" spans="1:7" s="247" customFormat="1" ht="12" x14ac:dyDescent="0.2">
      <c r="A47" s="245"/>
      <c r="B47" s="310"/>
      <c r="C47" s="310"/>
      <c r="D47" s="310"/>
      <c r="E47" s="309"/>
      <c r="F47" s="246"/>
      <c r="G47" s="246"/>
    </row>
    <row r="48" spans="1:7" ht="13.5" customHeight="1" x14ac:dyDescent="0.2">
      <c r="A48" s="300"/>
      <c r="B48" s="311"/>
      <c r="C48" s="311"/>
      <c r="D48" s="311"/>
      <c r="E48" s="300"/>
    </row>
    <row r="49" spans="1:7" s="247" customFormat="1" ht="12" x14ac:dyDescent="0.2">
      <c r="A49" s="245"/>
      <c r="B49" s="310"/>
      <c r="C49" s="310"/>
      <c r="D49" s="310"/>
      <c r="E49" s="309"/>
      <c r="F49" s="246"/>
      <c r="G49" s="246"/>
    </row>
    <row r="50" spans="1:7" x14ac:dyDescent="0.2">
      <c r="A50" s="300"/>
      <c r="B50" s="300"/>
      <c r="C50" s="300"/>
      <c r="D50" s="300"/>
      <c r="E50" s="300"/>
    </row>
    <row r="51" spans="1:7" x14ac:dyDescent="0.2">
      <c r="A51" s="300"/>
      <c r="B51" s="300"/>
      <c r="C51" s="300"/>
      <c r="D51" s="300"/>
      <c r="E51" s="300"/>
    </row>
    <row r="52" spans="1:7" x14ac:dyDescent="0.2">
      <c r="A52" s="300"/>
      <c r="B52" s="300"/>
      <c r="C52" s="301"/>
      <c r="D52" s="301"/>
      <c r="E52" s="300"/>
    </row>
    <row r="53" spans="1:7" x14ac:dyDescent="0.2">
      <c r="B53" s="239"/>
    </row>
    <row r="54" spans="1:7" x14ac:dyDescent="0.2">
      <c r="B54" s="239"/>
      <c r="C54" s="239"/>
      <c r="D54" s="239"/>
    </row>
    <row r="55" spans="1:7" x14ac:dyDescent="0.2">
      <c r="B55" s="239"/>
      <c r="D55" s="239"/>
    </row>
    <row r="56" spans="1:7" x14ac:dyDescent="0.2">
      <c r="B56" s="239"/>
    </row>
    <row r="57" spans="1:7" x14ac:dyDescent="0.2">
      <c r="A57" s="239"/>
    </row>
  </sheetData>
  <mergeCells count="5">
    <mergeCell ref="J10:N15"/>
    <mergeCell ref="G10:I12"/>
    <mergeCell ref="G14:I15"/>
    <mergeCell ref="A10:E12"/>
    <mergeCell ref="A14:E15"/>
  </mergeCells>
  <dataValidations count="1">
    <dataValidation type="whole" errorStyle="information" allowBlank="1" showInputMessage="1" showErrorMessage="1" error="Jāievada skaitlis" sqref="A10 A14 B16:D49" xr:uid="{00000000-0002-0000-0000-000000000000}">
      <formula1>-100000000000000</formula1>
      <formula2>100000000000000</formula2>
    </dataValidation>
  </dataValidations>
  <pageMargins left="0.70866141732283472" right="0.70866141732283472" top="0.74803149606299213" bottom="0.74803149606299213" header="0.31496062992125984" footer="0.31496062992125984"/>
  <pageSetup paperSize="9" scale="80" orientation="landscape"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iespējama kļūda" prompt="Izvēlieties no saraksta iestādi" xr:uid="{00000000-0002-0000-0000-000001000000}">
          <x14:formula1>
            <xm:f>'\\vnozare.pri\vm\Redirect_profiles\VM_Sandra_Kasparenko\My Documents\Budzets_2019\Budzeta_projekts\Prioritarie_pasakumi_2019-2021\[VMvestp1_xx0818_PP_2019-2021 PROJ.xlsx]Šabloni'!#REF!</xm:f>
          </x14:formula1>
          <xm:sqref>B4:C4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T37"/>
  <sheetViews>
    <sheetView topLeftCell="A19" zoomScale="90" zoomScaleNormal="90" workbookViewId="0">
      <selection activeCell="L35" sqref="L35"/>
    </sheetView>
  </sheetViews>
  <sheetFormatPr defaultRowHeight="12.75" x14ac:dyDescent="0.2"/>
  <cols>
    <col min="1" max="1" width="9.7109375" style="389" customWidth="1"/>
    <col min="2" max="2" width="34" style="256" customWidth="1"/>
    <col min="3" max="3" width="15.5703125" style="256" customWidth="1"/>
    <col min="4" max="4" width="18" style="256" customWidth="1"/>
    <col min="5" max="5" width="15.5703125" style="256" customWidth="1"/>
    <col min="6" max="6" width="9.140625" style="256"/>
    <col min="7" max="8" width="27.85546875" style="256" customWidth="1"/>
    <col min="9" max="254" width="9.140625" style="256"/>
    <col min="255" max="255" width="9.7109375" style="256" customWidth="1"/>
    <col min="256" max="256" width="34" style="256" customWidth="1"/>
    <col min="257" max="260" width="15.5703125" style="256" customWidth="1"/>
    <col min="261" max="261" width="9.140625" style="256"/>
    <col min="262" max="264" width="27.85546875" style="256" customWidth="1"/>
    <col min="265" max="510" width="9.140625" style="256"/>
    <col min="511" max="511" width="9.7109375" style="256" customWidth="1"/>
    <col min="512" max="512" width="34" style="256" customWidth="1"/>
    <col min="513" max="516" width="15.5703125" style="256" customWidth="1"/>
    <col min="517" max="517" width="9.140625" style="256"/>
    <col min="518" max="520" width="27.85546875" style="256" customWidth="1"/>
    <col min="521" max="766" width="9.140625" style="256"/>
    <col min="767" max="767" width="9.7109375" style="256" customWidth="1"/>
    <col min="768" max="768" width="34" style="256" customWidth="1"/>
    <col min="769" max="772" width="15.5703125" style="256" customWidth="1"/>
    <col min="773" max="773" width="9.140625" style="256"/>
    <col min="774" max="776" width="27.85546875" style="256" customWidth="1"/>
    <col min="777" max="1022" width="9.140625" style="256"/>
    <col min="1023" max="1023" width="9.7109375" style="256" customWidth="1"/>
    <col min="1024" max="1024" width="34" style="256" customWidth="1"/>
    <col min="1025" max="1028" width="15.5703125" style="256" customWidth="1"/>
    <col min="1029" max="1029" width="9.140625" style="256"/>
    <col min="1030" max="1032" width="27.85546875" style="256" customWidth="1"/>
    <col min="1033" max="1278" width="9.140625" style="256"/>
    <col min="1279" max="1279" width="9.7109375" style="256" customWidth="1"/>
    <col min="1280" max="1280" width="34" style="256" customWidth="1"/>
    <col min="1281" max="1284" width="15.5703125" style="256" customWidth="1"/>
    <col min="1285" max="1285" width="9.140625" style="256"/>
    <col min="1286" max="1288" width="27.85546875" style="256" customWidth="1"/>
    <col min="1289" max="1534" width="9.140625" style="256"/>
    <col min="1535" max="1535" width="9.7109375" style="256" customWidth="1"/>
    <col min="1536" max="1536" width="34" style="256" customWidth="1"/>
    <col min="1537" max="1540" width="15.5703125" style="256" customWidth="1"/>
    <col min="1541" max="1541" width="9.140625" style="256"/>
    <col min="1542" max="1544" width="27.85546875" style="256" customWidth="1"/>
    <col min="1545" max="1790" width="9.140625" style="256"/>
    <col min="1791" max="1791" width="9.7109375" style="256" customWidth="1"/>
    <col min="1792" max="1792" width="34" style="256" customWidth="1"/>
    <col min="1793" max="1796" width="15.5703125" style="256" customWidth="1"/>
    <col min="1797" max="1797" width="9.140625" style="256"/>
    <col min="1798" max="1800" width="27.85546875" style="256" customWidth="1"/>
    <col min="1801" max="2046" width="9.140625" style="256"/>
    <col min="2047" max="2047" width="9.7109375" style="256" customWidth="1"/>
    <col min="2048" max="2048" width="34" style="256" customWidth="1"/>
    <col min="2049" max="2052" width="15.5703125" style="256" customWidth="1"/>
    <col min="2053" max="2053" width="9.140625" style="256"/>
    <col min="2054" max="2056" width="27.85546875" style="256" customWidth="1"/>
    <col min="2057" max="2302" width="9.140625" style="256"/>
    <col min="2303" max="2303" width="9.7109375" style="256" customWidth="1"/>
    <col min="2304" max="2304" width="34" style="256" customWidth="1"/>
    <col min="2305" max="2308" width="15.5703125" style="256" customWidth="1"/>
    <col min="2309" max="2309" width="9.140625" style="256"/>
    <col min="2310" max="2312" width="27.85546875" style="256" customWidth="1"/>
    <col min="2313" max="2558" width="9.140625" style="256"/>
    <col min="2559" max="2559" width="9.7109375" style="256" customWidth="1"/>
    <col min="2560" max="2560" width="34" style="256" customWidth="1"/>
    <col min="2561" max="2564" width="15.5703125" style="256" customWidth="1"/>
    <col min="2565" max="2565" width="9.140625" style="256"/>
    <col min="2566" max="2568" width="27.85546875" style="256" customWidth="1"/>
    <col min="2569" max="2814" width="9.140625" style="256"/>
    <col min="2815" max="2815" width="9.7109375" style="256" customWidth="1"/>
    <col min="2816" max="2816" width="34" style="256" customWidth="1"/>
    <col min="2817" max="2820" width="15.5703125" style="256" customWidth="1"/>
    <col min="2821" max="2821" width="9.140625" style="256"/>
    <col min="2822" max="2824" width="27.85546875" style="256" customWidth="1"/>
    <col min="2825" max="3070" width="9.140625" style="256"/>
    <col min="3071" max="3071" width="9.7109375" style="256" customWidth="1"/>
    <col min="3072" max="3072" width="34" style="256" customWidth="1"/>
    <col min="3073" max="3076" width="15.5703125" style="256" customWidth="1"/>
    <col min="3077" max="3077" width="9.140625" style="256"/>
    <col min="3078" max="3080" width="27.85546875" style="256" customWidth="1"/>
    <col min="3081" max="3326" width="9.140625" style="256"/>
    <col min="3327" max="3327" width="9.7109375" style="256" customWidth="1"/>
    <col min="3328" max="3328" width="34" style="256" customWidth="1"/>
    <col min="3329" max="3332" width="15.5703125" style="256" customWidth="1"/>
    <col min="3333" max="3333" width="9.140625" style="256"/>
    <col min="3334" max="3336" width="27.85546875" style="256" customWidth="1"/>
    <col min="3337" max="3582" width="9.140625" style="256"/>
    <col min="3583" max="3583" width="9.7109375" style="256" customWidth="1"/>
    <col min="3584" max="3584" width="34" style="256" customWidth="1"/>
    <col min="3585" max="3588" width="15.5703125" style="256" customWidth="1"/>
    <col min="3589" max="3589" width="9.140625" style="256"/>
    <col min="3590" max="3592" width="27.85546875" style="256" customWidth="1"/>
    <col min="3593" max="3838" width="9.140625" style="256"/>
    <col min="3839" max="3839" width="9.7109375" style="256" customWidth="1"/>
    <col min="3840" max="3840" width="34" style="256" customWidth="1"/>
    <col min="3841" max="3844" width="15.5703125" style="256" customWidth="1"/>
    <col min="3845" max="3845" width="9.140625" style="256"/>
    <col min="3846" max="3848" width="27.85546875" style="256" customWidth="1"/>
    <col min="3849" max="4094" width="9.140625" style="256"/>
    <col min="4095" max="4095" width="9.7109375" style="256" customWidth="1"/>
    <col min="4096" max="4096" width="34" style="256" customWidth="1"/>
    <col min="4097" max="4100" width="15.5703125" style="256" customWidth="1"/>
    <col min="4101" max="4101" width="9.140625" style="256"/>
    <col min="4102" max="4104" width="27.85546875" style="256" customWidth="1"/>
    <col min="4105" max="4350" width="9.140625" style="256"/>
    <col min="4351" max="4351" width="9.7109375" style="256" customWidth="1"/>
    <col min="4352" max="4352" width="34" style="256" customWidth="1"/>
    <col min="4353" max="4356" width="15.5703125" style="256" customWidth="1"/>
    <col min="4357" max="4357" width="9.140625" style="256"/>
    <col min="4358" max="4360" width="27.85546875" style="256" customWidth="1"/>
    <col min="4361" max="4606" width="9.140625" style="256"/>
    <col min="4607" max="4607" width="9.7109375" style="256" customWidth="1"/>
    <col min="4608" max="4608" width="34" style="256" customWidth="1"/>
    <col min="4609" max="4612" width="15.5703125" style="256" customWidth="1"/>
    <col min="4613" max="4613" width="9.140625" style="256"/>
    <col min="4614" max="4616" width="27.85546875" style="256" customWidth="1"/>
    <col min="4617" max="4862" width="9.140625" style="256"/>
    <col min="4863" max="4863" width="9.7109375" style="256" customWidth="1"/>
    <col min="4864" max="4864" width="34" style="256" customWidth="1"/>
    <col min="4865" max="4868" width="15.5703125" style="256" customWidth="1"/>
    <col min="4869" max="4869" width="9.140625" style="256"/>
    <col min="4870" max="4872" width="27.85546875" style="256" customWidth="1"/>
    <col min="4873" max="5118" width="9.140625" style="256"/>
    <col min="5119" max="5119" width="9.7109375" style="256" customWidth="1"/>
    <col min="5120" max="5120" width="34" style="256" customWidth="1"/>
    <col min="5121" max="5124" width="15.5703125" style="256" customWidth="1"/>
    <col min="5125" max="5125" width="9.140625" style="256"/>
    <col min="5126" max="5128" width="27.85546875" style="256" customWidth="1"/>
    <col min="5129" max="5374" width="9.140625" style="256"/>
    <col min="5375" max="5375" width="9.7109375" style="256" customWidth="1"/>
    <col min="5376" max="5376" width="34" style="256" customWidth="1"/>
    <col min="5377" max="5380" width="15.5703125" style="256" customWidth="1"/>
    <col min="5381" max="5381" width="9.140625" style="256"/>
    <col min="5382" max="5384" width="27.85546875" style="256" customWidth="1"/>
    <col min="5385" max="5630" width="9.140625" style="256"/>
    <col min="5631" max="5631" width="9.7109375" style="256" customWidth="1"/>
    <col min="5632" max="5632" width="34" style="256" customWidth="1"/>
    <col min="5633" max="5636" width="15.5703125" style="256" customWidth="1"/>
    <col min="5637" max="5637" width="9.140625" style="256"/>
    <col min="5638" max="5640" width="27.85546875" style="256" customWidth="1"/>
    <col min="5641" max="5886" width="9.140625" style="256"/>
    <col min="5887" max="5887" width="9.7109375" style="256" customWidth="1"/>
    <col min="5888" max="5888" width="34" style="256" customWidth="1"/>
    <col min="5889" max="5892" width="15.5703125" style="256" customWidth="1"/>
    <col min="5893" max="5893" width="9.140625" style="256"/>
    <col min="5894" max="5896" width="27.85546875" style="256" customWidth="1"/>
    <col min="5897" max="6142" width="9.140625" style="256"/>
    <col min="6143" max="6143" width="9.7109375" style="256" customWidth="1"/>
    <col min="6144" max="6144" width="34" style="256" customWidth="1"/>
    <col min="6145" max="6148" width="15.5703125" style="256" customWidth="1"/>
    <col min="6149" max="6149" width="9.140625" style="256"/>
    <col min="6150" max="6152" width="27.85546875" style="256" customWidth="1"/>
    <col min="6153" max="6398" width="9.140625" style="256"/>
    <col min="6399" max="6399" width="9.7109375" style="256" customWidth="1"/>
    <col min="6400" max="6400" width="34" style="256" customWidth="1"/>
    <col min="6401" max="6404" width="15.5703125" style="256" customWidth="1"/>
    <col min="6405" max="6405" width="9.140625" style="256"/>
    <col min="6406" max="6408" width="27.85546875" style="256" customWidth="1"/>
    <col min="6409" max="6654" width="9.140625" style="256"/>
    <col min="6655" max="6655" width="9.7109375" style="256" customWidth="1"/>
    <col min="6656" max="6656" width="34" style="256" customWidth="1"/>
    <col min="6657" max="6660" width="15.5703125" style="256" customWidth="1"/>
    <col min="6661" max="6661" width="9.140625" style="256"/>
    <col min="6662" max="6664" width="27.85546875" style="256" customWidth="1"/>
    <col min="6665" max="6910" width="9.140625" style="256"/>
    <col min="6911" max="6911" width="9.7109375" style="256" customWidth="1"/>
    <col min="6912" max="6912" width="34" style="256" customWidth="1"/>
    <col min="6913" max="6916" width="15.5703125" style="256" customWidth="1"/>
    <col min="6917" max="6917" width="9.140625" style="256"/>
    <col min="6918" max="6920" width="27.85546875" style="256" customWidth="1"/>
    <col min="6921" max="7166" width="9.140625" style="256"/>
    <col min="7167" max="7167" width="9.7109375" style="256" customWidth="1"/>
    <col min="7168" max="7168" width="34" style="256" customWidth="1"/>
    <col min="7169" max="7172" width="15.5703125" style="256" customWidth="1"/>
    <col min="7173" max="7173" width="9.140625" style="256"/>
    <col min="7174" max="7176" width="27.85546875" style="256" customWidth="1"/>
    <col min="7177" max="7422" width="9.140625" style="256"/>
    <col min="7423" max="7423" width="9.7109375" style="256" customWidth="1"/>
    <col min="7424" max="7424" width="34" style="256" customWidth="1"/>
    <col min="7425" max="7428" width="15.5703125" style="256" customWidth="1"/>
    <col min="7429" max="7429" width="9.140625" style="256"/>
    <col min="7430" max="7432" width="27.85546875" style="256" customWidth="1"/>
    <col min="7433" max="7678" width="9.140625" style="256"/>
    <col min="7679" max="7679" width="9.7109375" style="256" customWidth="1"/>
    <col min="7680" max="7680" width="34" style="256" customWidth="1"/>
    <col min="7681" max="7684" width="15.5703125" style="256" customWidth="1"/>
    <col min="7685" max="7685" width="9.140625" style="256"/>
    <col min="7686" max="7688" width="27.85546875" style="256" customWidth="1"/>
    <col min="7689" max="7934" width="9.140625" style="256"/>
    <col min="7935" max="7935" width="9.7109375" style="256" customWidth="1"/>
    <col min="7936" max="7936" width="34" style="256" customWidth="1"/>
    <col min="7937" max="7940" width="15.5703125" style="256" customWidth="1"/>
    <col min="7941" max="7941" width="9.140625" style="256"/>
    <col min="7942" max="7944" width="27.85546875" style="256" customWidth="1"/>
    <col min="7945" max="8190" width="9.140625" style="256"/>
    <col min="8191" max="8191" width="9.7109375" style="256" customWidth="1"/>
    <col min="8192" max="8192" width="34" style="256" customWidth="1"/>
    <col min="8193" max="8196" width="15.5703125" style="256" customWidth="1"/>
    <col min="8197" max="8197" width="9.140625" style="256"/>
    <col min="8198" max="8200" width="27.85546875" style="256" customWidth="1"/>
    <col min="8201" max="8446" width="9.140625" style="256"/>
    <col min="8447" max="8447" width="9.7109375" style="256" customWidth="1"/>
    <col min="8448" max="8448" width="34" style="256" customWidth="1"/>
    <col min="8449" max="8452" width="15.5703125" style="256" customWidth="1"/>
    <col min="8453" max="8453" width="9.140625" style="256"/>
    <col min="8454" max="8456" width="27.85546875" style="256" customWidth="1"/>
    <col min="8457" max="8702" width="9.140625" style="256"/>
    <col min="8703" max="8703" width="9.7109375" style="256" customWidth="1"/>
    <col min="8704" max="8704" width="34" style="256" customWidth="1"/>
    <col min="8705" max="8708" width="15.5703125" style="256" customWidth="1"/>
    <col min="8709" max="8709" width="9.140625" style="256"/>
    <col min="8710" max="8712" width="27.85546875" style="256" customWidth="1"/>
    <col min="8713" max="8958" width="9.140625" style="256"/>
    <col min="8959" max="8959" width="9.7109375" style="256" customWidth="1"/>
    <col min="8960" max="8960" width="34" style="256" customWidth="1"/>
    <col min="8961" max="8964" width="15.5703125" style="256" customWidth="1"/>
    <col min="8965" max="8965" width="9.140625" style="256"/>
    <col min="8966" max="8968" width="27.85546875" style="256" customWidth="1"/>
    <col min="8969" max="9214" width="9.140625" style="256"/>
    <col min="9215" max="9215" width="9.7109375" style="256" customWidth="1"/>
    <col min="9216" max="9216" width="34" style="256" customWidth="1"/>
    <col min="9217" max="9220" width="15.5703125" style="256" customWidth="1"/>
    <col min="9221" max="9221" width="9.140625" style="256"/>
    <col min="9222" max="9224" width="27.85546875" style="256" customWidth="1"/>
    <col min="9225" max="9470" width="9.140625" style="256"/>
    <col min="9471" max="9471" width="9.7109375" style="256" customWidth="1"/>
    <col min="9472" max="9472" width="34" style="256" customWidth="1"/>
    <col min="9473" max="9476" width="15.5703125" style="256" customWidth="1"/>
    <col min="9477" max="9477" width="9.140625" style="256"/>
    <col min="9478" max="9480" width="27.85546875" style="256" customWidth="1"/>
    <col min="9481" max="9726" width="9.140625" style="256"/>
    <col min="9727" max="9727" width="9.7109375" style="256" customWidth="1"/>
    <col min="9728" max="9728" width="34" style="256" customWidth="1"/>
    <col min="9729" max="9732" width="15.5703125" style="256" customWidth="1"/>
    <col min="9733" max="9733" width="9.140625" style="256"/>
    <col min="9734" max="9736" width="27.85546875" style="256" customWidth="1"/>
    <col min="9737" max="9982" width="9.140625" style="256"/>
    <col min="9983" max="9983" width="9.7109375" style="256" customWidth="1"/>
    <col min="9984" max="9984" width="34" style="256" customWidth="1"/>
    <col min="9985" max="9988" width="15.5703125" style="256" customWidth="1"/>
    <col min="9989" max="9989" width="9.140625" style="256"/>
    <col min="9990" max="9992" width="27.85546875" style="256" customWidth="1"/>
    <col min="9993" max="10238" width="9.140625" style="256"/>
    <col min="10239" max="10239" width="9.7109375" style="256" customWidth="1"/>
    <col min="10240" max="10240" width="34" style="256" customWidth="1"/>
    <col min="10241" max="10244" width="15.5703125" style="256" customWidth="1"/>
    <col min="10245" max="10245" width="9.140625" style="256"/>
    <col min="10246" max="10248" width="27.85546875" style="256" customWidth="1"/>
    <col min="10249" max="10494" width="9.140625" style="256"/>
    <col min="10495" max="10495" width="9.7109375" style="256" customWidth="1"/>
    <col min="10496" max="10496" width="34" style="256" customWidth="1"/>
    <col min="10497" max="10500" width="15.5703125" style="256" customWidth="1"/>
    <col min="10501" max="10501" width="9.140625" style="256"/>
    <col min="10502" max="10504" width="27.85546875" style="256" customWidth="1"/>
    <col min="10505" max="10750" width="9.140625" style="256"/>
    <col min="10751" max="10751" width="9.7109375" style="256" customWidth="1"/>
    <col min="10752" max="10752" width="34" style="256" customWidth="1"/>
    <col min="10753" max="10756" width="15.5703125" style="256" customWidth="1"/>
    <col min="10757" max="10757" width="9.140625" style="256"/>
    <col min="10758" max="10760" width="27.85546875" style="256" customWidth="1"/>
    <col min="10761" max="11006" width="9.140625" style="256"/>
    <col min="11007" max="11007" width="9.7109375" style="256" customWidth="1"/>
    <col min="11008" max="11008" width="34" style="256" customWidth="1"/>
    <col min="11009" max="11012" width="15.5703125" style="256" customWidth="1"/>
    <col min="11013" max="11013" width="9.140625" style="256"/>
    <col min="11014" max="11016" width="27.85546875" style="256" customWidth="1"/>
    <col min="11017" max="11262" width="9.140625" style="256"/>
    <col min="11263" max="11263" width="9.7109375" style="256" customWidth="1"/>
    <col min="11264" max="11264" width="34" style="256" customWidth="1"/>
    <col min="11265" max="11268" width="15.5703125" style="256" customWidth="1"/>
    <col min="11269" max="11269" width="9.140625" style="256"/>
    <col min="11270" max="11272" width="27.85546875" style="256" customWidth="1"/>
    <col min="11273" max="11518" width="9.140625" style="256"/>
    <col min="11519" max="11519" width="9.7109375" style="256" customWidth="1"/>
    <col min="11520" max="11520" width="34" style="256" customWidth="1"/>
    <col min="11521" max="11524" width="15.5703125" style="256" customWidth="1"/>
    <col min="11525" max="11525" width="9.140625" style="256"/>
    <col min="11526" max="11528" width="27.85546875" style="256" customWidth="1"/>
    <col min="11529" max="11774" width="9.140625" style="256"/>
    <col min="11775" max="11775" width="9.7109375" style="256" customWidth="1"/>
    <col min="11776" max="11776" width="34" style="256" customWidth="1"/>
    <col min="11777" max="11780" width="15.5703125" style="256" customWidth="1"/>
    <col min="11781" max="11781" width="9.140625" style="256"/>
    <col min="11782" max="11784" width="27.85546875" style="256" customWidth="1"/>
    <col min="11785" max="12030" width="9.140625" style="256"/>
    <col min="12031" max="12031" width="9.7109375" style="256" customWidth="1"/>
    <col min="12032" max="12032" width="34" style="256" customWidth="1"/>
    <col min="12033" max="12036" width="15.5703125" style="256" customWidth="1"/>
    <col min="12037" max="12037" width="9.140625" style="256"/>
    <col min="12038" max="12040" width="27.85546875" style="256" customWidth="1"/>
    <col min="12041" max="12286" width="9.140625" style="256"/>
    <col min="12287" max="12287" width="9.7109375" style="256" customWidth="1"/>
    <col min="12288" max="12288" width="34" style="256" customWidth="1"/>
    <col min="12289" max="12292" width="15.5703125" style="256" customWidth="1"/>
    <col min="12293" max="12293" width="9.140625" style="256"/>
    <col min="12294" max="12296" width="27.85546875" style="256" customWidth="1"/>
    <col min="12297" max="12542" width="9.140625" style="256"/>
    <col min="12543" max="12543" width="9.7109375" style="256" customWidth="1"/>
    <col min="12544" max="12544" width="34" style="256" customWidth="1"/>
    <col min="12545" max="12548" width="15.5703125" style="256" customWidth="1"/>
    <col min="12549" max="12549" width="9.140625" style="256"/>
    <col min="12550" max="12552" width="27.85546875" style="256" customWidth="1"/>
    <col min="12553" max="12798" width="9.140625" style="256"/>
    <col min="12799" max="12799" width="9.7109375" style="256" customWidth="1"/>
    <col min="12800" max="12800" width="34" style="256" customWidth="1"/>
    <col min="12801" max="12804" width="15.5703125" style="256" customWidth="1"/>
    <col min="12805" max="12805" width="9.140625" style="256"/>
    <col min="12806" max="12808" width="27.85546875" style="256" customWidth="1"/>
    <col min="12809" max="13054" width="9.140625" style="256"/>
    <col min="13055" max="13055" width="9.7109375" style="256" customWidth="1"/>
    <col min="13056" max="13056" width="34" style="256" customWidth="1"/>
    <col min="13057" max="13060" width="15.5703125" style="256" customWidth="1"/>
    <col min="13061" max="13061" width="9.140625" style="256"/>
    <col min="13062" max="13064" width="27.85546875" style="256" customWidth="1"/>
    <col min="13065" max="13310" width="9.140625" style="256"/>
    <col min="13311" max="13311" width="9.7109375" style="256" customWidth="1"/>
    <col min="13312" max="13312" width="34" style="256" customWidth="1"/>
    <col min="13313" max="13316" width="15.5703125" style="256" customWidth="1"/>
    <col min="13317" max="13317" width="9.140625" style="256"/>
    <col min="13318" max="13320" width="27.85546875" style="256" customWidth="1"/>
    <col min="13321" max="13566" width="9.140625" style="256"/>
    <col min="13567" max="13567" width="9.7109375" style="256" customWidth="1"/>
    <col min="13568" max="13568" width="34" style="256" customWidth="1"/>
    <col min="13569" max="13572" width="15.5703125" style="256" customWidth="1"/>
    <col min="13573" max="13573" width="9.140625" style="256"/>
    <col min="13574" max="13576" width="27.85546875" style="256" customWidth="1"/>
    <col min="13577" max="13822" width="9.140625" style="256"/>
    <col min="13823" max="13823" width="9.7109375" style="256" customWidth="1"/>
    <col min="13824" max="13824" width="34" style="256" customWidth="1"/>
    <col min="13825" max="13828" width="15.5703125" style="256" customWidth="1"/>
    <col min="13829" max="13829" width="9.140625" style="256"/>
    <col min="13830" max="13832" width="27.85546875" style="256" customWidth="1"/>
    <col min="13833" max="14078" width="9.140625" style="256"/>
    <col min="14079" max="14079" width="9.7109375" style="256" customWidth="1"/>
    <col min="14080" max="14080" width="34" style="256" customWidth="1"/>
    <col min="14081" max="14084" width="15.5703125" style="256" customWidth="1"/>
    <col min="14085" max="14085" width="9.140625" style="256"/>
    <col min="14086" max="14088" width="27.85546875" style="256" customWidth="1"/>
    <col min="14089" max="14334" width="9.140625" style="256"/>
    <col min="14335" max="14335" width="9.7109375" style="256" customWidth="1"/>
    <col min="14336" max="14336" width="34" style="256" customWidth="1"/>
    <col min="14337" max="14340" width="15.5703125" style="256" customWidth="1"/>
    <col min="14341" max="14341" width="9.140625" style="256"/>
    <col min="14342" max="14344" width="27.85546875" style="256" customWidth="1"/>
    <col min="14345" max="14590" width="9.140625" style="256"/>
    <col min="14591" max="14591" width="9.7109375" style="256" customWidth="1"/>
    <col min="14592" max="14592" width="34" style="256" customWidth="1"/>
    <col min="14593" max="14596" width="15.5703125" style="256" customWidth="1"/>
    <col min="14597" max="14597" width="9.140625" style="256"/>
    <col min="14598" max="14600" width="27.85546875" style="256" customWidth="1"/>
    <col min="14601" max="14846" width="9.140625" style="256"/>
    <col min="14847" max="14847" width="9.7109375" style="256" customWidth="1"/>
    <col min="14848" max="14848" width="34" style="256" customWidth="1"/>
    <col min="14849" max="14852" width="15.5703125" style="256" customWidth="1"/>
    <col min="14853" max="14853" width="9.140625" style="256"/>
    <col min="14854" max="14856" width="27.85546875" style="256" customWidth="1"/>
    <col min="14857" max="15102" width="9.140625" style="256"/>
    <col min="15103" max="15103" width="9.7109375" style="256" customWidth="1"/>
    <col min="15104" max="15104" width="34" style="256" customWidth="1"/>
    <col min="15105" max="15108" width="15.5703125" style="256" customWidth="1"/>
    <col min="15109" max="15109" width="9.140625" style="256"/>
    <col min="15110" max="15112" width="27.85546875" style="256" customWidth="1"/>
    <col min="15113" max="15358" width="9.140625" style="256"/>
    <col min="15359" max="15359" width="9.7109375" style="256" customWidth="1"/>
    <col min="15360" max="15360" width="34" style="256" customWidth="1"/>
    <col min="15361" max="15364" width="15.5703125" style="256" customWidth="1"/>
    <col min="15365" max="15365" width="9.140625" style="256"/>
    <col min="15366" max="15368" width="27.85546875" style="256" customWidth="1"/>
    <col min="15369" max="15614" width="9.140625" style="256"/>
    <col min="15615" max="15615" width="9.7109375" style="256" customWidth="1"/>
    <col min="15616" max="15616" width="34" style="256" customWidth="1"/>
    <col min="15617" max="15620" width="15.5703125" style="256" customWidth="1"/>
    <col min="15621" max="15621" width="9.140625" style="256"/>
    <col min="15622" max="15624" width="27.85546875" style="256" customWidth="1"/>
    <col min="15625" max="15870" width="9.140625" style="256"/>
    <col min="15871" max="15871" width="9.7109375" style="256" customWidth="1"/>
    <col min="15872" max="15872" width="34" style="256" customWidth="1"/>
    <col min="15873" max="15876" width="15.5703125" style="256" customWidth="1"/>
    <col min="15877" max="15877" width="9.140625" style="256"/>
    <col min="15878" max="15880" width="27.85546875" style="256" customWidth="1"/>
    <col min="15881" max="16126" width="9.140625" style="256"/>
    <col min="16127" max="16127" width="9.7109375" style="256" customWidth="1"/>
    <col min="16128" max="16128" width="34" style="256" customWidth="1"/>
    <col min="16129" max="16132" width="15.5703125" style="256" customWidth="1"/>
    <col min="16133" max="16133" width="9.140625" style="256"/>
    <col min="16134" max="16136" width="27.85546875" style="256" customWidth="1"/>
    <col min="16137" max="16384" width="9.140625" style="256"/>
  </cols>
  <sheetData>
    <row r="1" spans="1:8" ht="15" x14ac:dyDescent="0.25">
      <c r="A1" s="253"/>
      <c r="B1" s="254"/>
      <c r="C1" s="255"/>
      <c r="D1" s="255"/>
      <c r="E1" s="255"/>
      <c r="G1" s="255"/>
      <c r="H1" s="285" t="s">
        <v>634</v>
      </c>
    </row>
    <row r="2" spans="1:8" x14ac:dyDescent="0.2">
      <c r="A2" s="257" t="s">
        <v>636</v>
      </c>
    </row>
    <row r="3" spans="1:8" x14ac:dyDescent="0.2">
      <c r="B3" s="258"/>
      <c r="C3" s="258"/>
      <c r="D3" s="258"/>
      <c r="E3" s="258"/>
      <c r="G3" s="258"/>
      <c r="H3" s="258"/>
    </row>
    <row r="4" spans="1:8" x14ac:dyDescent="0.2">
      <c r="B4" s="258"/>
      <c r="C4" s="258"/>
      <c r="D4" s="258"/>
      <c r="E4" s="258"/>
      <c r="G4" s="258"/>
      <c r="H4" s="258"/>
    </row>
    <row r="5" spans="1:8" ht="81.75" customHeight="1" x14ac:dyDescent="0.2">
      <c r="A5" s="259" t="s">
        <v>549</v>
      </c>
      <c r="B5" s="260"/>
      <c r="C5" s="571" t="s">
        <v>550</v>
      </c>
      <c r="D5" s="261" t="s">
        <v>631</v>
      </c>
      <c r="E5" s="571" t="s">
        <v>629</v>
      </c>
      <c r="G5" s="261" t="s">
        <v>632</v>
      </c>
      <c r="H5" s="261" t="s">
        <v>633</v>
      </c>
    </row>
    <row r="6" spans="1:8" x14ac:dyDescent="0.2">
      <c r="A6" s="262"/>
      <c r="B6" s="263" t="s">
        <v>55</v>
      </c>
      <c r="C6" s="264">
        <v>1871.5900000000001</v>
      </c>
      <c r="D6" s="264">
        <v>2033.7200000000003</v>
      </c>
      <c r="E6" s="264">
        <v>2156.1999999999998</v>
      </c>
      <c r="G6" s="264">
        <v>2211.4199999999996</v>
      </c>
      <c r="H6" s="264">
        <v>2346.1600000000003</v>
      </c>
    </row>
    <row r="7" spans="1:8" x14ac:dyDescent="0.2">
      <c r="A7" s="265" t="s">
        <v>540</v>
      </c>
      <c r="B7" s="266" t="s">
        <v>551</v>
      </c>
      <c r="C7" s="265">
        <v>108.14</v>
      </c>
      <c r="D7" s="265">
        <v>108.14</v>
      </c>
      <c r="E7" s="265">
        <v>108.14</v>
      </c>
      <c r="G7" s="265">
        <v>108.14</v>
      </c>
      <c r="H7" s="265">
        <v>108.14</v>
      </c>
    </row>
    <row r="8" spans="1:8" x14ac:dyDescent="0.2">
      <c r="A8" s="265" t="s">
        <v>541</v>
      </c>
      <c r="B8" s="266" t="s">
        <v>552</v>
      </c>
      <c r="C8" s="267">
        <v>1763.45</v>
      </c>
      <c r="D8" s="267">
        <v>1925.5800000000002</v>
      </c>
      <c r="E8" s="267">
        <v>2048.06</v>
      </c>
      <c r="G8" s="267">
        <v>2103.2799999999997</v>
      </c>
      <c r="H8" s="267">
        <v>2238.0200000000004</v>
      </c>
    </row>
    <row r="9" spans="1:8" x14ac:dyDescent="0.2">
      <c r="A9" s="268" t="s">
        <v>553</v>
      </c>
      <c r="B9" s="269" t="s">
        <v>554</v>
      </c>
      <c r="C9" s="270">
        <v>1445</v>
      </c>
      <c r="D9" s="270">
        <v>1607.13</v>
      </c>
      <c r="E9" s="270">
        <v>1729.61</v>
      </c>
      <c r="G9" s="270">
        <v>1784.83</v>
      </c>
      <c r="H9" s="270">
        <v>1919.5700000000002</v>
      </c>
    </row>
    <row r="10" spans="1:8" ht="13.5" x14ac:dyDescent="0.2">
      <c r="A10" s="271" t="s">
        <v>555</v>
      </c>
      <c r="B10" s="272" t="s">
        <v>556</v>
      </c>
      <c r="C10" s="273">
        <v>1164.48</v>
      </c>
      <c r="D10" s="273">
        <v>1295.1300000000001</v>
      </c>
      <c r="E10" s="273">
        <v>1393.83</v>
      </c>
      <c r="G10" s="273">
        <v>1438.34</v>
      </c>
      <c r="H10" s="273">
        <v>1546.92</v>
      </c>
    </row>
    <row r="11" spans="1:8" x14ac:dyDescent="0.2">
      <c r="A11" s="259" t="s">
        <v>557</v>
      </c>
      <c r="B11" s="274" t="s">
        <v>558</v>
      </c>
      <c r="C11" s="390">
        <v>987.05</v>
      </c>
      <c r="D11" s="390">
        <v>1085.76</v>
      </c>
      <c r="E11" s="390">
        <v>1184.46</v>
      </c>
      <c r="G11" s="390">
        <v>1194.33</v>
      </c>
      <c r="H11" s="390">
        <v>1302.9100000000001</v>
      </c>
    </row>
    <row r="12" spans="1:8" ht="76.5" x14ac:dyDescent="0.2">
      <c r="A12" s="259" t="s">
        <v>559</v>
      </c>
      <c r="B12" s="274" t="s">
        <v>560</v>
      </c>
      <c r="C12" s="390">
        <v>177.43</v>
      </c>
      <c r="D12" s="390">
        <v>209.37</v>
      </c>
      <c r="E12" s="390">
        <v>209.37</v>
      </c>
      <c r="G12" s="390">
        <v>244.01</v>
      </c>
      <c r="H12" s="390">
        <v>244.01</v>
      </c>
    </row>
    <row r="13" spans="1:8" ht="13.5" x14ac:dyDescent="0.2">
      <c r="A13" s="271" t="s">
        <v>561</v>
      </c>
      <c r="B13" s="272" t="s">
        <v>562</v>
      </c>
      <c r="C13" s="273">
        <v>280.52</v>
      </c>
      <c r="D13" s="273">
        <v>312</v>
      </c>
      <c r="E13" s="273">
        <v>335.78</v>
      </c>
      <c r="G13" s="273">
        <v>346.49</v>
      </c>
      <c r="H13" s="273">
        <v>372.65</v>
      </c>
    </row>
    <row r="14" spans="1:8" ht="38.25" x14ac:dyDescent="0.2">
      <c r="A14" s="268" t="s">
        <v>563</v>
      </c>
      <c r="B14" s="269" t="s">
        <v>564</v>
      </c>
      <c r="C14" s="270">
        <v>318.45</v>
      </c>
      <c r="D14" s="270">
        <v>318.45000000000005</v>
      </c>
      <c r="E14" s="270">
        <v>318.45000000000005</v>
      </c>
      <c r="G14" s="270">
        <v>318.45000000000005</v>
      </c>
      <c r="H14" s="270">
        <v>318.45000000000005</v>
      </c>
    </row>
    <row r="15" spans="1:8" ht="27" x14ac:dyDescent="0.2">
      <c r="A15" s="271" t="s">
        <v>565</v>
      </c>
      <c r="B15" s="272" t="s">
        <v>566</v>
      </c>
      <c r="C15" s="273">
        <v>287.15000000000003</v>
      </c>
      <c r="D15" s="273">
        <v>287.15000000000003</v>
      </c>
      <c r="E15" s="273">
        <v>287.15000000000003</v>
      </c>
      <c r="G15" s="273">
        <v>287.15000000000003</v>
      </c>
      <c r="H15" s="273">
        <v>287.15000000000003</v>
      </c>
    </row>
    <row r="16" spans="1:8" ht="38.25" x14ac:dyDescent="0.2">
      <c r="A16" s="259" t="s">
        <v>567</v>
      </c>
      <c r="B16" s="274" t="s">
        <v>568</v>
      </c>
      <c r="C16" s="391">
        <v>255.72000000000003</v>
      </c>
      <c r="D16" s="391">
        <v>255.72000000000003</v>
      </c>
      <c r="E16" s="391">
        <v>255.72000000000003</v>
      </c>
      <c r="G16" s="391">
        <v>255.72000000000003</v>
      </c>
      <c r="H16" s="391">
        <v>255.72000000000003</v>
      </c>
    </row>
    <row r="17" spans="1:254" x14ac:dyDescent="0.2">
      <c r="A17" s="259" t="s">
        <v>569</v>
      </c>
      <c r="B17" s="274" t="s">
        <v>570</v>
      </c>
      <c r="C17" s="259">
        <v>206.08</v>
      </c>
      <c r="D17" s="259">
        <v>206.08</v>
      </c>
      <c r="E17" s="259">
        <v>206.08</v>
      </c>
      <c r="G17" s="259">
        <v>206.08</v>
      </c>
      <c r="H17" s="259">
        <v>206.08</v>
      </c>
    </row>
    <row r="18" spans="1:254" x14ac:dyDescent="0.2">
      <c r="A18" s="259" t="s">
        <v>571</v>
      </c>
      <c r="B18" s="275" t="s">
        <v>572</v>
      </c>
      <c r="C18" s="391">
        <v>49.64</v>
      </c>
      <c r="D18" s="391">
        <v>49.64</v>
      </c>
      <c r="E18" s="391">
        <v>49.64</v>
      </c>
      <c r="G18" s="391">
        <v>49.64</v>
      </c>
      <c r="H18" s="391">
        <v>49.64</v>
      </c>
    </row>
    <row r="19" spans="1:254" ht="38.25" x14ac:dyDescent="0.2">
      <c r="A19" s="259" t="s">
        <v>573</v>
      </c>
      <c r="B19" s="274" t="s">
        <v>574</v>
      </c>
      <c r="C19" s="391">
        <v>31.43</v>
      </c>
      <c r="D19" s="391">
        <v>31.43</v>
      </c>
      <c r="E19" s="391">
        <v>31.43</v>
      </c>
      <c r="G19" s="391">
        <v>31.43</v>
      </c>
      <c r="H19" s="391">
        <v>31.43</v>
      </c>
    </row>
    <row r="20" spans="1:254" x14ac:dyDescent="0.2">
      <c r="A20" s="259" t="s">
        <v>575</v>
      </c>
      <c r="B20" s="274" t="s">
        <v>570</v>
      </c>
      <c r="C20" s="383">
        <v>25.330000000000002</v>
      </c>
      <c r="D20" s="383">
        <v>25.330000000000002</v>
      </c>
      <c r="E20" s="383">
        <v>25.330000000000002</v>
      </c>
      <c r="G20" s="383">
        <v>25.330000000000002</v>
      </c>
      <c r="H20" s="383">
        <v>25.330000000000002</v>
      </c>
    </row>
    <row r="21" spans="1:254" x14ac:dyDescent="0.2">
      <c r="A21" s="259" t="s">
        <v>576</v>
      </c>
      <c r="B21" s="275" t="s">
        <v>572</v>
      </c>
      <c r="C21" s="391">
        <v>6.1</v>
      </c>
      <c r="D21" s="391">
        <v>6.1</v>
      </c>
      <c r="E21" s="391">
        <v>6.1</v>
      </c>
      <c r="G21" s="391">
        <v>6.1</v>
      </c>
      <c r="H21" s="391">
        <v>6.1</v>
      </c>
    </row>
    <row r="22" spans="1:254" ht="27" x14ac:dyDescent="0.2">
      <c r="A22" s="271" t="s">
        <v>577</v>
      </c>
      <c r="B22" s="272" t="s">
        <v>578</v>
      </c>
      <c r="C22" s="273">
        <v>31.3</v>
      </c>
      <c r="D22" s="273">
        <v>31.3</v>
      </c>
      <c r="E22" s="273">
        <v>31.3</v>
      </c>
      <c r="G22" s="273">
        <v>31.3</v>
      </c>
      <c r="H22" s="273">
        <v>31.3</v>
      </c>
    </row>
    <row r="23" spans="1:254" ht="76.5" x14ac:dyDescent="0.2">
      <c r="A23" s="259" t="s">
        <v>579</v>
      </c>
      <c r="B23" s="274" t="s">
        <v>580</v>
      </c>
      <c r="C23" s="259">
        <v>15.65</v>
      </c>
      <c r="D23" s="259">
        <v>15.65</v>
      </c>
      <c r="E23" s="259">
        <v>15.65</v>
      </c>
      <c r="G23" s="259">
        <v>15.65</v>
      </c>
      <c r="H23" s="259">
        <v>15.65</v>
      </c>
    </row>
    <row r="24" spans="1:254" ht="114.75" x14ac:dyDescent="0.2">
      <c r="A24" s="259" t="s">
        <v>581</v>
      </c>
      <c r="B24" s="274" t="s">
        <v>582</v>
      </c>
      <c r="C24" s="259">
        <v>15.65</v>
      </c>
      <c r="D24" s="259">
        <v>15.65</v>
      </c>
      <c r="E24" s="259">
        <v>15.65</v>
      </c>
      <c r="G24" s="259">
        <v>15.65</v>
      </c>
      <c r="H24" s="259">
        <v>15.65</v>
      </c>
    </row>
    <row r="25" spans="1:254" x14ac:dyDescent="0.2">
      <c r="A25" s="276"/>
      <c r="B25" s="277"/>
      <c r="C25" s="276"/>
      <c r="D25" s="276"/>
      <c r="E25" s="276"/>
      <c r="G25" s="276"/>
      <c r="H25" s="276"/>
    </row>
    <row r="26" spans="1:254" ht="24" customHeight="1" x14ac:dyDescent="0.2">
      <c r="A26" s="1051" t="s">
        <v>630</v>
      </c>
      <c r="B26" s="1052"/>
      <c r="D26" s="498">
        <f>D6-C6</f>
        <v>162.13000000000011</v>
      </c>
      <c r="E26" s="498">
        <f>E6-C6</f>
        <v>284.60999999999967</v>
      </c>
      <c r="G26" s="498">
        <f>G6-D6</f>
        <v>177.69999999999936</v>
      </c>
      <c r="H26" s="498">
        <f>H6-E6</f>
        <v>189.96000000000049</v>
      </c>
      <c r="L26" s="278"/>
    </row>
    <row r="27" spans="1:254" s="297" customFormat="1" ht="17.25" customHeight="1" x14ac:dyDescent="0.25">
      <c r="A27" s="1051" t="s">
        <v>583</v>
      </c>
      <c r="B27" s="1052"/>
      <c r="C27" s="256"/>
      <c r="D27" s="499">
        <v>859</v>
      </c>
      <c r="E27" s="499">
        <v>859</v>
      </c>
      <c r="F27" s="256"/>
      <c r="G27" s="499">
        <v>483</v>
      </c>
      <c r="H27" s="499">
        <v>483</v>
      </c>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BT27" s="256"/>
      <c r="BU27" s="256"/>
      <c r="BV27" s="256"/>
      <c r="BW27" s="256"/>
      <c r="BX27" s="256"/>
      <c r="BY27" s="256"/>
      <c r="BZ27" s="256"/>
      <c r="CA27" s="256"/>
      <c r="CB27" s="256"/>
      <c r="CC27" s="256"/>
      <c r="CD27" s="256"/>
      <c r="CE27" s="256"/>
      <c r="CF27" s="256"/>
      <c r="CG27" s="256"/>
      <c r="CH27" s="256"/>
      <c r="CI27" s="256"/>
      <c r="CJ27" s="256"/>
      <c r="CK27" s="256"/>
      <c r="CL27" s="256"/>
      <c r="CM27" s="256"/>
      <c r="CN27" s="256"/>
      <c r="CO27" s="256"/>
      <c r="CP27" s="256"/>
      <c r="CQ27" s="256"/>
      <c r="CR27" s="256"/>
      <c r="CS27" s="256"/>
      <c r="CT27" s="256"/>
      <c r="CU27" s="256"/>
      <c r="CV27" s="256"/>
      <c r="CW27" s="256"/>
      <c r="CX27" s="256"/>
      <c r="CY27" s="256"/>
      <c r="CZ27" s="256"/>
      <c r="DA27" s="256"/>
      <c r="DB27" s="256"/>
      <c r="DC27" s="256"/>
      <c r="DD27" s="256"/>
      <c r="DE27" s="256"/>
      <c r="DF27" s="256"/>
      <c r="DG27" s="256"/>
      <c r="DH27" s="256"/>
      <c r="DI27" s="256"/>
      <c r="DJ27" s="256"/>
      <c r="DK27" s="256"/>
      <c r="DL27" s="256"/>
      <c r="DM27" s="256"/>
      <c r="DN27" s="256"/>
      <c r="DO27" s="256"/>
      <c r="DP27" s="256"/>
      <c r="DQ27" s="256"/>
      <c r="DR27" s="256"/>
      <c r="DS27" s="256"/>
      <c r="DT27" s="256"/>
      <c r="DU27" s="256"/>
      <c r="DV27" s="256"/>
      <c r="DW27" s="256"/>
      <c r="DX27" s="256"/>
      <c r="DY27" s="256"/>
      <c r="DZ27" s="256"/>
      <c r="EA27" s="256"/>
      <c r="EB27" s="256"/>
      <c r="EC27" s="256"/>
      <c r="ED27" s="256"/>
      <c r="EE27" s="256"/>
      <c r="EF27" s="256"/>
      <c r="EG27" s="256"/>
      <c r="EH27" s="256"/>
      <c r="EI27" s="256"/>
      <c r="EJ27" s="256"/>
      <c r="EK27" s="256"/>
      <c r="EL27" s="256"/>
      <c r="EM27" s="256"/>
      <c r="EN27" s="256"/>
      <c r="EO27" s="256"/>
      <c r="EP27" s="256"/>
      <c r="EQ27" s="256"/>
      <c r="ER27" s="256"/>
      <c r="ES27" s="256"/>
      <c r="ET27" s="256"/>
      <c r="EU27" s="256"/>
      <c r="EV27" s="256"/>
      <c r="EW27" s="256"/>
      <c r="EX27" s="256"/>
      <c r="EY27" s="256"/>
      <c r="EZ27" s="256"/>
      <c r="FA27" s="256"/>
      <c r="FB27" s="256"/>
      <c r="FC27" s="256"/>
      <c r="FD27" s="256"/>
      <c r="FE27" s="256"/>
      <c r="FF27" s="256"/>
      <c r="FG27" s="256"/>
      <c r="FH27" s="256"/>
      <c r="FI27" s="256"/>
      <c r="FJ27" s="256"/>
      <c r="FK27" s="256"/>
      <c r="FL27" s="256"/>
      <c r="FM27" s="256"/>
      <c r="FN27" s="256"/>
      <c r="FO27" s="256"/>
      <c r="FP27" s="256"/>
      <c r="FQ27" s="256"/>
      <c r="FR27" s="256"/>
      <c r="FS27" s="256"/>
      <c r="FT27" s="256"/>
      <c r="FU27" s="256"/>
      <c r="FV27" s="256"/>
      <c r="FW27" s="256"/>
      <c r="FX27" s="256"/>
      <c r="FY27" s="256"/>
      <c r="FZ27" s="256"/>
      <c r="GA27" s="256"/>
      <c r="GB27" s="256"/>
      <c r="GC27" s="256"/>
      <c r="GD27" s="256"/>
      <c r="GE27" s="256"/>
      <c r="GF27" s="256"/>
      <c r="GG27" s="256"/>
      <c r="GH27" s="256"/>
      <c r="GI27" s="256"/>
      <c r="GJ27" s="256"/>
      <c r="GK27" s="256"/>
      <c r="GL27" s="256"/>
      <c r="GM27" s="256"/>
      <c r="GN27" s="256"/>
      <c r="GO27" s="256"/>
      <c r="GP27" s="256"/>
      <c r="GQ27" s="256"/>
      <c r="GR27" s="256"/>
      <c r="GS27" s="256"/>
      <c r="GT27" s="256"/>
      <c r="GU27" s="256"/>
      <c r="GV27" s="256"/>
      <c r="GW27" s="256"/>
      <c r="GX27" s="256"/>
      <c r="GY27" s="256"/>
      <c r="GZ27" s="256"/>
      <c r="HA27" s="256"/>
      <c r="HB27" s="256"/>
      <c r="HC27" s="256"/>
      <c r="HD27" s="256"/>
      <c r="HE27" s="256"/>
      <c r="HF27" s="256"/>
      <c r="HG27" s="256"/>
      <c r="HH27" s="256"/>
      <c r="HI27" s="256"/>
      <c r="HJ27" s="256"/>
      <c r="HK27" s="256"/>
      <c r="HL27" s="256"/>
      <c r="HM27" s="256"/>
      <c r="HN27" s="256"/>
      <c r="HO27" s="256"/>
      <c r="HP27" s="256"/>
      <c r="HQ27" s="256"/>
      <c r="HR27" s="256"/>
      <c r="HS27" s="256"/>
      <c r="HT27" s="256"/>
      <c r="HU27" s="256"/>
      <c r="HV27" s="256"/>
      <c r="HW27" s="256"/>
      <c r="HX27" s="256"/>
      <c r="HY27" s="256"/>
      <c r="HZ27" s="256"/>
      <c r="IA27" s="256"/>
      <c r="IB27" s="256"/>
      <c r="IC27" s="256"/>
      <c r="ID27" s="256"/>
      <c r="IE27" s="256"/>
      <c r="IF27" s="256"/>
      <c r="IG27" s="256"/>
      <c r="IH27" s="256"/>
      <c r="II27" s="256"/>
      <c r="IJ27" s="256"/>
      <c r="IK27" s="256"/>
      <c r="IL27" s="256"/>
      <c r="IM27" s="256"/>
      <c r="IN27" s="256"/>
      <c r="IO27" s="256"/>
      <c r="IP27" s="256"/>
      <c r="IQ27" s="256"/>
      <c r="IR27" s="256"/>
      <c r="IS27" s="256"/>
      <c r="IT27" s="256"/>
    </row>
    <row r="28" spans="1:254" x14ac:dyDescent="0.2">
      <c r="A28" s="1051" t="s">
        <v>624</v>
      </c>
      <c r="B28" s="1052"/>
      <c r="C28" s="278"/>
      <c r="D28" s="499" t="s">
        <v>656</v>
      </c>
      <c r="E28" s="499">
        <f>ROUND(E26*12*E27,0)</f>
        <v>2933760</v>
      </c>
      <c r="G28" s="499">
        <f>ROUND(G26*12*G27,0)</f>
        <v>1029949</v>
      </c>
      <c r="H28" s="499">
        <f>ROUND(H26*12*H27,0)</f>
        <v>1101008</v>
      </c>
    </row>
    <row r="29" spans="1:254" ht="19.5" customHeight="1" x14ac:dyDescent="0.2">
      <c r="D29" s="572"/>
      <c r="E29" s="573" t="s">
        <v>657</v>
      </c>
      <c r="H29" s="573">
        <f>H28-G28</f>
        <v>71059</v>
      </c>
    </row>
    <row r="30" spans="1:254" x14ac:dyDescent="0.2">
      <c r="A30" s="279"/>
      <c r="B30" s="280"/>
      <c r="C30" s="280"/>
      <c r="D30" s="281"/>
      <c r="E30" s="281"/>
      <c r="G30" s="281"/>
      <c r="H30" s="281"/>
    </row>
    <row r="31" spans="1:254" x14ac:dyDescent="0.2">
      <c r="A31" s="279"/>
      <c r="B31" s="280"/>
      <c r="C31" s="280"/>
      <c r="D31" s="280"/>
      <c r="E31" s="280"/>
    </row>
    <row r="32" spans="1:254" ht="18" customHeight="1" x14ac:dyDescent="0.2">
      <c r="A32" s="1051" t="s">
        <v>584</v>
      </c>
      <c r="B32" s="1052"/>
      <c r="D32" s="499">
        <v>2701185</v>
      </c>
      <c r="E32" s="499">
        <f>E28+H28</f>
        <v>4034768</v>
      </c>
    </row>
    <row r="33" spans="1:8" ht="20.25" customHeight="1" x14ac:dyDescent="0.2">
      <c r="E33" s="573">
        <v>1333583</v>
      </c>
    </row>
    <row r="34" spans="1:8" x14ac:dyDescent="0.2">
      <c r="D34" s="492"/>
      <c r="E34" s="492"/>
    </row>
    <row r="35" spans="1:8" ht="34.5" customHeight="1" x14ac:dyDescent="0.2">
      <c r="A35" s="1050" t="s">
        <v>655</v>
      </c>
      <c r="B35" s="1050"/>
      <c r="C35" s="1050"/>
      <c r="D35" s="1050"/>
      <c r="E35" s="1050"/>
      <c r="F35" s="1050"/>
      <c r="G35" s="1050"/>
      <c r="H35" s="1050"/>
    </row>
    <row r="36" spans="1:8" ht="29.25" customHeight="1" x14ac:dyDescent="0.2">
      <c r="A36" s="1050" t="s">
        <v>658</v>
      </c>
      <c r="B36" s="1050"/>
      <c r="C36" s="1050"/>
      <c r="D36" s="1050"/>
      <c r="E36" s="1050"/>
      <c r="F36" s="1050"/>
      <c r="G36" s="1050"/>
      <c r="H36" s="1050"/>
    </row>
    <row r="37" spans="1:8" ht="57" customHeight="1" x14ac:dyDescent="0.2">
      <c r="A37" s="1050" t="s">
        <v>659</v>
      </c>
      <c r="B37" s="1050"/>
      <c r="C37" s="1050"/>
      <c r="D37" s="1050"/>
      <c r="E37" s="1050"/>
      <c r="F37" s="1050"/>
      <c r="G37" s="1050"/>
      <c r="H37" s="1050"/>
    </row>
  </sheetData>
  <mergeCells count="7">
    <mergeCell ref="A36:H36"/>
    <mergeCell ref="A37:H37"/>
    <mergeCell ref="A26:B26"/>
    <mergeCell ref="A27:B27"/>
    <mergeCell ref="A28:B28"/>
    <mergeCell ref="A32:B32"/>
    <mergeCell ref="A35:H35"/>
  </mergeCells>
  <pageMargins left="0.25" right="0.25" top="0.75" bottom="0.75" header="0.3" footer="0.3"/>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9"/>
  <sheetViews>
    <sheetView tabSelected="1" topLeftCell="A13" zoomScale="80" zoomScaleNormal="80" workbookViewId="0">
      <selection activeCell="L38" sqref="L38"/>
    </sheetView>
  </sheetViews>
  <sheetFormatPr defaultRowHeight="15" x14ac:dyDescent="0.25"/>
  <cols>
    <col min="1" max="1" width="2.5703125" style="392" customWidth="1"/>
    <col min="2" max="2" width="15.85546875" style="392" customWidth="1"/>
    <col min="3" max="3" width="12.42578125" style="392" customWidth="1"/>
    <col min="4" max="4" width="13.5703125" style="392" customWidth="1"/>
    <col min="5" max="5" width="12.42578125" style="392" customWidth="1"/>
    <col min="6" max="6" width="9.140625" style="392"/>
    <col min="7" max="8" width="15.5703125" style="392" customWidth="1"/>
    <col min="9" max="9" width="15.5703125" style="285" customWidth="1"/>
    <col min="10" max="12" width="23.28515625" style="392" customWidth="1"/>
    <col min="13" max="16384" width="9.140625" style="392"/>
  </cols>
  <sheetData>
    <row r="1" spans="1:11" x14ac:dyDescent="0.25">
      <c r="I1" s="285" t="s">
        <v>635</v>
      </c>
    </row>
    <row r="3" spans="1:11" x14ac:dyDescent="0.25">
      <c r="A3" s="282"/>
      <c r="B3" s="1055" t="s">
        <v>628</v>
      </c>
      <c r="C3" s="1055"/>
      <c r="D3" s="1055"/>
      <c r="E3" s="1055"/>
      <c r="F3" s="1055"/>
      <c r="G3" s="1055"/>
      <c r="H3" s="1055"/>
      <c r="I3" s="1055"/>
    </row>
    <row r="4" spans="1:11" ht="15.75" thickBot="1" x14ac:dyDescent="0.3">
      <c r="A4" s="282"/>
    </row>
    <row r="5" spans="1:11" s="286" customFormat="1" ht="14.25" x14ac:dyDescent="0.2">
      <c r="A5" s="282"/>
      <c r="B5" s="1056" t="s">
        <v>163</v>
      </c>
      <c r="C5" s="1058" t="s">
        <v>164</v>
      </c>
      <c r="D5" s="1060" t="s">
        <v>597</v>
      </c>
      <c r="E5" s="1062" t="s">
        <v>585</v>
      </c>
      <c r="F5" s="1062" t="s">
        <v>586</v>
      </c>
      <c r="G5" s="1062" t="s">
        <v>587</v>
      </c>
      <c r="H5" s="1053" t="s">
        <v>648</v>
      </c>
      <c r="I5" s="1064" t="s">
        <v>588</v>
      </c>
    </row>
    <row r="6" spans="1:11" s="286" customFormat="1" ht="63" customHeight="1" thickBot="1" x14ac:dyDescent="0.25">
      <c r="A6" s="282"/>
      <c r="B6" s="1057"/>
      <c r="C6" s="1059"/>
      <c r="D6" s="1061"/>
      <c r="E6" s="1063"/>
      <c r="F6" s="1063"/>
      <c r="G6" s="1063"/>
      <c r="H6" s="1054"/>
      <c r="I6" s="1065"/>
    </row>
    <row r="7" spans="1:11" s="287" customFormat="1" ht="14.25" x14ac:dyDescent="0.2">
      <c r="A7" s="282"/>
      <c r="B7" s="550"/>
      <c r="C7" s="551"/>
      <c r="D7" s="501"/>
      <c r="E7" s="502"/>
      <c r="F7" s="502"/>
      <c r="G7" s="502"/>
      <c r="H7" s="502"/>
      <c r="I7" s="503"/>
      <c r="K7" s="298"/>
    </row>
    <row r="8" spans="1:11" s="288" customFormat="1" ht="33" customHeight="1" x14ac:dyDescent="0.2">
      <c r="A8" s="282"/>
      <c r="B8" s="1070" t="s">
        <v>10</v>
      </c>
      <c r="C8" s="552"/>
      <c r="D8" s="504"/>
      <c r="E8" s="553"/>
      <c r="F8" s="553"/>
      <c r="G8" s="553"/>
      <c r="H8" s="553"/>
      <c r="I8" s="554"/>
    </row>
    <row r="9" spans="1:11" s="289" customFormat="1" x14ac:dyDescent="0.2">
      <c r="A9" s="282"/>
      <c r="B9" s="1070"/>
      <c r="C9" s="555">
        <f>C10+C11+C12</f>
        <v>7776.7000000000007</v>
      </c>
      <c r="D9" s="513"/>
      <c r="E9" s="505">
        <f>SUM(E10:E12)</f>
        <v>3017</v>
      </c>
      <c r="F9" s="505">
        <f>SUM(F10:F12)</f>
        <v>274</v>
      </c>
      <c r="G9" s="505"/>
      <c r="H9" s="505"/>
      <c r="I9" s="514"/>
      <c r="K9" s="288"/>
    </row>
    <row r="10" spans="1:11" s="290" customFormat="1" ht="14.25" x14ac:dyDescent="0.2">
      <c r="B10" s="506" t="s">
        <v>589</v>
      </c>
      <c r="C10" s="556">
        <v>5981.31</v>
      </c>
      <c r="D10" s="507">
        <v>1079</v>
      </c>
      <c r="E10" s="557">
        <f>ROUND(D10*$B$49,0)</f>
        <v>1187</v>
      </c>
      <c r="F10" s="508">
        <f>E10-D10</f>
        <v>108</v>
      </c>
      <c r="G10" s="508">
        <f>ROUND(F10*C10*12,0)</f>
        <v>7751778</v>
      </c>
      <c r="H10" s="508">
        <f>ROUND(G10*$C$49,0)</f>
        <v>11588908</v>
      </c>
      <c r="I10" s="509">
        <f>ROUND(H10*1.2409,0)</f>
        <v>14380676</v>
      </c>
    </row>
    <row r="11" spans="1:11" s="291" customFormat="1" x14ac:dyDescent="0.25">
      <c r="A11" s="290"/>
      <c r="B11" s="506" t="s">
        <v>590</v>
      </c>
      <c r="C11" s="556">
        <v>1683.25</v>
      </c>
      <c r="D11" s="507">
        <v>950</v>
      </c>
      <c r="E11" s="557">
        <f>ROUND(D11*$B$49,0)</f>
        <v>1045</v>
      </c>
      <c r="F11" s="508">
        <f>E11-D11</f>
        <v>95</v>
      </c>
      <c r="G11" s="508">
        <f t="shared" ref="G11:G12" si="0">ROUND(F11*C11*12,0)</f>
        <v>1918905</v>
      </c>
      <c r="H11" s="508">
        <f>ROUND(G11*$C$49,0)</f>
        <v>2868763</v>
      </c>
      <c r="I11" s="509">
        <f>ROUND(H11*1.2409,0)</f>
        <v>3559848</v>
      </c>
      <c r="J11" s="290"/>
    </row>
    <row r="12" spans="1:11" s="291" customFormat="1" x14ac:dyDescent="0.25">
      <c r="A12" s="290"/>
      <c r="B12" s="510" t="s">
        <v>591</v>
      </c>
      <c r="C12" s="556">
        <v>112.14</v>
      </c>
      <c r="D12" s="511">
        <v>714</v>
      </c>
      <c r="E12" s="557">
        <f>ROUND(D12*$B$49,0)</f>
        <v>785</v>
      </c>
      <c r="F12" s="508">
        <f t="shared" ref="F12" si="1">E12-D12</f>
        <v>71</v>
      </c>
      <c r="G12" s="508">
        <f t="shared" si="0"/>
        <v>95543</v>
      </c>
      <c r="H12" s="508">
        <f>ROUND(G12*$C$49,0)</f>
        <v>142837</v>
      </c>
      <c r="I12" s="509">
        <f>ROUND(H12*1.2409,0)</f>
        <v>177246</v>
      </c>
      <c r="J12" s="290"/>
    </row>
    <row r="13" spans="1:11" s="292" customFormat="1" ht="14.25" x14ac:dyDescent="0.2">
      <c r="A13" s="282"/>
      <c r="B13" s="1070" t="s">
        <v>27</v>
      </c>
      <c r="C13" s="512"/>
      <c r="D13" s="513"/>
      <c r="E13" s="505"/>
      <c r="F13" s="505"/>
      <c r="G13" s="505"/>
      <c r="H13" s="505"/>
      <c r="I13" s="514"/>
    </row>
    <row r="14" spans="1:11" s="293" customFormat="1" ht="39" customHeight="1" x14ac:dyDescent="0.25">
      <c r="A14" s="282"/>
      <c r="B14" s="1070"/>
      <c r="C14" s="555">
        <f>C15+C16+C17</f>
        <v>11404.35</v>
      </c>
      <c r="D14" s="513"/>
      <c r="E14" s="505">
        <f>SUM(E15:E17)</f>
        <v>2092</v>
      </c>
      <c r="F14" s="505">
        <f>SUM(F15:F17)</f>
        <v>190</v>
      </c>
      <c r="G14" s="505"/>
      <c r="H14" s="505"/>
      <c r="I14" s="514"/>
    </row>
    <row r="15" spans="1:11" s="290" customFormat="1" ht="14.25" x14ac:dyDescent="0.2">
      <c r="B15" s="506" t="s">
        <v>591</v>
      </c>
      <c r="C15" s="558">
        <v>9008.33</v>
      </c>
      <c r="D15" s="511">
        <v>714</v>
      </c>
      <c r="E15" s="557">
        <f>ROUND(D15*$B$49,0)</f>
        <v>785</v>
      </c>
      <c r="F15" s="508">
        <f>E15-D15</f>
        <v>71</v>
      </c>
      <c r="G15" s="508">
        <f t="shared" ref="G15:G17" si="2">ROUND(F15*C15*12,0)</f>
        <v>7675097</v>
      </c>
      <c r="H15" s="508">
        <f>ROUND(G15*$C$49,0)</f>
        <v>11474270</v>
      </c>
      <c r="I15" s="509">
        <f>ROUND(H15*1.2409,0)</f>
        <v>14238422</v>
      </c>
    </row>
    <row r="16" spans="1:11" s="290" customFormat="1" ht="14.25" x14ac:dyDescent="0.2">
      <c r="B16" s="506" t="s">
        <v>592</v>
      </c>
      <c r="C16" s="556">
        <v>2338.5</v>
      </c>
      <c r="D16" s="507">
        <v>629</v>
      </c>
      <c r="E16" s="557">
        <f>ROUND(D16*$B$49,0)</f>
        <v>692</v>
      </c>
      <c r="F16" s="508">
        <f>E16-D16</f>
        <v>63</v>
      </c>
      <c r="G16" s="508">
        <f t="shared" si="2"/>
        <v>1767906</v>
      </c>
      <c r="H16" s="508">
        <f>ROUND(G16*$C$49,0)</f>
        <v>2643019</v>
      </c>
      <c r="I16" s="509">
        <f>ROUND(H16*1.2409,0)</f>
        <v>3279722</v>
      </c>
    </row>
    <row r="17" spans="1:14" s="290" customFormat="1" ht="14.25" x14ac:dyDescent="0.2">
      <c r="B17" s="506" t="s">
        <v>593</v>
      </c>
      <c r="C17" s="556">
        <v>57.52</v>
      </c>
      <c r="D17" s="507">
        <v>559</v>
      </c>
      <c r="E17" s="557">
        <f>ROUND(D17*$B$49,0)</f>
        <v>615</v>
      </c>
      <c r="F17" s="508">
        <f t="shared" ref="F17" si="3">E17-D17</f>
        <v>56</v>
      </c>
      <c r="G17" s="508">
        <f t="shared" si="2"/>
        <v>38653</v>
      </c>
      <c r="H17" s="508">
        <f>ROUND(G17*$C$49,0)</f>
        <v>57786</v>
      </c>
      <c r="I17" s="509">
        <f>ROUND(H17*1.2409,0)</f>
        <v>71707</v>
      </c>
    </row>
    <row r="18" spans="1:14" s="292" customFormat="1" ht="14.25" x14ac:dyDescent="0.2">
      <c r="A18" s="282"/>
      <c r="B18" s="1070" t="s">
        <v>46</v>
      </c>
      <c r="C18" s="512"/>
      <c r="D18" s="513"/>
      <c r="E18" s="505"/>
      <c r="F18" s="505"/>
      <c r="G18" s="505"/>
      <c r="H18" s="505"/>
      <c r="I18" s="514"/>
    </row>
    <row r="19" spans="1:14" s="292" customFormat="1" ht="14.25" x14ac:dyDescent="0.2">
      <c r="A19" s="282"/>
      <c r="B19" s="1070"/>
      <c r="C19" s="555">
        <f>C20</f>
        <v>3158.6860499999998</v>
      </c>
      <c r="D19" s="513"/>
      <c r="E19" s="505">
        <f>E20</f>
        <v>576</v>
      </c>
      <c r="F19" s="505">
        <f>F20</f>
        <v>52</v>
      </c>
      <c r="G19" s="505"/>
      <c r="H19" s="505"/>
      <c r="I19" s="514"/>
    </row>
    <row r="20" spans="1:14" s="290" customFormat="1" ht="14.25" x14ac:dyDescent="0.2">
      <c r="B20" s="506" t="s">
        <v>594</v>
      </c>
      <c r="C20" s="558">
        <f>3158.99-0.30395</f>
        <v>3158.6860499999998</v>
      </c>
      <c r="D20" s="507">
        <v>524</v>
      </c>
      <c r="E20" s="508">
        <f>ROUND(D20*$B$49,0)</f>
        <v>576</v>
      </c>
      <c r="F20" s="508">
        <f t="shared" ref="F20" si="4">E20-D20</f>
        <v>52</v>
      </c>
      <c r="G20" s="508">
        <f>ROUND(F20*C20*12,0)</f>
        <v>1971020</v>
      </c>
      <c r="H20" s="508">
        <f>ROUND(G20*$C$49,0)</f>
        <v>2946675</v>
      </c>
      <c r="I20" s="509">
        <f>ROUND(H20*1.2409,0)</f>
        <v>3656529</v>
      </c>
    </row>
    <row r="21" spans="1:14" s="295" customFormat="1" ht="48" thickBot="1" x14ac:dyDescent="0.3">
      <c r="A21" s="294"/>
      <c r="B21" s="515" t="s">
        <v>595</v>
      </c>
      <c r="C21" s="559">
        <f>SUM(C19+C14+C9)</f>
        <v>22339.73605</v>
      </c>
      <c r="D21" s="516"/>
      <c r="E21" s="517"/>
      <c r="F21" s="517"/>
      <c r="G21" s="517">
        <f>G10+G11+G12+G15+G16+G17+G20</f>
        <v>21218902</v>
      </c>
      <c r="H21" s="517">
        <f>H10+H11+H12+H15+H16+H17+H20</f>
        <v>31722258</v>
      </c>
      <c r="I21" s="560">
        <f>I10+I11+I12+I15+I16+I17+I20</f>
        <v>39364150</v>
      </c>
      <c r="K21" s="292"/>
    </row>
    <row r="22" spans="1:14" ht="46.5" customHeight="1" thickBot="1" x14ac:dyDescent="0.3">
      <c r="B22" s="1071" t="s">
        <v>660</v>
      </c>
      <c r="C22" s="1072"/>
      <c r="D22" s="1072"/>
      <c r="E22" s="1072"/>
      <c r="F22" s="1072"/>
      <c r="G22" s="1072"/>
      <c r="H22" s="1072"/>
      <c r="I22" s="561">
        <v>1439596</v>
      </c>
    </row>
    <row r="23" spans="1:14" ht="15.75" thickBot="1" x14ac:dyDescent="0.3">
      <c r="B23" s="562"/>
      <c r="C23" s="563"/>
      <c r="D23" s="564"/>
      <c r="E23" s="564"/>
      <c r="F23" s="563"/>
      <c r="G23" s="565"/>
      <c r="H23" s="565"/>
      <c r="I23" s="566"/>
    </row>
    <row r="24" spans="1:14" ht="15.75" thickBot="1" x14ac:dyDescent="0.3">
      <c r="B24" s="1066" t="s">
        <v>651</v>
      </c>
      <c r="C24" s="1067"/>
      <c r="D24" s="1067"/>
      <c r="E24" s="1067"/>
      <c r="F24" s="1067"/>
      <c r="G24" s="1067"/>
      <c r="H24" s="1068"/>
      <c r="I24" s="567" t="s">
        <v>653</v>
      </c>
      <c r="K24" s="519"/>
      <c r="L24" s="519"/>
      <c r="M24" s="519"/>
      <c r="N24" s="519"/>
    </row>
    <row r="25" spans="1:14" x14ac:dyDescent="0.25">
      <c r="B25" s="284"/>
      <c r="C25" s="568"/>
      <c r="D25" s="568"/>
      <c r="E25" s="568"/>
      <c r="K25" s="519"/>
      <c r="L25" s="518"/>
      <c r="M25" s="519"/>
      <c r="N25" s="519"/>
    </row>
    <row r="26" spans="1:14" ht="29.25" customHeight="1" x14ac:dyDescent="0.25">
      <c r="B26" s="1069" t="s">
        <v>654</v>
      </c>
      <c r="C26" s="1069"/>
      <c r="D26" s="1069"/>
      <c r="E26" s="1069"/>
      <c r="F26" s="1069"/>
      <c r="G26" s="1069"/>
      <c r="H26" s="1069"/>
      <c r="I26" s="1069"/>
      <c r="K26" s="519"/>
      <c r="L26" s="518"/>
      <c r="M26" s="519"/>
      <c r="N26" s="519"/>
    </row>
    <row r="27" spans="1:14" x14ac:dyDescent="0.25">
      <c r="B27" s="284"/>
      <c r="C27" s="568"/>
      <c r="D27" s="568"/>
      <c r="E27" s="568"/>
      <c r="K27" s="519"/>
      <c r="L27" s="518"/>
      <c r="M27" s="519"/>
      <c r="N27" s="519"/>
    </row>
    <row r="28" spans="1:14" x14ac:dyDescent="0.25">
      <c r="A28" s="282"/>
      <c r="B28" s="1055" t="s">
        <v>650</v>
      </c>
      <c r="C28" s="1055"/>
      <c r="D28" s="1055"/>
      <c r="E28" s="1055"/>
      <c r="F28" s="1055"/>
      <c r="G28" s="1055"/>
      <c r="H28" s="1055"/>
      <c r="I28" s="1055"/>
    </row>
    <row r="29" spans="1:14" ht="15" customHeight="1" thickBot="1" x14ac:dyDescent="0.3">
      <c r="C29" s="526"/>
      <c r="D29" s="526"/>
      <c r="E29" s="526"/>
      <c r="I29" s="522"/>
      <c r="K29" s="519"/>
      <c r="L29" s="524"/>
      <c r="M29" s="519"/>
      <c r="N29" s="519"/>
    </row>
    <row r="30" spans="1:14" s="286" customFormat="1" ht="14.25" x14ac:dyDescent="0.2">
      <c r="A30" s="282"/>
      <c r="B30" s="1056" t="s">
        <v>163</v>
      </c>
      <c r="C30" s="1058" t="s">
        <v>164</v>
      </c>
      <c r="D30" s="1060" t="s">
        <v>597</v>
      </c>
      <c r="E30" s="1062" t="s">
        <v>585</v>
      </c>
      <c r="F30" s="1062" t="s">
        <v>586</v>
      </c>
      <c r="G30" s="1062" t="s">
        <v>587</v>
      </c>
      <c r="H30" s="1053" t="s">
        <v>648</v>
      </c>
      <c r="I30" s="1064" t="s">
        <v>588</v>
      </c>
    </row>
    <row r="31" spans="1:14" s="286" customFormat="1" ht="63" customHeight="1" thickBot="1" x14ac:dyDescent="0.25">
      <c r="A31" s="282"/>
      <c r="B31" s="1057"/>
      <c r="C31" s="1059"/>
      <c r="D31" s="1061"/>
      <c r="E31" s="1063"/>
      <c r="F31" s="1063"/>
      <c r="G31" s="1063"/>
      <c r="H31" s="1054"/>
      <c r="I31" s="1065"/>
    </row>
    <row r="32" spans="1:14" s="297" customFormat="1" ht="30" thickBot="1" x14ac:dyDescent="0.3">
      <c r="A32" s="296"/>
      <c r="B32" s="875" t="s">
        <v>596</v>
      </c>
      <c r="C32" s="876">
        <v>10822.518</v>
      </c>
      <c r="D32" s="877"/>
      <c r="E32" s="878"/>
      <c r="F32" s="879">
        <v>46</v>
      </c>
      <c r="G32" s="880">
        <f>ROUND(F32*C32*12,0)</f>
        <v>5974030</v>
      </c>
      <c r="H32" s="880"/>
      <c r="I32" s="881">
        <f>ROUND(G32*1.2409,0)</f>
        <v>7413174</v>
      </c>
      <c r="K32" s="520"/>
    </row>
    <row r="33" spans="1:14" ht="46.5" customHeight="1" x14ac:dyDescent="0.25">
      <c r="B33" s="1069" t="s">
        <v>661</v>
      </c>
      <c r="C33" s="1069"/>
      <c r="D33" s="1069"/>
      <c r="E33" s="1069"/>
      <c r="F33" s="1069"/>
      <c r="G33" s="1069"/>
      <c r="H33" s="1069"/>
      <c r="I33" s="1069"/>
      <c r="K33" s="519"/>
      <c r="L33" s="518"/>
      <c r="M33" s="519"/>
      <c r="N33" s="519"/>
    </row>
    <row r="34" spans="1:14" s="297" customFormat="1" ht="0.75" customHeight="1" x14ac:dyDescent="0.25">
      <c r="A34" s="296"/>
      <c r="B34" s="882"/>
      <c r="C34" s="883"/>
      <c r="D34" s="884"/>
      <c r="E34" s="884"/>
      <c r="F34" s="885"/>
      <c r="G34" s="886"/>
      <c r="H34" s="886"/>
      <c r="I34" s="887"/>
      <c r="K34" s="520"/>
    </row>
    <row r="35" spans="1:14" s="297" customFormat="1" x14ac:dyDescent="0.25">
      <c r="A35" s="296"/>
      <c r="B35" s="882"/>
      <c r="C35" s="883"/>
      <c r="D35" s="884"/>
      <c r="E35" s="884"/>
      <c r="F35" s="885"/>
      <c r="G35" s="886"/>
      <c r="H35" s="886"/>
      <c r="I35" s="887"/>
      <c r="K35" s="520"/>
    </row>
    <row r="36" spans="1:14" ht="15.75" thickBot="1" x14ac:dyDescent="0.3">
      <c r="B36" s="562"/>
      <c r="C36" s="563"/>
      <c r="D36" s="564"/>
      <c r="E36" s="564"/>
      <c r="F36" s="563"/>
      <c r="G36" s="565"/>
      <c r="H36" s="565"/>
      <c r="I36" s="566"/>
    </row>
    <row r="37" spans="1:14" ht="34.5" customHeight="1" thickBot="1" x14ac:dyDescent="0.3">
      <c r="B37" s="1066" t="s">
        <v>652</v>
      </c>
      <c r="C37" s="1067"/>
      <c r="D37" s="1067"/>
      <c r="E37" s="1067"/>
      <c r="F37" s="1067"/>
      <c r="G37" s="1067"/>
      <c r="H37" s="1068"/>
      <c r="I37" s="567">
        <f>40803746+I32</f>
        <v>48216920</v>
      </c>
      <c r="K37" s="519"/>
      <c r="L37" s="519"/>
      <c r="M37" s="519"/>
      <c r="N37" s="519"/>
    </row>
    <row r="38" spans="1:14" x14ac:dyDescent="0.25">
      <c r="B38" s="284"/>
      <c r="C38" s="568"/>
      <c r="D38" s="568"/>
      <c r="E38" s="568"/>
      <c r="K38" s="519"/>
      <c r="L38" s="518"/>
      <c r="M38" s="519"/>
      <c r="N38" s="519"/>
    </row>
    <row r="39" spans="1:14" ht="15" customHeight="1" x14ac:dyDescent="0.25">
      <c r="C39" s="526"/>
      <c r="D39" s="526"/>
      <c r="E39" s="526"/>
      <c r="I39" s="522"/>
      <c r="K39" s="519"/>
      <c r="L39" s="524"/>
      <c r="M39" s="519"/>
      <c r="N39" s="519"/>
    </row>
    <row r="40" spans="1:14" x14ac:dyDescent="0.25">
      <c r="C40" s="526"/>
      <c r="D40" s="526"/>
      <c r="E40" s="526"/>
      <c r="I40" s="495"/>
      <c r="K40" s="519"/>
      <c r="L40" s="524"/>
      <c r="M40" s="519"/>
      <c r="N40" s="519"/>
    </row>
    <row r="41" spans="1:14" x14ac:dyDescent="0.25">
      <c r="C41" s="526"/>
      <c r="D41" s="526"/>
      <c r="E41" s="526"/>
      <c r="I41" s="495"/>
      <c r="K41" s="519"/>
      <c r="L41" s="524"/>
      <c r="M41" s="519"/>
      <c r="N41" s="519"/>
    </row>
    <row r="42" spans="1:14" x14ac:dyDescent="0.25">
      <c r="C42" s="526"/>
      <c r="D42" s="526"/>
      <c r="E42" s="526"/>
      <c r="I42" s="500"/>
      <c r="K42" s="519"/>
      <c r="L42" s="524"/>
      <c r="M42" s="519"/>
      <c r="N42" s="519"/>
    </row>
    <row r="43" spans="1:14" ht="15" customHeight="1" x14ac:dyDescent="0.25">
      <c r="C43" s="526"/>
      <c r="D43" s="526"/>
      <c r="E43" s="526"/>
      <c r="I43" s="521"/>
      <c r="K43" s="519"/>
      <c r="L43" s="524"/>
      <c r="M43" s="519"/>
      <c r="N43" s="519"/>
    </row>
    <row r="44" spans="1:14" x14ac:dyDescent="0.25">
      <c r="C44" s="519"/>
      <c r="D44" s="569"/>
      <c r="E44" s="569"/>
      <c r="K44" s="519"/>
      <c r="L44" s="524"/>
      <c r="M44" s="525"/>
      <c r="N44" s="519"/>
    </row>
    <row r="45" spans="1:14" ht="15" customHeight="1" x14ac:dyDescent="0.25">
      <c r="D45" s="570"/>
      <c r="E45" s="570"/>
    </row>
    <row r="46" spans="1:14" x14ac:dyDescent="0.25">
      <c r="D46" s="570"/>
      <c r="E46" s="570"/>
      <c r="I46" s="500"/>
      <c r="J46" s="283"/>
    </row>
    <row r="47" spans="1:14" x14ac:dyDescent="0.25">
      <c r="D47" s="570"/>
      <c r="E47" s="570"/>
      <c r="G47" s="496"/>
    </row>
    <row r="48" spans="1:14" ht="15" customHeight="1" x14ac:dyDescent="0.25">
      <c r="C48" s="283"/>
      <c r="D48" s="570"/>
      <c r="E48" s="570"/>
    </row>
    <row r="49" spans="2:3" hidden="1" x14ac:dyDescent="0.25">
      <c r="B49" s="497">
        <v>1.1000000000000001</v>
      </c>
      <c r="C49" s="497">
        <v>1.4950000000000001</v>
      </c>
    </row>
  </sheetData>
  <mergeCells count="26">
    <mergeCell ref="B37:H37"/>
    <mergeCell ref="B33:I33"/>
    <mergeCell ref="I30:I31"/>
    <mergeCell ref="B8:B9"/>
    <mergeCell ref="B13:B14"/>
    <mergeCell ref="B18:B19"/>
    <mergeCell ref="B22:H22"/>
    <mergeCell ref="B28:I28"/>
    <mergeCell ref="B24:H24"/>
    <mergeCell ref="B26:I26"/>
    <mergeCell ref="B30:B31"/>
    <mergeCell ref="C30:C31"/>
    <mergeCell ref="D30:D31"/>
    <mergeCell ref="E30:E31"/>
    <mergeCell ref="F30:F31"/>
    <mergeCell ref="G30:G31"/>
    <mergeCell ref="H30:H31"/>
    <mergeCell ref="B3:I3"/>
    <mergeCell ref="B5:B6"/>
    <mergeCell ref="C5:C6"/>
    <mergeCell ref="D5:D6"/>
    <mergeCell ref="E5:E6"/>
    <mergeCell ref="F5:F6"/>
    <mergeCell ref="G5:G6"/>
    <mergeCell ref="H5:H6"/>
    <mergeCell ref="I5:I6"/>
  </mergeCells>
  <pageMargins left="0.25" right="0.25" top="0.75" bottom="0.75" header="0.3" footer="0.3"/>
  <pageSetup paperSize="9" scale="5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383"/>
  <sheetViews>
    <sheetView zoomScale="90" zoomScaleNormal="90" workbookViewId="0">
      <pane ySplit="7" topLeftCell="A301" activePane="bottomLeft" state="frozen"/>
      <selection pane="bottomLeft" activeCell="H323" sqref="H323"/>
    </sheetView>
  </sheetViews>
  <sheetFormatPr defaultRowHeight="15" x14ac:dyDescent="0.25"/>
  <cols>
    <col min="1" max="1" width="29.140625" style="297" customWidth="1"/>
    <col min="2" max="7" width="9.140625" style="297"/>
    <col min="8" max="8" width="9.7109375" style="297" customWidth="1"/>
    <col min="9" max="9" width="9.140625" style="297"/>
    <col min="10" max="10" width="11.140625" style="297" customWidth="1"/>
    <col min="11" max="11" width="12.7109375" style="297" customWidth="1"/>
    <col min="12" max="12" width="12" style="297" customWidth="1"/>
    <col min="13" max="13" width="13.42578125" style="297" customWidth="1"/>
    <col min="14" max="14" width="12" style="297" customWidth="1"/>
    <col min="15" max="15" width="14.85546875" style="297" customWidth="1"/>
    <col min="16" max="16" width="10" style="297" customWidth="1"/>
    <col min="17" max="17" width="9.85546875" style="297" customWidth="1"/>
    <col min="18" max="19" width="9.140625" style="297"/>
    <col min="20" max="20" width="12.85546875" style="297" bestFit="1" customWidth="1"/>
    <col min="21" max="21" width="12.140625" style="297" bestFit="1" customWidth="1"/>
    <col min="22" max="22" width="9.85546875" style="297" bestFit="1" customWidth="1"/>
    <col min="23" max="23" width="9.140625" style="297"/>
    <col min="24" max="25" width="11.42578125" style="297" bestFit="1" customWidth="1"/>
    <col min="26" max="26" width="20" style="297" customWidth="1"/>
    <col min="27" max="27" width="7.28515625" style="297" customWidth="1"/>
    <col min="28" max="28" width="9.140625" style="297"/>
    <col min="29" max="29" width="11.5703125" style="297" customWidth="1"/>
    <col min="30" max="32" width="9.140625" style="297"/>
    <col min="33" max="33" width="11.28515625" style="297" customWidth="1"/>
    <col min="34" max="34" width="9.140625" style="297"/>
    <col min="35" max="35" width="10.140625" style="297" customWidth="1"/>
    <col min="36" max="37" width="11.42578125" style="297" bestFit="1" customWidth="1"/>
    <col min="38" max="47" width="9.140625" style="297"/>
    <col min="48" max="48" width="10" style="297" bestFit="1" customWidth="1"/>
    <col min="49" max="50" width="11.42578125" style="297" bestFit="1" customWidth="1"/>
    <col min="51" max="16384" width="9.140625" style="297"/>
  </cols>
  <sheetData>
    <row r="1" spans="1:56" ht="15.75" x14ac:dyDescent="0.25">
      <c r="A1" s="580"/>
      <c r="B1" s="580"/>
      <c r="C1" s="580"/>
      <c r="D1" s="580"/>
      <c r="E1" s="580"/>
      <c r="F1" s="580"/>
      <c r="G1" s="580"/>
      <c r="S1" s="934" t="s">
        <v>617</v>
      </c>
      <c r="T1" s="934"/>
    </row>
    <row r="2" spans="1:56" ht="15.75" x14ac:dyDescent="0.25">
      <c r="A2" s="580"/>
      <c r="B2" s="580"/>
      <c r="C2" s="580"/>
      <c r="D2" s="580"/>
      <c r="E2" s="580"/>
      <c r="F2" s="580"/>
      <c r="G2" s="580"/>
      <c r="H2" s="579"/>
      <c r="I2" s="579"/>
    </row>
    <row r="3" spans="1:56" ht="15" customHeight="1" x14ac:dyDescent="0.25">
      <c r="A3" s="935" t="s">
        <v>610</v>
      </c>
      <c r="B3" s="935"/>
      <c r="C3" s="935"/>
      <c r="D3" s="935"/>
      <c r="E3" s="935"/>
      <c r="F3" s="935"/>
      <c r="G3" s="935"/>
      <c r="H3" s="935"/>
      <c r="I3" s="935"/>
      <c r="J3" s="935"/>
      <c r="K3" s="935"/>
      <c r="L3" s="935"/>
      <c r="M3" s="935"/>
      <c r="N3" s="935"/>
      <c r="O3" s="935"/>
      <c r="P3" s="935"/>
      <c r="Q3" s="935"/>
      <c r="R3" s="935"/>
      <c r="S3" s="935"/>
      <c r="T3" s="935"/>
    </row>
    <row r="4" spans="1:56" x14ac:dyDescent="0.25">
      <c r="A4" s="935"/>
      <c r="B4" s="935"/>
      <c r="C4" s="935"/>
      <c r="D4" s="935"/>
      <c r="E4" s="935"/>
      <c r="F4" s="935"/>
      <c r="G4" s="935"/>
      <c r="H4" s="935"/>
      <c r="I4" s="935"/>
      <c r="J4" s="935"/>
      <c r="K4" s="935"/>
      <c r="L4" s="935"/>
      <c r="M4" s="935"/>
      <c r="N4" s="935"/>
      <c r="O4" s="935"/>
      <c r="P4" s="935"/>
      <c r="Q4" s="935"/>
      <c r="R4" s="935"/>
      <c r="S4" s="935"/>
      <c r="T4" s="935"/>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c r="BD4" s="581"/>
    </row>
    <row r="5" spans="1:56" x14ac:dyDescent="0.25">
      <c r="A5" s="582"/>
      <c r="B5" s="582"/>
      <c r="C5" s="582"/>
      <c r="D5" s="582"/>
      <c r="E5" s="582"/>
      <c r="F5" s="582"/>
      <c r="G5" s="582"/>
      <c r="H5" s="582"/>
      <c r="I5" s="582"/>
      <c r="X5" s="581"/>
      <c r="Y5" s="581"/>
      <c r="Z5" s="581"/>
      <c r="AA5" s="581"/>
      <c r="AB5" s="581"/>
      <c r="AC5" s="581"/>
      <c r="AD5" s="581"/>
      <c r="AE5" s="581"/>
      <c r="AF5" s="581"/>
      <c r="AG5" s="581"/>
      <c r="AH5" s="581"/>
      <c r="AI5" s="581"/>
      <c r="AJ5" s="581"/>
      <c r="AK5" s="581"/>
      <c r="AL5" s="581"/>
      <c r="AM5" s="581"/>
      <c r="AN5" s="581"/>
      <c r="AO5" s="581"/>
      <c r="AP5" s="581"/>
      <c r="AQ5" s="581"/>
      <c r="AR5" s="581"/>
      <c r="AS5" s="581"/>
      <c r="AT5" s="581"/>
      <c r="AU5" s="581"/>
      <c r="AV5" s="581"/>
      <c r="AW5" s="581"/>
      <c r="AX5" s="581"/>
      <c r="AY5" s="581"/>
      <c r="AZ5" s="581"/>
      <c r="BA5" s="581"/>
      <c r="BB5" s="581"/>
      <c r="BC5" s="581"/>
      <c r="BD5" s="581"/>
    </row>
    <row r="6" spans="1:56" ht="15.75" thickBot="1" x14ac:dyDescent="0.3">
      <c r="A6" s="935" t="s">
        <v>0</v>
      </c>
      <c r="B6" s="935"/>
      <c r="C6" s="935"/>
      <c r="D6" s="935"/>
      <c r="E6" s="935"/>
      <c r="F6" s="935"/>
      <c r="G6" s="935"/>
      <c r="H6" s="935"/>
      <c r="I6" s="935"/>
      <c r="J6" s="583"/>
      <c r="K6" s="583"/>
      <c r="L6" s="583"/>
      <c r="M6" s="583"/>
      <c r="N6" s="583"/>
      <c r="O6" s="583"/>
      <c r="P6" s="583"/>
      <c r="Q6" s="583"/>
      <c r="R6" s="583"/>
      <c r="S6" s="583"/>
      <c r="T6" s="584" t="s">
        <v>605</v>
      </c>
      <c r="U6" s="583"/>
      <c r="V6" s="583"/>
      <c r="W6" s="583"/>
      <c r="X6" s="585"/>
      <c r="Y6" s="585"/>
      <c r="Z6" s="581"/>
      <c r="AA6" s="581"/>
      <c r="AB6" s="585"/>
      <c r="AC6" s="585"/>
      <c r="AD6" s="585"/>
      <c r="AE6" s="585"/>
      <c r="AF6" s="585"/>
      <c r="AG6" s="585"/>
      <c r="AH6" s="585"/>
      <c r="AI6" s="585"/>
      <c r="AJ6" s="585"/>
      <c r="AK6" s="585"/>
      <c r="AL6" s="585"/>
      <c r="AM6" s="581"/>
      <c r="AN6" s="585"/>
      <c r="AO6" s="585"/>
      <c r="AP6" s="585"/>
      <c r="AQ6" s="585"/>
      <c r="AR6" s="585"/>
      <c r="AS6" s="585"/>
      <c r="AT6" s="585"/>
      <c r="AU6" s="585"/>
      <c r="AV6" s="585"/>
      <c r="AW6" s="585"/>
      <c r="AX6" s="585"/>
      <c r="AY6" s="585"/>
      <c r="AZ6" s="585"/>
      <c r="BA6" s="585"/>
      <c r="BB6" s="585"/>
      <c r="BC6" s="581"/>
      <c r="BD6" s="581"/>
    </row>
    <row r="7" spans="1:56" ht="113.25" customHeight="1" x14ac:dyDescent="0.25">
      <c r="A7" s="586" t="s">
        <v>1</v>
      </c>
      <c r="B7" s="418" t="s">
        <v>2</v>
      </c>
      <c r="C7" s="418" t="s">
        <v>3</v>
      </c>
      <c r="D7" s="418" t="s">
        <v>4</v>
      </c>
      <c r="E7" s="418" t="s">
        <v>5</v>
      </c>
      <c r="F7" s="587" t="s">
        <v>6</v>
      </c>
      <c r="G7" s="418" t="s">
        <v>7</v>
      </c>
      <c r="H7" s="418" t="s">
        <v>399</v>
      </c>
      <c r="I7" s="374" t="s">
        <v>8</v>
      </c>
      <c r="J7" s="576" t="s">
        <v>640</v>
      </c>
      <c r="K7" s="588" t="s">
        <v>646</v>
      </c>
      <c r="L7" s="588" t="s">
        <v>642</v>
      </c>
      <c r="M7" s="588" t="s">
        <v>644</v>
      </c>
      <c r="N7" s="588" t="s">
        <v>643</v>
      </c>
      <c r="O7" s="588" t="s">
        <v>645</v>
      </c>
      <c r="P7" s="418" t="s">
        <v>598</v>
      </c>
      <c r="Q7" s="418" t="s">
        <v>599</v>
      </c>
      <c r="R7" s="419" t="s">
        <v>600</v>
      </c>
      <c r="S7" s="419" t="s">
        <v>601</v>
      </c>
      <c r="T7" s="420" t="s">
        <v>602</v>
      </c>
      <c r="U7" s="589"/>
      <c r="V7" s="589"/>
      <c r="W7" s="589"/>
      <c r="X7" s="280"/>
      <c r="Y7" s="280"/>
      <c r="Z7" s="581"/>
      <c r="AA7" s="581"/>
      <c r="AB7" s="589"/>
      <c r="AC7" s="589"/>
      <c r="AD7" s="589"/>
      <c r="AE7" s="589"/>
      <c r="AF7" s="589"/>
      <c r="AG7" s="589"/>
      <c r="AH7" s="589"/>
      <c r="AI7" s="589"/>
      <c r="AJ7" s="590"/>
      <c r="AK7" s="590"/>
      <c r="AL7" s="589"/>
      <c r="AM7" s="589"/>
      <c r="AN7" s="589"/>
      <c r="AO7" s="589"/>
      <c r="AP7" s="589"/>
      <c r="AQ7" s="589"/>
      <c r="AR7" s="589"/>
      <c r="AS7" s="589"/>
      <c r="AT7" s="589"/>
      <c r="AU7" s="589"/>
      <c r="AV7" s="589"/>
      <c r="AW7" s="590"/>
      <c r="AX7" s="590"/>
      <c r="AY7" s="589"/>
      <c r="AZ7" s="589"/>
      <c r="BA7" s="280"/>
      <c r="BB7" s="280"/>
      <c r="BC7" s="581"/>
      <c r="BD7" s="581"/>
    </row>
    <row r="8" spans="1:56" x14ac:dyDescent="0.25">
      <c r="A8" s="938" t="s">
        <v>383</v>
      </c>
      <c r="B8" s="939"/>
      <c r="C8" s="939"/>
      <c r="D8" s="939"/>
      <c r="E8" s="939"/>
      <c r="F8" s="939"/>
      <c r="G8" s="939"/>
      <c r="H8" s="939"/>
      <c r="I8" s="939"/>
      <c r="J8" s="591"/>
      <c r="K8" s="592"/>
      <c r="L8" s="592"/>
      <c r="M8" s="592"/>
      <c r="N8" s="592"/>
      <c r="O8" s="592"/>
      <c r="P8" s="593"/>
      <c r="Q8" s="593"/>
      <c r="R8" s="593"/>
      <c r="S8" s="593"/>
      <c r="T8" s="594"/>
      <c r="U8" s="595"/>
      <c r="V8" s="595"/>
      <c r="W8" s="595"/>
      <c r="X8" s="595"/>
      <c r="Y8" s="595"/>
      <c r="Z8" s="581"/>
      <c r="AA8" s="581"/>
      <c r="AB8" s="595"/>
      <c r="AC8" s="595"/>
      <c r="AD8" s="595"/>
      <c r="AE8" s="595"/>
      <c r="AF8" s="595"/>
      <c r="AG8" s="595"/>
      <c r="AH8" s="595"/>
      <c r="AI8" s="595"/>
      <c r="AJ8" s="595"/>
      <c r="AK8" s="595"/>
      <c r="AL8" s="595"/>
      <c r="AM8" s="581"/>
      <c r="AN8" s="595"/>
      <c r="AO8" s="595"/>
      <c r="AP8" s="595"/>
      <c r="AQ8" s="595"/>
      <c r="AR8" s="595"/>
      <c r="AS8" s="595"/>
      <c r="AT8" s="595"/>
      <c r="AU8" s="595"/>
      <c r="AV8" s="595"/>
      <c r="AW8" s="595"/>
      <c r="AX8" s="595"/>
      <c r="AY8" s="595"/>
      <c r="AZ8" s="595"/>
      <c r="BA8" s="595"/>
      <c r="BB8" s="595"/>
      <c r="BC8" s="581"/>
      <c r="BD8" s="581"/>
    </row>
    <row r="9" spans="1:56" ht="15" customHeight="1" x14ac:dyDescent="0.25">
      <c r="A9" s="936" t="s">
        <v>276</v>
      </c>
      <c r="B9" s="937"/>
      <c r="C9" s="937"/>
      <c r="D9" s="937"/>
      <c r="E9" s="937"/>
      <c r="F9" s="937"/>
      <c r="G9" s="937"/>
      <c r="H9" s="937"/>
      <c r="I9" s="937"/>
      <c r="J9" s="596"/>
      <c r="K9" s="597"/>
      <c r="L9" s="597"/>
      <c r="M9" s="597"/>
      <c r="N9" s="597"/>
      <c r="O9" s="597"/>
      <c r="P9" s="598"/>
      <c r="Q9" s="598"/>
      <c r="R9" s="598"/>
      <c r="S9" s="598"/>
      <c r="T9" s="599"/>
      <c r="U9" s="280"/>
      <c r="V9" s="280"/>
      <c r="W9" s="280"/>
      <c r="X9" s="280"/>
      <c r="Y9" s="280"/>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1"/>
      <c r="AY9" s="581"/>
      <c r="AZ9" s="581"/>
      <c r="BA9" s="581"/>
      <c r="BB9" s="581"/>
      <c r="BC9" s="581"/>
      <c r="BD9" s="581"/>
    </row>
    <row r="10" spans="1:56" x14ac:dyDescent="0.25">
      <c r="A10" s="917" t="s">
        <v>10</v>
      </c>
      <c r="B10" s="918"/>
      <c r="C10" s="918"/>
      <c r="D10" s="918"/>
      <c r="E10" s="918"/>
      <c r="F10" s="918"/>
      <c r="G10" s="918"/>
      <c r="H10" s="918"/>
      <c r="I10" s="919"/>
      <c r="J10" s="600"/>
      <c r="K10" s="601"/>
      <c r="L10" s="601"/>
      <c r="M10" s="601"/>
      <c r="N10" s="601"/>
      <c r="O10" s="601"/>
      <c r="P10" s="602"/>
      <c r="Q10" s="602"/>
      <c r="R10" s="603"/>
      <c r="S10" s="602"/>
      <c r="T10" s="604"/>
      <c r="U10" s="280"/>
      <c r="V10" s="280"/>
      <c r="W10" s="280"/>
      <c r="X10" s="280"/>
      <c r="Y10" s="280"/>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1"/>
      <c r="AY10" s="581"/>
      <c r="AZ10" s="581"/>
      <c r="BA10" s="581"/>
      <c r="BB10" s="581"/>
      <c r="BC10" s="581"/>
      <c r="BD10" s="581"/>
    </row>
    <row r="11" spans="1:56" x14ac:dyDescent="0.25">
      <c r="A11" s="59" t="s">
        <v>267</v>
      </c>
      <c r="B11" s="46">
        <v>5.0999999999999996</v>
      </c>
      <c r="C11" s="605" t="s">
        <v>25</v>
      </c>
      <c r="D11" s="606">
        <v>10</v>
      </c>
      <c r="E11" s="317">
        <v>3</v>
      </c>
      <c r="F11" s="320">
        <v>1287</v>
      </c>
      <c r="G11" s="373">
        <v>1287</v>
      </c>
      <c r="H11" s="373">
        <v>0</v>
      </c>
      <c r="I11" s="393">
        <v>1</v>
      </c>
      <c r="J11" s="607">
        <f>ROUND(G11*(1+'29_01_H_2020'!$F$14),2)</f>
        <v>1415.7</v>
      </c>
      <c r="K11" s="608">
        <f>IF(J11&lt;=F11,J11,F11)</f>
        <v>1287</v>
      </c>
      <c r="L11" s="608">
        <f>K11-G11</f>
        <v>0</v>
      </c>
      <c r="M11" s="608">
        <f>J11-K11</f>
        <v>128.70000000000005</v>
      </c>
      <c r="N11" s="608">
        <f t="shared" ref="N11" si="0">ROUND(H11/G11*K11-H11,2)</f>
        <v>0</v>
      </c>
      <c r="O11" s="608">
        <f t="shared" ref="O11" si="1">ROUND(H11/G11*J11-H11-N11,2)</f>
        <v>0</v>
      </c>
      <c r="P11" s="609">
        <f>L11+M11+N11+O11</f>
        <v>128.70000000000005</v>
      </c>
      <c r="Q11" s="609">
        <f t="shared" ref="Q11:Q36" si="2">P11*I11</f>
        <v>128.70000000000005</v>
      </c>
      <c r="R11" s="609">
        <f>Q11*12</f>
        <v>1544.4000000000005</v>
      </c>
      <c r="S11" s="609">
        <f>ROUND(R11*0.2409,2)</f>
        <v>372.05</v>
      </c>
      <c r="T11" s="610">
        <f>SUM(R11:S11)</f>
        <v>1916.4500000000005</v>
      </c>
      <c r="U11" s="611"/>
      <c r="V11" s="612"/>
      <c r="W11" s="613"/>
      <c r="X11" s="614"/>
      <c r="Y11" s="614"/>
      <c r="Z11" s="581"/>
      <c r="AA11" s="581"/>
      <c r="AB11" s="615"/>
      <c r="AC11" s="615"/>
      <c r="AD11" s="615"/>
      <c r="AE11" s="615"/>
      <c r="AF11" s="615"/>
      <c r="AG11" s="615"/>
      <c r="AH11" s="615"/>
      <c r="AI11" s="615"/>
      <c r="AJ11" s="615"/>
      <c r="AK11" s="615"/>
      <c r="AL11" s="616"/>
      <c r="AM11" s="581"/>
      <c r="AN11" s="581"/>
      <c r="AO11" s="615"/>
      <c r="AP11" s="615"/>
      <c r="AQ11" s="615"/>
      <c r="AR11" s="615"/>
      <c r="AS11" s="615"/>
      <c r="AT11" s="615"/>
      <c r="AU11" s="615"/>
      <c r="AV11" s="615"/>
      <c r="AW11" s="615"/>
      <c r="AX11" s="615"/>
      <c r="AY11" s="616"/>
      <c r="AZ11" s="581"/>
      <c r="BA11" s="581"/>
      <c r="BB11" s="581"/>
      <c r="BC11" s="581"/>
      <c r="BD11" s="581"/>
    </row>
    <row r="12" spans="1:56" x14ac:dyDescent="0.25">
      <c r="A12" s="59" t="s">
        <v>267</v>
      </c>
      <c r="B12" s="46">
        <v>5.0999999999999996</v>
      </c>
      <c r="C12" s="605" t="s">
        <v>25</v>
      </c>
      <c r="D12" s="606">
        <v>10</v>
      </c>
      <c r="E12" s="317">
        <v>3</v>
      </c>
      <c r="F12" s="320">
        <v>1287</v>
      </c>
      <c r="G12" s="373">
        <v>1287</v>
      </c>
      <c r="H12" s="373">
        <v>0</v>
      </c>
      <c r="I12" s="393">
        <v>0.75</v>
      </c>
      <c r="J12" s="607">
        <f>ROUND(G12*(1+'29_01_H_2020'!$F$14),2)</f>
        <v>1415.7</v>
      </c>
      <c r="K12" s="608">
        <f t="shared" ref="K12:K36" si="3">IF(J12&lt;=F12,J12,F12)</f>
        <v>1287</v>
      </c>
      <c r="L12" s="608">
        <f t="shared" ref="L12:L36" si="4">K12-G12</f>
        <v>0</v>
      </c>
      <c r="M12" s="608">
        <f t="shared" ref="M12:M36" si="5">J12-K12</f>
        <v>128.70000000000005</v>
      </c>
      <c r="N12" s="608">
        <f t="shared" ref="N12:N36" si="6">ROUND(H12/G12*K12-H12,2)</f>
        <v>0</v>
      </c>
      <c r="O12" s="608">
        <f t="shared" ref="O12:O36" si="7">ROUND(H12/G12*J12-H12-N12,2)</f>
        <v>0</v>
      </c>
      <c r="P12" s="609">
        <f t="shared" ref="P12:P36" si="8">L12+M12+N12+O12</f>
        <v>128.70000000000005</v>
      </c>
      <c r="Q12" s="609">
        <f t="shared" si="2"/>
        <v>96.525000000000034</v>
      </c>
      <c r="R12" s="609">
        <f t="shared" ref="R12:R36" si="9">Q12*12</f>
        <v>1158.3000000000004</v>
      </c>
      <c r="S12" s="609">
        <f t="shared" ref="S12:S36" si="10">ROUND(R12*0.2409,2)</f>
        <v>279.02999999999997</v>
      </c>
      <c r="T12" s="610">
        <f t="shared" ref="T12:T36" si="11">SUM(R12:S12)</f>
        <v>1437.3300000000004</v>
      </c>
      <c r="U12" s="611"/>
      <c r="V12" s="612"/>
      <c r="W12" s="613"/>
      <c r="X12" s="614"/>
      <c r="Y12" s="614"/>
      <c r="Z12" s="581"/>
      <c r="AA12" s="581"/>
      <c r="AB12" s="615"/>
      <c r="AC12" s="615"/>
      <c r="AD12" s="615"/>
      <c r="AE12" s="615"/>
      <c r="AF12" s="615"/>
      <c r="AG12" s="615"/>
      <c r="AH12" s="615"/>
      <c r="AI12" s="615"/>
      <c r="AJ12" s="615"/>
      <c r="AK12" s="615"/>
      <c r="AL12" s="616"/>
      <c r="AM12" s="581"/>
      <c r="AN12" s="581"/>
      <c r="AO12" s="615"/>
      <c r="AP12" s="615"/>
      <c r="AQ12" s="615"/>
      <c r="AR12" s="615"/>
      <c r="AS12" s="615"/>
      <c r="AT12" s="615"/>
      <c r="AU12" s="615"/>
      <c r="AV12" s="615"/>
      <c r="AW12" s="615"/>
      <c r="AX12" s="615"/>
      <c r="AY12" s="616"/>
      <c r="AZ12" s="581"/>
      <c r="BA12" s="581"/>
      <c r="BB12" s="581"/>
      <c r="BC12" s="581"/>
      <c r="BD12" s="581"/>
    </row>
    <row r="13" spans="1:56" x14ac:dyDescent="0.25">
      <c r="A13" s="59" t="s">
        <v>267</v>
      </c>
      <c r="B13" s="46">
        <v>5.0999999999999996</v>
      </c>
      <c r="C13" s="605" t="s">
        <v>25</v>
      </c>
      <c r="D13" s="606">
        <v>10</v>
      </c>
      <c r="E13" s="317">
        <v>3</v>
      </c>
      <c r="F13" s="320">
        <v>1287</v>
      </c>
      <c r="G13" s="373">
        <v>1287</v>
      </c>
      <c r="H13" s="373">
        <v>0</v>
      </c>
      <c r="I13" s="393">
        <v>0.3</v>
      </c>
      <c r="J13" s="607">
        <f>ROUND(G13*(1+'29_01_H_2020'!$F$14),2)</f>
        <v>1415.7</v>
      </c>
      <c r="K13" s="608">
        <f t="shared" si="3"/>
        <v>1287</v>
      </c>
      <c r="L13" s="608">
        <f t="shared" si="4"/>
        <v>0</v>
      </c>
      <c r="M13" s="608">
        <f t="shared" si="5"/>
        <v>128.70000000000005</v>
      </c>
      <c r="N13" s="608">
        <f t="shared" si="6"/>
        <v>0</v>
      </c>
      <c r="O13" s="608">
        <f t="shared" si="7"/>
        <v>0</v>
      </c>
      <c r="P13" s="609">
        <f t="shared" si="8"/>
        <v>128.70000000000005</v>
      </c>
      <c r="Q13" s="609">
        <f t="shared" si="2"/>
        <v>38.610000000000014</v>
      </c>
      <c r="R13" s="609">
        <f t="shared" si="9"/>
        <v>463.32000000000016</v>
      </c>
      <c r="S13" s="609">
        <f t="shared" si="10"/>
        <v>111.61</v>
      </c>
      <c r="T13" s="610">
        <f t="shared" si="11"/>
        <v>574.93000000000018</v>
      </c>
      <c r="U13" s="611"/>
      <c r="V13" s="612"/>
      <c r="W13" s="613"/>
      <c r="X13" s="614"/>
      <c r="Y13" s="614"/>
      <c r="Z13" s="581"/>
      <c r="AA13" s="581"/>
      <c r="AB13" s="615"/>
      <c r="AC13" s="615"/>
      <c r="AD13" s="615"/>
      <c r="AE13" s="615"/>
      <c r="AF13" s="615"/>
      <c r="AG13" s="615"/>
      <c r="AH13" s="615"/>
      <c r="AI13" s="615"/>
      <c r="AJ13" s="615"/>
      <c r="AK13" s="615"/>
      <c r="AL13" s="616"/>
      <c r="AM13" s="581"/>
      <c r="AN13" s="581"/>
      <c r="AO13" s="615"/>
      <c r="AP13" s="615"/>
      <c r="AQ13" s="615"/>
      <c r="AR13" s="615"/>
      <c r="AS13" s="615"/>
      <c r="AT13" s="615"/>
      <c r="AU13" s="615"/>
      <c r="AV13" s="615"/>
      <c r="AW13" s="615"/>
      <c r="AX13" s="615"/>
      <c r="AY13" s="616"/>
      <c r="AZ13" s="581"/>
      <c r="BA13" s="581"/>
      <c r="BB13" s="581"/>
      <c r="BC13" s="581"/>
      <c r="BD13" s="581"/>
    </row>
    <row r="14" spans="1:56" x14ac:dyDescent="0.25">
      <c r="A14" s="59" t="s">
        <v>267</v>
      </c>
      <c r="B14" s="46">
        <v>5.0999999999999996</v>
      </c>
      <c r="C14" s="605" t="s">
        <v>25</v>
      </c>
      <c r="D14" s="606">
        <v>10</v>
      </c>
      <c r="E14" s="317">
        <v>3</v>
      </c>
      <c r="F14" s="320">
        <v>1287</v>
      </c>
      <c r="G14" s="373">
        <v>1287</v>
      </c>
      <c r="H14" s="373">
        <v>0</v>
      </c>
      <c r="I14" s="393">
        <v>0.8</v>
      </c>
      <c r="J14" s="607">
        <f>ROUND(G14*(1+'29_01_H_2020'!$F$14),2)</f>
        <v>1415.7</v>
      </c>
      <c r="K14" s="608">
        <f t="shared" si="3"/>
        <v>1287</v>
      </c>
      <c r="L14" s="608">
        <f t="shared" si="4"/>
        <v>0</v>
      </c>
      <c r="M14" s="608">
        <f t="shared" si="5"/>
        <v>128.70000000000005</v>
      </c>
      <c r="N14" s="608">
        <f t="shared" si="6"/>
        <v>0</v>
      </c>
      <c r="O14" s="608">
        <f t="shared" si="7"/>
        <v>0</v>
      </c>
      <c r="P14" s="609">
        <f t="shared" si="8"/>
        <v>128.70000000000005</v>
      </c>
      <c r="Q14" s="609">
        <f t="shared" si="2"/>
        <v>102.96000000000004</v>
      </c>
      <c r="R14" s="609">
        <f t="shared" si="9"/>
        <v>1235.5200000000004</v>
      </c>
      <c r="S14" s="609">
        <f t="shared" si="10"/>
        <v>297.64</v>
      </c>
      <c r="T14" s="610">
        <f t="shared" si="11"/>
        <v>1533.1600000000003</v>
      </c>
      <c r="U14" s="611"/>
      <c r="V14" s="612"/>
      <c r="W14" s="613"/>
      <c r="X14" s="614"/>
      <c r="Y14" s="614"/>
      <c r="Z14" s="581"/>
      <c r="AA14" s="581"/>
      <c r="AB14" s="615"/>
      <c r="AC14" s="615"/>
      <c r="AD14" s="615"/>
      <c r="AE14" s="615"/>
      <c r="AF14" s="615"/>
      <c r="AG14" s="615"/>
      <c r="AH14" s="615"/>
      <c r="AI14" s="615"/>
      <c r="AJ14" s="615"/>
      <c r="AK14" s="615"/>
      <c r="AL14" s="616"/>
      <c r="AM14" s="581"/>
      <c r="AN14" s="581"/>
      <c r="AO14" s="615"/>
      <c r="AP14" s="615"/>
      <c r="AQ14" s="615"/>
      <c r="AR14" s="615"/>
      <c r="AS14" s="615"/>
      <c r="AT14" s="615"/>
      <c r="AU14" s="615"/>
      <c r="AV14" s="615"/>
      <c r="AW14" s="615"/>
      <c r="AX14" s="615"/>
      <c r="AY14" s="616"/>
      <c r="AZ14" s="581"/>
      <c r="BA14" s="581"/>
      <c r="BB14" s="581"/>
      <c r="BC14" s="581"/>
      <c r="BD14" s="581"/>
    </row>
    <row r="15" spans="1:56" x14ac:dyDescent="0.25">
      <c r="A15" s="59" t="s">
        <v>267</v>
      </c>
      <c r="B15" s="46">
        <v>5.0999999999999996</v>
      </c>
      <c r="C15" s="605" t="s">
        <v>25</v>
      </c>
      <c r="D15" s="606">
        <v>10</v>
      </c>
      <c r="E15" s="317">
        <v>3</v>
      </c>
      <c r="F15" s="320">
        <v>1287</v>
      </c>
      <c r="G15" s="373">
        <v>1287</v>
      </c>
      <c r="H15" s="373">
        <v>0</v>
      </c>
      <c r="I15" s="393">
        <v>0.8</v>
      </c>
      <c r="J15" s="607">
        <f>ROUND(G15*(1+'29_01_H_2020'!$F$14),2)</f>
        <v>1415.7</v>
      </c>
      <c r="K15" s="608">
        <f t="shared" si="3"/>
        <v>1287</v>
      </c>
      <c r="L15" s="608">
        <f t="shared" si="4"/>
        <v>0</v>
      </c>
      <c r="M15" s="608">
        <f t="shared" si="5"/>
        <v>128.70000000000005</v>
      </c>
      <c r="N15" s="608">
        <f t="shared" si="6"/>
        <v>0</v>
      </c>
      <c r="O15" s="608">
        <f t="shared" si="7"/>
        <v>0</v>
      </c>
      <c r="P15" s="609">
        <f t="shared" si="8"/>
        <v>128.70000000000005</v>
      </c>
      <c r="Q15" s="609">
        <f t="shared" si="2"/>
        <v>102.96000000000004</v>
      </c>
      <c r="R15" s="609">
        <f t="shared" si="9"/>
        <v>1235.5200000000004</v>
      </c>
      <c r="S15" s="609">
        <f t="shared" si="10"/>
        <v>297.64</v>
      </c>
      <c r="T15" s="610">
        <f t="shared" si="11"/>
        <v>1533.1600000000003</v>
      </c>
      <c r="U15" s="611"/>
      <c r="V15" s="612"/>
      <c r="W15" s="613"/>
      <c r="X15" s="614"/>
      <c r="Y15" s="614"/>
      <c r="Z15" s="581"/>
      <c r="AA15" s="581"/>
      <c r="AB15" s="615"/>
      <c r="AC15" s="615"/>
      <c r="AD15" s="615"/>
      <c r="AE15" s="615"/>
      <c r="AF15" s="615"/>
      <c r="AG15" s="615"/>
      <c r="AH15" s="615"/>
      <c r="AI15" s="615"/>
      <c r="AJ15" s="615"/>
      <c r="AK15" s="615"/>
      <c r="AL15" s="616"/>
      <c r="AM15" s="581"/>
      <c r="AN15" s="581"/>
      <c r="AO15" s="615"/>
      <c r="AP15" s="615"/>
      <c r="AQ15" s="615"/>
      <c r="AR15" s="615"/>
      <c r="AS15" s="615"/>
      <c r="AT15" s="615"/>
      <c r="AU15" s="615"/>
      <c r="AV15" s="615"/>
      <c r="AW15" s="615"/>
      <c r="AX15" s="615"/>
      <c r="AY15" s="616"/>
      <c r="AZ15" s="581"/>
      <c r="BA15" s="581"/>
      <c r="BB15" s="581"/>
      <c r="BC15" s="581"/>
      <c r="BD15" s="581"/>
    </row>
    <row r="16" spans="1:56" x14ac:dyDescent="0.25">
      <c r="A16" s="59" t="s">
        <v>267</v>
      </c>
      <c r="B16" s="46">
        <v>5.0999999999999996</v>
      </c>
      <c r="C16" s="605" t="s">
        <v>25</v>
      </c>
      <c r="D16" s="606">
        <v>10</v>
      </c>
      <c r="E16" s="317">
        <v>3</v>
      </c>
      <c r="F16" s="320">
        <v>1287</v>
      </c>
      <c r="G16" s="373">
        <v>1287</v>
      </c>
      <c r="H16" s="373">
        <v>0</v>
      </c>
      <c r="I16" s="393">
        <v>0.8</v>
      </c>
      <c r="J16" s="607">
        <f>ROUND(G16*(1+'29_01_H_2020'!$F$14),2)</f>
        <v>1415.7</v>
      </c>
      <c r="K16" s="608">
        <f t="shared" si="3"/>
        <v>1287</v>
      </c>
      <c r="L16" s="608">
        <f t="shared" si="4"/>
        <v>0</v>
      </c>
      <c r="M16" s="608">
        <f t="shared" si="5"/>
        <v>128.70000000000005</v>
      </c>
      <c r="N16" s="608">
        <f t="shared" si="6"/>
        <v>0</v>
      </c>
      <c r="O16" s="608">
        <f t="shared" si="7"/>
        <v>0</v>
      </c>
      <c r="P16" s="609">
        <f t="shared" si="8"/>
        <v>128.70000000000005</v>
      </c>
      <c r="Q16" s="609">
        <f t="shared" si="2"/>
        <v>102.96000000000004</v>
      </c>
      <c r="R16" s="609">
        <f t="shared" si="9"/>
        <v>1235.5200000000004</v>
      </c>
      <c r="S16" s="609">
        <f t="shared" si="10"/>
        <v>297.64</v>
      </c>
      <c r="T16" s="610">
        <f t="shared" si="11"/>
        <v>1533.1600000000003</v>
      </c>
      <c r="U16" s="611"/>
      <c r="V16" s="612"/>
      <c r="W16" s="613"/>
      <c r="X16" s="614"/>
      <c r="Y16" s="614"/>
      <c r="Z16" s="581"/>
      <c r="AA16" s="581"/>
      <c r="AB16" s="615"/>
      <c r="AC16" s="615"/>
      <c r="AD16" s="615"/>
      <c r="AE16" s="615"/>
      <c r="AF16" s="615"/>
      <c r="AG16" s="615"/>
      <c r="AH16" s="615"/>
      <c r="AI16" s="615"/>
      <c r="AJ16" s="615"/>
      <c r="AK16" s="615"/>
      <c r="AL16" s="616"/>
      <c r="AM16" s="581"/>
      <c r="AN16" s="581"/>
      <c r="AO16" s="615"/>
      <c r="AP16" s="615"/>
      <c r="AQ16" s="615"/>
      <c r="AR16" s="615"/>
      <c r="AS16" s="615"/>
      <c r="AT16" s="615"/>
      <c r="AU16" s="615"/>
      <c r="AV16" s="615"/>
      <c r="AW16" s="615"/>
      <c r="AX16" s="615"/>
      <c r="AY16" s="616"/>
      <c r="AZ16" s="581"/>
      <c r="BA16" s="581"/>
      <c r="BB16" s="581"/>
      <c r="BC16" s="581"/>
      <c r="BD16" s="581"/>
    </row>
    <row r="17" spans="1:56" x14ac:dyDescent="0.25">
      <c r="A17" s="59" t="s">
        <v>267</v>
      </c>
      <c r="B17" s="46">
        <v>5.0999999999999996</v>
      </c>
      <c r="C17" s="605" t="s">
        <v>25</v>
      </c>
      <c r="D17" s="606">
        <v>10</v>
      </c>
      <c r="E17" s="317">
        <v>3</v>
      </c>
      <c r="F17" s="320">
        <v>1287</v>
      </c>
      <c r="G17" s="373">
        <v>1287</v>
      </c>
      <c r="H17" s="373">
        <v>0</v>
      </c>
      <c r="I17" s="393">
        <v>0.4</v>
      </c>
      <c r="J17" s="607">
        <f>ROUND(G17*(1+'29_01_H_2020'!$F$14),2)</f>
        <v>1415.7</v>
      </c>
      <c r="K17" s="608">
        <f t="shared" si="3"/>
        <v>1287</v>
      </c>
      <c r="L17" s="608">
        <f t="shared" si="4"/>
        <v>0</v>
      </c>
      <c r="M17" s="608">
        <f t="shared" si="5"/>
        <v>128.70000000000005</v>
      </c>
      <c r="N17" s="608">
        <f t="shared" si="6"/>
        <v>0</v>
      </c>
      <c r="O17" s="608">
        <f t="shared" si="7"/>
        <v>0</v>
      </c>
      <c r="P17" s="609">
        <f t="shared" si="8"/>
        <v>128.70000000000005</v>
      </c>
      <c r="Q17" s="609">
        <f t="shared" si="2"/>
        <v>51.480000000000018</v>
      </c>
      <c r="R17" s="609">
        <f t="shared" si="9"/>
        <v>617.76000000000022</v>
      </c>
      <c r="S17" s="609">
        <f t="shared" si="10"/>
        <v>148.82</v>
      </c>
      <c r="T17" s="610">
        <f t="shared" si="11"/>
        <v>766.58000000000015</v>
      </c>
      <c r="U17" s="611"/>
      <c r="V17" s="612"/>
      <c r="W17" s="613"/>
      <c r="X17" s="614"/>
      <c r="Y17" s="614"/>
      <c r="Z17" s="581"/>
      <c r="AA17" s="581"/>
      <c r="AB17" s="615"/>
      <c r="AC17" s="615"/>
      <c r="AD17" s="615"/>
      <c r="AE17" s="615"/>
      <c r="AF17" s="615"/>
      <c r="AG17" s="615"/>
      <c r="AH17" s="615"/>
      <c r="AI17" s="615"/>
      <c r="AJ17" s="615"/>
      <c r="AK17" s="615"/>
      <c r="AL17" s="616"/>
      <c r="AM17" s="581"/>
      <c r="AN17" s="581"/>
      <c r="AO17" s="615"/>
      <c r="AP17" s="615"/>
      <c r="AQ17" s="615"/>
      <c r="AR17" s="615"/>
      <c r="AS17" s="615"/>
      <c r="AT17" s="615"/>
      <c r="AU17" s="615"/>
      <c r="AV17" s="615"/>
      <c r="AW17" s="615"/>
      <c r="AX17" s="615"/>
      <c r="AY17" s="616"/>
      <c r="AZ17" s="581"/>
      <c r="BA17" s="581"/>
      <c r="BB17" s="581"/>
      <c r="BC17" s="581"/>
      <c r="BD17" s="581"/>
    </row>
    <row r="18" spans="1:56" x14ac:dyDescent="0.25">
      <c r="A18" s="59" t="s">
        <v>267</v>
      </c>
      <c r="B18" s="46">
        <v>5.0999999999999996</v>
      </c>
      <c r="C18" s="605" t="s">
        <v>25</v>
      </c>
      <c r="D18" s="606">
        <v>10</v>
      </c>
      <c r="E18" s="317">
        <v>3</v>
      </c>
      <c r="F18" s="320">
        <v>1287</v>
      </c>
      <c r="G18" s="373">
        <v>1287</v>
      </c>
      <c r="H18" s="373">
        <v>0</v>
      </c>
      <c r="I18" s="393">
        <v>0.8</v>
      </c>
      <c r="J18" s="607">
        <f>ROUND(G18*(1+'29_01_H_2020'!$F$14),2)</f>
        <v>1415.7</v>
      </c>
      <c r="K18" s="608">
        <f t="shared" si="3"/>
        <v>1287</v>
      </c>
      <c r="L18" s="608">
        <f t="shared" si="4"/>
        <v>0</v>
      </c>
      <c r="M18" s="608">
        <f t="shared" si="5"/>
        <v>128.70000000000005</v>
      </c>
      <c r="N18" s="608">
        <f t="shared" si="6"/>
        <v>0</v>
      </c>
      <c r="O18" s="608">
        <f t="shared" si="7"/>
        <v>0</v>
      </c>
      <c r="P18" s="609">
        <f t="shared" si="8"/>
        <v>128.70000000000005</v>
      </c>
      <c r="Q18" s="609">
        <f t="shared" si="2"/>
        <v>102.96000000000004</v>
      </c>
      <c r="R18" s="609">
        <f t="shared" si="9"/>
        <v>1235.5200000000004</v>
      </c>
      <c r="S18" s="609">
        <f t="shared" si="10"/>
        <v>297.64</v>
      </c>
      <c r="T18" s="610">
        <f t="shared" si="11"/>
        <v>1533.1600000000003</v>
      </c>
      <c r="U18" s="611"/>
      <c r="V18" s="612"/>
      <c r="W18" s="613"/>
      <c r="X18" s="614"/>
      <c r="Y18" s="614"/>
      <c r="Z18" s="581"/>
      <c r="AA18" s="581"/>
      <c r="AB18" s="615"/>
      <c r="AC18" s="615"/>
      <c r="AD18" s="615"/>
      <c r="AE18" s="615"/>
      <c r="AF18" s="615"/>
      <c r="AG18" s="615"/>
      <c r="AH18" s="615"/>
      <c r="AI18" s="615"/>
      <c r="AJ18" s="615"/>
      <c r="AK18" s="615"/>
      <c r="AL18" s="616"/>
      <c r="AM18" s="581"/>
      <c r="AN18" s="581"/>
      <c r="AO18" s="615"/>
      <c r="AP18" s="615"/>
      <c r="AQ18" s="615"/>
      <c r="AR18" s="615"/>
      <c r="AS18" s="615"/>
      <c r="AT18" s="615"/>
      <c r="AU18" s="615"/>
      <c r="AV18" s="615"/>
      <c r="AW18" s="615"/>
      <c r="AX18" s="615"/>
      <c r="AY18" s="616"/>
      <c r="AZ18" s="581"/>
      <c r="BA18" s="581"/>
      <c r="BB18" s="581"/>
      <c r="BC18" s="581"/>
      <c r="BD18" s="581"/>
    </row>
    <row r="19" spans="1:56" x14ac:dyDescent="0.25">
      <c r="A19" s="59" t="s">
        <v>267</v>
      </c>
      <c r="B19" s="46">
        <v>5.0999999999999996</v>
      </c>
      <c r="C19" s="605" t="s">
        <v>25</v>
      </c>
      <c r="D19" s="606">
        <v>10</v>
      </c>
      <c r="E19" s="317">
        <v>3</v>
      </c>
      <c r="F19" s="320">
        <v>1287</v>
      </c>
      <c r="G19" s="373">
        <v>1287</v>
      </c>
      <c r="H19" s="373">
        <v>0</v>
      </c>
      <c r="I19" s="393">
        <v>1</v>
      </c>
      <c r="J19" s="607">
        <f>ROUND(G19*(1+'29_01_H_2020'!$F$14),2)</f>
        <v>1415.7</v>
      </c>
      <c r="K19" s="608">
        <f t="shared" si="3"/>
        <v>1287</v>
      </c>
      <c r="L19" s="608">
        <f t="shared" si="4"/>
        <v>0</v>
      </c>
      <c r="M19" s="608">
        <f t="shared" si="5"/>
        <v>128.70000000000005</v>
      </c>
      <c r="N19" s="608">
        <f t="shared" si="6"/>
        <v>0</v>
      </c>
      <c r="O19" s="608">
        <f t="shared" si="7"/>
        <v>0</v>
      </c>
      <c r="P19" s="609">
        <f t="shared" si="8"/>
        <v>128.70000000000005</v>
      </c>
      <c r="Q19" s="609">
        <f t="shared" si="2"/>
        <v>128.70000000000005</v>
      </c>
      <c r="R19" s="609">
        <f t="shared" si="9"/>
        <v>1544.4000000000005</v>
      </c>
      <c r="S19" s="609">
        <f t="shared" si="10"/>
        <v>372.05</v>
      </c>
      <c r="T19" s="610">
        <f t="shared" si="11"/>
        <v>1916.4500000000005</v>
      </c>
      <c r="U19" s="611"/>
      <c r="V19" s="612"/>
      <c r="W19" s="613"/>
      <c r="X19" s="614"/>
      <c r="Y19" s="614"/>
      <c r="Z19" s="581"/>
      <c r="AA19" s="581"/>
      <c r="AB19" s="615"/>
      <c r="AC19" s="615"/>
      <c r="AD19" s="615"/>
      <c r="AE19" s="615"/>
      <c r="AF19" s="615"/>
      <c r="AG19" s="615"/>
      <c r="AH19" s="615"/>
      <c r="AI19" s="615"/>
      <c r="AJ19" s="615"/>
      <c r="AK19" s="615"/>
      <c r="AL19" s="616"/>
      <c r="AM19" s="581"/>
      <c r="AN19" s="581"/>
      <c r="AO19" s="615"/>
      <c r="AP19" s="615"/>
      <c r="AQ19" s="615"/>
      <c r="AR19" s="615"/>
      <c r="AS19" s="615"/>
      <c r="AT19" s="615"/>
      <c r="AU19" s="615"/>
      <c r="AV19" s="615"/>
      <c r="AW19" s="615"/>
      <c r="AX19" s="615"/>
      <c r="AY19" s="616"/>
      <c r="AZ19" s="581"/>
      <c r="BA19" s="581"/>
      <c r="BB19" s="581"/>
      <c r="BC19" s="581"/>
      <c r="BD19" s="581"/>
    </row>
    <row r="20" spans="1:56" x14ac:dyDescent="0.25">
      <c r="A20" s="59" t="s">
        <v>267</v>
      </c>
      <c r="B20" s="46">
        <v>5.0999999999999996</v>
      </c>
      <c r="C20" s="605" t="s">
        <v>25</v>
      </c>
      <c r="D20" s="606">
        <v>10</v>
      </c>
      <c r="E20" s="317">
        <v>3</v>
      </c>
      <c r="F20" s="320">
        <v>1287</v>
      </c>
      <c r="G20" s="373">
        <v>1287</v>
      </c>
      <c r="H20" s="373">
        <v>0</v>
      </c>
      <c r="I20" s="393">
        <v>0.8</v>
      </c>
      <c r="J20" s="607">
        <f>ROUND(G20*(1+'29_01_H_2020'!$F$14),2)</f>
        <v>1415.7</v>
      </c>
      <c r="K20" s="608">
        <f t="shared" si="3"/>
        <v>1287</v>
      </c>
      <c r="L20" s="608">
        <f t="shared" si="4"/>
        <v>0</v>
      </c>
      <c r="M20" s="608">
        <f t="shared" si="5"/>
        <v>128.70000000000005</v>
      </c>
      <c r="N20" s="608">
        <f t="shared" si="6"/>
        <v>0</v>
      </c>
      <c r="O20" s="608">
        <f t="shared" si="7"/>
        <v>0</v>
      </c>
      <c r="P20" s="609">
        <f t="shared" si="8"/>
        <v>128.70000000000005</v>
      </c>
      <c r="Q20" s="609">
        <f t="shared" si="2"/>
        <v>102.96000000000004</v>
      </c>
      <c r="R20" s="609">
        <f t="shared" si="9"/>
        <v>1235.5200000000004</v>
      </c>
      <c r="S20" s="609">
        <f t="shared" si="10"/>
        <v>297.64</v>
      </c>
      <c r="T20" s="610">
        <f t="shared" si="11"/>
        <v>1533.1600000000003</v>
      </c>
      <c r="U20" s="611"/>
      <c r="V20" s="612"/>
      <c r="W20" s="613"/>
      <c r="X20" s="614"/>
      <c r="Y20" s="614"/>
      <c r="Z20" s="581"/>
      <c r="AA20" s="581"/>
      <c r="AB20" s="615"/>
      <c r="AC20" s="615"/>
      <c r="AD20" s="615"/>
      <c r="AE20" s="615"/>
      <c r="AF20" s="615"/>
      <c r="AG20" s="615"/>
      <c r="AH20" s="615"/>
      <c r="AI20" s="615"/>
      <c r="AJ20" s="615"/>
      <c r="AK20" s="615"/>
      <c r="AL20" s="616"/>
      <c r="AM20" s="581"/>
      <c r="AN20" s="581"/>
      <c r="AO20" s="615"/>
      <c r="AP20" s="615"/>
      <c r="AQ20" s="615"/>
      <c r="AR20" s="615"/>
      <c r="AS20" s="615"/>
      <c r="AT20" s="615"/>
      <c r="AU20" s="615"/>
      <c r="AV20" s="615"/>
      <c r="AW20" s="615"/>
      <c r="AX20" s="615"/>
      <c r="AY20" s="616"/>
      <c r="AZ20" s="581"/>
      <c r="BA20" s="581"/>
      <c r="BB20" s="581"/>
      <c r="BC20" s="581"/>
      <c r="BD20" s="581"/>
    </row>
    <row r="21" spans="1:56" x14ac:dyDescent="0.25">
      <c r="A21" s="59" t="s">
        <v>267</v>
      </c>
      <c r="B21" s="46">
        <v>5.0999999999999996</v>
      </c>
      <c r="C21" s="605" t="s">
        <v>25</v>
      </c>
      <c r="D21" s="606">
        <v>10</v>
      </c>
      <c r="E21" s="317">
        <v>3</v>
      </c>
      <c r="F21" s="320">
        <v>1287</v>
      </c>
      <c r="G21" s="373">
        <v>1287</v>
      </c>
      <c r="H21" s="373">
        <v>0</v>
      </c>
      <c r="I21" s="393">
        <v>0.2</v>
      </c>
      <c r="J21" s="607">
        <f>ROUND(G21*(1+'29_01_H_2020'!$F$14),2)</f>
        <v>1415.7</v>
      </c>
      <c r="K21" s="608">
        <f t="shared" si="3"/>
        <v>1287</v>
      </c>
      <c r="L21" s="608">
        <f t="shared" si="4"/>
        <v>0</v>
      </c>
      <c r="M21" s="608">
        <f t="shared" si="5"/>
        <v>128.70000000000005</v>
      </c>
      <c r="N21" s="608">
        <f t="shared" si="6"/>
        <v>0</v>
      </c>
      <c r="O21" s="608">
        <f t="shared" si="7"/>
        <v>0</v>
      </c>
      <c r="P21" s="609">
        <f t="shared" si="8"/>
        <v>128.70000000000005</v>
      </c>
      <c r="Q21" s="609">
        <f t="shared" si="2"/>
        <v>25.740000000000009</v>
      </c>
      <c r="R21" s="609">
        <f t="shared" si="9"/>
        <v>308.88000000000011</v>
      </c>
      <c r="S21" s="609">
        <f t="shared" si="10"/>
        <v>74.41</v>
      </c>
      <c r="T21" s="610">
        <f t="shared" si="11"/>
        <v>383.29000000000008</v>
      </c>
      <c r="U21" s="611"/>
      <c r="V21" s="612"/>
      <c r="W21" s="613"/>
      <c r="X21" s="614"/>
      <c r="Y21" s="614"/>
      <c r="Z21" s="581"/>
      <c r="AA21" s="581"/>
      <c r="AB21" s="615"/>
      <c r="AC21" s="615"/>
      <c r="AD21" s="615"/>
      <c r="AE21" s="615"/>
      <c r="AF21" s="615"/>
      <c r="AG21" s="615"/>
      <c r="AH21" s="615"/>
      <c r="AI21" s="615"/>
      <c r="AJ21" s="615"/>
      <c r="AK21" s="615"/>
      <c r="AL21" s="616"/>
      <c r="AM21" s="581"/>
      <c r="AN21" s="581"/>
      <c r="AO21" s="615"/>
      <c r="AP21" s="615"/>
      <c r="AQ21" s="615"/>
      <c r="AR21" s="615"/>
      <c r="AS21" s="615"/>
      <c r="AT21" s="615"/>
      <c r="AU21" s="615"/>
      <c r="AV21" s="615"/>
      <c r="AW21" s="615"/>
      <c r="AX21" s="615"/>
      <c r="AY21" s="616"/>
      <c r="AZ21" s="581"/>
      <c r="BA21" s="581"/>
      <c r="BB21" s="581"/>
      <c r="BC21" s="581"/>
      <c r="BD21" s="581"/>
    </row>
    <row r="22" spans="1:56" x14ac:dyDescent="0.25">
      <c r="A22" s="59" t="s">
        <v>267</v>
      </c>
      <c r="B22" s="46">
        <v>5.0999999999999996</v>
      </c>
      <c r="C22" s="605" t="s">
        <v>25</v>
      </c>
      <c r="D22" s="606">
        <v>10</v>
      </c>
      <c r="E22" s="317">
        <v>3</v>
      </c>
      <c r="F22" s="320">
        <v>1287</v>
      </c>
      <c r="G22" s="373">
        <v>1287</v>
      </c>
      <c r="H22" s="373">
        <v>0</v>
      </c>
      <c r="I22" s="393">
        <v>1</v>
      </c>
      <c r="J22" s="607">
        <f>ROUND(G22*(1+'29_01_H_2020'!$F$14),2)</f>
        <v>1415.7</v>
      </c>
      <c r="K22" s="608">
        <f t="shared" si="3"/>
        <v>1287</v>
      </c>
      <c r="L22" s="608">
        <f t="shared" si="4"/>
        <v>0</v>
      </c>
      <c r="M22" s="608">
        <f t="shared" si="5"/>
        <v>128.70000000000005</v>
      </c>
      <c r="N22" s="608">
        <f t="shared" si="6"/>
        <v>0</v>
      </c>
      <c r="O22" s="608">
        <f t="shared" si="7"/>
        <v>0</v>
      </c>
      <c r="P22" s="609">
        <f t="shared" si="8"/>
        <v>128.70000000000005</v>
      </c>
      <c r="Q22" s="609">
        <f t="shared" si="2"/>
        <v>128.70000000000005</v>
      </c>
      <c r="R22" s="609">
        <f t="shared" si="9"/>
        <v>1544.4000000000005</v>
      </c>
      <c r="S22" s="609">
        <f t="shared" si="10"/>
        <v>372.05</v>
      </c>
      <c r="T22" s="610">
        <f t="shared" si="11"/>
        <v>1916.4500000000005</v>
      </c>
      <c r="U22" s="611"/>
      <c r="V22" s="612"/>
      <c r="W22" s="613"/>
      <c r="X22" s="614"/>
      <c r="Y22" s="614"/>
      <c r="Z22" s="581"/>
      <c r="AA22" s="581"/>
      <c r="AB22" s="615"/>
      <c r="AC22" s="615"/>
      <c r="AD22" s="615"/>
      <c r="AE22" s="615"/>
      <c r="AF22" s="615"/>
      <c r="AG22" s="615"/>
      <c r="AH22" s="615"/>
      <c r="AI22" s="615"/>
      <c r="AJ22" s="615"/>
      <c r="AK22" s="615"/>
      <c r="AL22" s="616"/>
      <c r="AM22" s="581"/>
      <c r="AN22" s="581"/>
      <c r="AO22" s="615"/>
      <c r="AP22" s="615"/>
      <c r="AQ22" s="615"/>
      <c r="AR22" s="615"/>
      <c r="AS22" s="615"/>
      <c r="AT22" s="615"/>
      <c r="AU22" s="615"/>
      <c r="AV22" s="615"/>
      <c r="AW22" s="615"/>
      <c r="AX22" s="615"/>
      <c r="AY22" s="616"/>
      <c r="AZ22" s="581"/>
      <c r="BA22" s="581"/>
      <c r="BB22" s="581"/>
      <c r="BC22" s="581"/>
      <c r="BD22" s="581"/>
    </row>
    <row r="23" spans="1:56" x14ac:dyDescent="0.25">
      <c r="A23" s="59" t="s">
        <v>267</v>
      </c>
      <c r="B23" s="46">
        <v>5.0999999999999996</v>
      </c>
      <c r="C23" s="605" t="s">
        <v>25</v>
      </c>
      <c r="D23" s="606">
        <v>10</v>
      </c>
      <c r="E23" s="317">
        <v>3</v>
      </c>
      <c r="F23" s="320">
        <v>1287</v>
      </c>
      <c r="G23" s="373">
        <v>1287</v>
      </c>
      <c r="H23" s="373">
        <v>0</v>
      </c>
      <c r="I23" s="393">
        <v>0.3</v>
      </c>
      <c r="J23" s="607">
        <f>ROUND(G23*(1+'29_01_H_2020'!$F$14),2)</f>
        <v>1415.7</v>
      </c>
      <c r="K23" s="608">
        <f t="shared" si="3"/>
        <v>1287</v>
      </c>
      <c r="L23" s="608">
        <f t="shared" si="4"/>
        <v>0</v>
      </c>
      <c r="M23" s="608">
        <f t="shared" si="5"/>
        <v>128.70000000000005</v>
      </c>
      <c r="N23" s="608">
        <f t="shared" si="6"/>
        <v>0</v>
      </c>
      <c r="O23" s="608">
        <f t="shared" si="7"/>
        <v>0</v>
      </c>
      <c r="P23" s="609">
        <f t="shared" si="8"/>
        <v>128.70000000000005</v>
      </c>
      <c r="Q23" s="609">
        <f t="shared" si="2"/>
        <v>38.610000000000014</v>
      </c>
      <c r="R23" s="609">
        <f t="shared" si="9"/>
        <v>463.32000000000016</v>
      </c>
      <c r="S23" s="609">
        <f t="shared" si="10"/>
        <v>111.61</v>
      </c>
      <c r="T23" s="610">
        <f t="shared" si="11"/>
        <v>574.93000000000018</v>
      </c>
      <c r="U23" s="611"/>
      <c r="V23" s="612"/>
      <c r="W23" s="613"/>
      <c r="X23" s="614"/>
      <c r="Y23" s="614"/>
      <c r="Z23" s="581"/>
      <c r="AA23" s="581"/>
      <c r="AB23" s="615"/>
      <c r="AC23" s="615"/>
      <c r="AD23" s="615"/>
      <c r="AE23" s="615"/>
      <c r="AF23" s="615"/>
      <c r="AG23" s="615"/>
      <c r="AH23" s="615"/>
      <c r="AI23" s="615"/>
      <c r="AJ23" s="615"/>
      <c r="AK23" s="615"/>
      <c r="AL23" s="616"/>
      <c r="AM23" s="581"/>
      <c r="AN23" s="581"/>
      <c r="AO23" s="615"/>
      <c r="AP23" s="615"/>
      <c r="AQ23" s="615"/>
      <c r="AR23" s="615"/>
      <c r="AS23" s="615"/>
      <c r="AT23" s="615"/>
      <c r="AU23" s="615"/>
      <c r="AV23" s="615"/>
      <c r="AW23" s="615"/>
      <c r="AX23" s="615"/>
      <c r="AY23" s="616"/>
      <c r="AZ23" s="581"/>
      <c r="BA23" s="581"/>
      <c r="BB23" s="581"/>
      <c r="BC23" s="581"/>
      <c r="BD23" s="581"/>
    </row>
    <row r="24" spans="1:56" x14ac:dyDescent="0.25">
      <c r="A24" s="59" t="s">
        <v>267</v>
      </c>
      <c r="B24" s="46">
        <v>5.0999999999999996</v>
      </c>
      <c r="C24" s="605" t="s">
        <v>25</v>
      </c>
      <c r="D24" s="606">
        <v>10</v>
      </c>
      <c r="E24" s="317">
        <v>3</v>
      </c>
      <c r="F24" s="320">
        <v>1287</v>
      </c>
      <c r="G24" s="373">
        <v>1287</v>
      </c>
      <c r="H24" s="373">
        <v>0</v>
      </c>
      <c r="I24" s="393">
        <v>0.8</v>
      </c>
      <c r="J24" s="607">
        <f>ROUND(G24*(1+'29_01_H_2020'!$F$14),2)</f>
        <v>1415.7</v>
      </c>
      <c r="K24" s="608">
        <f t="shared" si="3"/>
        <v>1287</v>
      </c>
      <c r="L24" s="608">
        <f t="shared" si="4"/>
        <v>0</v>
      </c>
      <c r="M24" s="608">
        <f t="shared" si="5"/>
        <v>128.70000000000005</v>
      </c>
      <c r="N24" s="608">
        <f t="shared" si="6"/>
        <v>0</v>
      </c>
      <c r="O24" s="608">
        <f t="shared" si="7"/>
        <v>0</v>
      </c>
      <c r="P24" s="609">
        <f t="shared" si="8"/>
        <v>128.70000000000005</v>
      </c>
      <c r="Q24" s="609">
        <f t="shared" si="2"/>
        <v>102.96000000000004</v>
      </c>
      <c r="R24" s="609">
        <f t="shared" si="9"/>
        <v>1235.5200000000004</v>
      </c>
      <c r="S24" s="609">
        <f t="shared" si="10"/>
        <v>297.64</v>
      </c>
      <c r="T24" s="610">
        <f t="shared" si="11"/>
        <v>1533.1600000000003</v>
      </c>
      <c r="U24" s="611"/>
      <c r="V24" s="612"/>
      <c r="W24" s="613"/>
      <c r="X24" s="614"/>
      <c r="Y24" s="614"/>
      <c r="Z24" s="581"/>
      <c r="AA24" s="581"/>
      <c r="AB24" s="615"/>
      <c r="AC24" s="615"/>
      <c r="AD24" s="615"/>
      <c r="AE24" s="615"/>
      <c r="AF24" s="615"/>
      <c r="AG24" s="615"/>
      <c r="AH24" s="615"/>
      <c r="AI24" s="615"/>
      <c r="AJ24" s="615"/>
      <c r="AK24" s="615"/>
      <c r="AL24" s="616"/>
      <c r="AM24" s="581"/>
      <c r="AN24" s="581"/>
      <c r="AO24" s="615"/>
      <c r="AP24" s="615"/>
      <c r="AQ24" s="615"/>
      <c r="AR24" s="615"/>
      <c r="AS24" s="615"/>
      <c r="AT24" s="615"/>
      <c r="AU24" s="615"/>
      <c r="AV24" s="615"/>
      <c r="AW24" s="615"/>
      <c r="AX24" s="615"/>
      <c r="AY24" s="616"/>
      <c r="AZ24" s="581"/>
      <c r="BA24" s="581"/>
      <c r="BB24" s="581"/>
      <c r="BC24" s="581"/>
      <c r="BD24" s="581"/>
    </row>
    <row r="25" spans="1:56" x14ac:dyDescent="0.25">
      <c r="A25" s="59" t="s">
        <v>267</v>
      </c>
      <c r="B25" s="46">
        <v>5.0999999999999996</v>
      </c>
      <c r="C25" s="605" t="s">
        <v>25</v>
      </c>
      <c r="D25" s="606">
        <v>10</v>
      </c>
      <c r="E25" s="317">
        <v>3</v>
      </c>
      <c r="F25" s="320">
        <v>1287</v>
      </c>
      <c r="G25" s="373">
        <v>1287</v>
      </c>
      <c r="H25" s="373">
        <v>0</v>
      </c>
      <c r="I25" s="393">
        <v>1</v>
      </c>
      <c r="J25" s="607">
        <f>ROUND(G25*(1+'29_01_H_2020'!$F$14),2)</f>
        <v>1415.7</v>
      </c>
      <c r="K25" s="608">
        <f t="shared" si="3"/>
        <v>1287</v>
      </c>
      <c r="L25" s="608">
        <f t="shared" si="4"/>
        <v>0</v>
      </c>
      <c r="M25" s="608">
        <f t="shared" si="5"/>
        <v>128.70000000000005</v>
      </c>
      <c r="N25" s="608">
        <f t="shared" si="6"/>
        <v>0</v>
      </c>
      <c r="O25" s="608">
        <f t="shared" si="7"/>
        <v>0</v>
      </c>
      <c r="P25" s="609">
        <f t="shared" si="8"/>
        <v>128.70000000000005</v>
      </c>
      <c r="Q25" s="609">
        <f t="shared" si="2"/>
        <v>128.70000000000005</v>
      </c>
      <c r="R25" s="609">
        <f t="shared" si="9"/>
        <v>1544.4000000000005</v>
      </c>
      <c r="S25" s="609">
        <f t="shared" si="10"/>
        <v>372.05</v>
      </c>
      <c r="T25" s="610">
        <f t="shared" si="11"/>
        <v>1916.4500000000005</v>
      </c>
      <c r="U25" s="611"/>
      <c r="V25" s="612"/>
      <c r="W25" s="613"/>
      <c r="X25" s="614"/>
      <c r="Y25" s="614"/>
      <c r="Z25" s="581"/>
      <c r="AA25" s="581"/>
      <c r="AB25" s="615"/>
      <c r="AC25" s="615"/>
      <c r="AD25" s="615"/>
      <c r="AE25" s="615"/>
      <c r="AF25" s="615"/>
      <c r="AG25" s="615"/>
      <c r="AH25" s="615"/>
      <c r="AI25" s="615"/>
      <c r="AJ25" s="615"/>
      <c r="AK25" s="615"/>
      <c r="AL25" s="616"/>
      <c r="AM25" s="581"/>
      <c r="AN25" s="581"/>
      <c r="AO25" s="615"/>
      <c r="AP25" s="615"/>
      <c r="AQ25" s="615"/>
      <c r="AR25" s="615"/>
      <c r="AS25" s="615"/>
      <c r="AT25" s="615"/>
      <c r="AU25" s="615"/>
      <c r="AV25" s="615"/>
      <c r="AW25" s="615"/>
      <c r="AX25" s="615"/>
      <c r="AY25" s="616"/>
      <c r="AZ25" s="581"/>
      <c r="BA25" s="581"/>
      <c r="BB25" s="581"/>
      <c r="BC25" s="581"/>
      <c r="BD25" s="581"/>
    </row>
    <row r="26" spans="1:56" x14ac:dyDescent="0.25">
      <c r="A26" s="59" t="s">
        <v>267</v>
      </c>
      <c r="B26" s="46">
        <v>5.0999999999999996</v>
      </c>
      <c r="C26" s="605" t="s">
        <v>25</v>
      </c>
      <c r="D26" s="606">
        <v>10</v>
      </c>
      <c r="E26" s="317">
        <v>3</v>
      </c>
      <c r="F26" s="320">
        <v>1287</v>
      </c>
      <c r="G26" s="373">
        <v>1287</v>
      </c>
      <c r="H26" s="373">
        <v>0</v>
      </c>
      <c r="I26" s="393">
        <v>1</v>
      </c>
      <c r="J26" s="607">
        <f>ROUND(G26*(1+'29_01_H_2020'!$F$14),2)</f>
        <v>1415.7</v>
      </c>
      <c r="K26" s="608">
        <f t="shared" si="3"/>
        <v>1287</v>
      </c>
      <c r="L26" s="608">
        <f t="shared" si="4"/>
        <v>0</v>
      </c>
      <c r="M26" s="608">
        <f t="shared" si="5"/>
        <v>128.70000000000005</v>
      </c>
      <c r="N26" s="608">
        <f t="shared" si="6"/>
        <v>0</v>
      </c>
      <c r="O26" s="608">
        <f t="shared" si="7"/>
        <v>0</v>
      </c>
      <c r="P26" s="609">
        <f t="shared" si="8"/>
        <v>128.70000000000005</v>
      </c>
      <c r="Q26" s="609">
        <f t="shared" si="2"/>
        <v>128.70000000000005</v>
      </c>
      <c r="R26" s="609">
        <f t="shared" si="9"/>
        <v>1544.4000000000005</v>
      </c>
      <c r="S26" s="609">
        <f t="shared" si="10"/>
        <v>372.05</v>
      </c>
      <c r="T26" s="610">
        <f t="shared" si="11"/>
        <v>1916.4500000000005</v>
      </c>
      <c r="U26" s="611"/>
      <c r="V26" s="612"/>
      <c r="W26" s="613"/>
      <c r="X26" s="614"/>
      <c r="Y26" s="614"/>
      <c r="Z26" s="581"/>
      <c r="AA26" s="581"/>
      <c r="AB26" s="615"/>
      <c r="AC26" s="615"/>
      <c r="AD26" s="615"/>
      <c r="AE26" s="615"/>
      <c r="AF26" s="615"/>
      <c r="AG26" s="615"/>
      <c r="AH26" s="615"/>
      <c r="AI26" s="615"/>
      <c r="AJ26" s="615"/>
      <c r="AK26" s="615"/>
      <c r="AL26" s="616"/>
      <c r="AM26" s="581"/>
      <c r="AN26" s="581"/>
      <c r="AO26" s="615"/>
      <c r="AP26" s="615"/>
      <c r="AQ26" s="615"/>
      <c r="AR26" s="615"/>
      <c r="AS26" s="615"/>
      <c r="AT26" s="615"/>
      <c r="AU26" s="615"/>
      <c r="AV26" s="615"/>
      <c r="AW26" s="615"/>
      <c r="AX26" s="615"/>
      <c r="AY26" s="616"/>
      <c r="AZ26" s="581"/>
      <c r="BA26" s="581"/>
      <c r="BB26" s="581"/>
      <c r="BC26" s="581"/>
      <c r="BD26" s="581"/>
    </row>
    <row r="27" spans="1:56" x14ac:dyDescent="0.25">
      <c r="A27" s="59" t="s">
        <v>267</v>
      </c>
      <c r="B27" s="46">
        <v>5.0999999999999996</v>
      </c>
      <c r="C27" s="605" t="s">
        <v>25</v>
      </c>
      <c r="D27" s="606">
        <v>10</v>
      </c>
      <c r="E27" s="317">
        <v>3</v>
      </c>
      <c r="F27" s="320">
        <v>1287</v>
      </c>
      <c r="G27" s="373">
        <v>1287</v>
      </c>
      <c r="H27" s="373">
        <v>0</v>
      </c>
      <c r="I27" s="393">
        <v>1</v>
      </c>
      <c r="J27" s="607">
        <f>ROUND(G27*(1+'29_01_H_2020'!$F$14),2)</f>
        <v>1415.7</v>
      </c>
      <c r="K27" s="608">
        <f t="shared" si="3"/>
        <v>1287</v>
      </c>
      <c r="L27" s="608">
        <f t="shared" si="4"/>
        <v>0</v>
      </c>
      <c r="M27" s="608">
        <f t="shared" si="5"/>
        <v>128.70000000000005</v>
      </c>
      <c r="N27" s="608">
        <f t="shared" si="6"/>
        <v>0</v>
      </c>
      <c r="O27" s="608">
        <f t="shared" si="7"/>
        <v>0</v>
      </c>
      <c r="P27" s="609">
        <f t="shared" si="8"/>
        <v>128.70000000000005</v>
      </c>
      <c r="Q27" s="609">
        <f t="shared" si="2"/>
        <v>128.70000000000005</v>
      </c>
      <c r="R27" s="609">
        <f t="shared" si="9"/>
        <v>1544.4000000000005</v>
      </c>
      <c r="S27" s="609">
        <f t="shared" si="10"/>
        <v>372.05</v>
      </c>
      <c r="T27" s="610">
        <f t="shared" si="11"/>
        <v>1916.4500000000005</v>
      </c>
      <c r="U27" s="611"/>
      <c r="V27" s="612"/>
      <c r="W27" s="613"/>
      <c r="X27" s="614"/>
      <c r="Y27" s="614"/>
      <c r="Z27" s="581"/>
      <c r="AA27" s="581"/>
      <c r="AB27" s="615"/>
      <c r="AC27" s="615"/>
      <c r="AD27" s="615"/>
      <c r="AE27" s="615"/>
      <c r="AF27" s="615"/>
      <c r="AG27" s="615"/>
      <c r="AH27" s="615"/>
      <c r="AI27" s="615"/>
      <c r="AJ27" s="615"/>
      <c r="AK27" s="615"/>
      <c r="AL27" s="616"/>
      <c r="AM27" s="581"/>
      <c r="AN27" s="581"/>
      <c r="AO27" s="615"/>
      <c r="AP27" s="615"/>
      <c r="AQ27" s="615"/>
      <c r="AR27" s="615"/>
      <c r="AS27" s="615"/>
      <c r="AT27" s="615"/>
      <c r="AU27" s="615"/>
      <c r="AV27" s="615"/>
      <c r="AW27" s="615"/>
      <c r="AX27" s="615"/>
      <c r="AY27" s="616"/>
      <c r="AZ27" s="581"/>
      <c r="BA27" s="581"/>
      <c r="BB27" s="581"/>
      <c r="BC27" s="581"/>
      <c r="BD27" s="581"/>
    </row>
    <row r="28" spans="1:56" x14ac:dyDescent="0.25">
      <c r="A28" s="59" t="s">
        <v>267</v>
      </c>
      <c r="B28" s="46">
        <v>5.0999999999999996</v>
      </c>
      <c r="C28" s="605" t="s">
        <v>25</v>
      </c>
      <c r="D28" s="606">
        <v>10</v>
      </c>
      <c r="E28" s="317">
        <v>3</v>
      </c>
      <c r="F28" s="320">
        <v>1287</v>
      </c>
      <c r="G28" s="373">
        <v>1287</v>
      </c>
      <c r="H28" s="373">
        <v>0</v>
      </c>
      <c r="I28" s="393">
        <v>1</v>
      </c>
      <c r="J28" s="607">
        <f>ROUND(G28*(1+'29_01_H_2020'!$F$14),2)</f>
        <v>1415.7</v>
      </c>
      <c r="K28" s="608">
        <f t="shared" si="3"/>
        <v>1287</v>
      </c>
      <c r="L28" s="608">
        <f t="shared" si="4"/>
        <v>0</v>
      </c>
      <c r="M28" s="608">
        <f t="shared" si="5"/>
        <v>128.70000000000005</v>
      </c>
      <c r="N28" s="608">
        <f t="shared" si="6"/>
        <v>0</v>
      </c>
      <c r="O28" s="608">
        <f t="shared" si="7"/>
        <v>0</v>
      </c>
      <c r="P28" s="609">
        <f t="shared" si="8"/>
        <v>128.70000000000005</v>
      </c>
      <c r="Q28" s="609">
        <f t="shared" si="2"/>
        <v>128.70000000000005</v>
      </c>
      <c r="R28" s="609">
        <f t="shared" si="9"/>
        <v>1544.4000000000005</v>
      </c>
      <c r="S28" s="609">
        <f t="shared" si="10"/>
        <v>372.05</v>
      </c>
      <c r="T28" s="610">
        <f t="shared" si="11"/>
        <v>1916.4500000000005</v>
      </c>
      <c r="U28" s="611"/>
      <c r="V28" s="612"/>
      <c r="W28" s="613"/>
      <c r="X28" s="614"/>
      <c r="Y28" s="614"/>
      <c r="Z28" s="581"/>
      <c r="AA28" s="581"/>
      <c r="AB28" s="615"/>
      <c r="AC28" s="615"/>
      <c r="AD28" s="615"/>
      <c r="AE28" s="615"/>
      <c r="AF28" s="615"/>
      <c r="AG28" s="615"/>
      <c r="AH28" s="615"/>
      <c r="AI28" s="615"/>
      <c r="AJ28" s="615"/>
      <c r="AK28" s="615"/>
      <c r="AL28" s="616"/>
      <c r="AM28" s="581"/>
      <c r="AN28" s="581"/>
      <c r="AO28" s="615"/>
      <c r="AP28" s="615"/>
      <c r="AQ28" s="615"/>
      <c r="AR28" s="615"/>
      <c r="AS28" s="615"/>
      <c r="AT28" s="615"/>
      <c r="AU28" s="615"/>
      <c r="AV28" s="615"/>
      <c r="AW28" s="615"/>
      <c r="AX28" s="615"/>
      <c r="AY28" s="616"/>
      <c r="AZ28" s="581"/>
      <c r="BA28" s="581"/>
      <c r="BB28" s="581"/>
      <c r="BC28" s="581"/>
      <c r="BD28" s="581"/>
    </row>
    <row r="29" spans="1:56" x14ac:dyDescent="0.25">
      <c r="A29" s="59" t="s">
        <v>267</v>
      </c>
      <c r="B29" s="46">
        <v>5.0999999999999996</v>
      </c>
      <c r="C29" s="605" t="s">
        <v>25</v>
      </c>
      <c r="D29" s="606">
        <v>10</v>
      </c>
      <c r="E29" s="317">
        <v>3</v>
      </c>
      <c r="F29" s="320">
        <v>1287</v>
      </c>
      <c r="G29" s="373">
        <v>1287</v>
      </c>
      <c r="H29" s="373">
        <v>0</v>
      </c>
      <c r="I29" s="393">
        <v>1</v>
      </c>
      <c r="J29" s="607">
        <f>ROUND(G29*(1+'29_01_H_2020'!$F$14),2)</f>
        <v>1415.7</v>
      </c>
      <c r="K29" s="608">
        <f t="shared" si="3"/>
        <v>1287</v>
      </c>
      <c r="L29" s="608">
        <f t="shared" si="4"/>
        <v>0</v>
      </c>
      <c r="M29" s="608">
        <f t="shared" si="5"/>
        <v>128.70000000000005</v>
      </c>
      <c r="N29" s="608">
        <f t="shared" si="6"/>
        <v>0</v>
      </c>
      <c r="O29" s="608">
        <f t="shared" si="7"/>
        <v>0</v>
      </c>
      <c r="P29" s="609">
        <f t="shared" si="8"/>
        <v>128.70000000000005</v>
      </c>
      <c r="Q29" s="609">
        <f t="shared" si="2"/>
        <v>128.70000000000005</v>
      </c>
      <c r="R29" s="609">
        <f t="shared" si="9"/>
        <v>1544.4000000000005</v>
      </c>
      <c r="S29" s="609">
        <f t="shared" si="10"/>
        <v>372.05</v>
      </c>
      <c r="T29" s="610">
        <f t="shared" si="11"/>
        <v>1916.4500000000005</v>
      </c>
      <c r="U29" s="611"/>
      <c r="V29" s="612"/>
      <c r="W29" s="613"/>
      <c r="X29" s="614"/>
      <c r="Y29" s="614"/>
      <c r="Z29" s="581"/>
      <c r="AA29" s="581"/>
      <c r="AB29" s="615"/>
      <c r="AC29" s="615"/>
      <c r="AD29" s="615"/>
      <c r="AE29" s="615"/>
      <c r="AF29" s="615"/>
      <c r="AG29" s="615"/>
      <c r="AH29" s="615"/>
      <c r="AI29" s="615"/>
      <c r="AJ29" s="615"/>
      <c r="AK29" s="615"/>
      <c r="AL29" s="616"/>
      <c r="AM29" s="581"/>
      <c r="AN29" s="581"/>
      <c r="AO29" s="615"/>
      <c r="AP29" s="615"/>
      <c r="AQ29" s="615"/>
      <c r="AR29" s="615"/>
      <c r="AS29" s="615"/>
      <c r="AT29" s="615"/>
      <c r="AU29" s="615"/>
      <c r="AV29" s="615"/>
      <c r="AW29" s="615"/>
      <c r="AX29" s="615"/>
      <c r="AY29" s="616"/>
      <c r="AZ29" s="581"/>
      <c r="BA29" s="581"/>
      <c r="BB29" s="581"/>
      <c r="BC29" s="581"/>
      <c r="BD29" s="581"/>
    </row>
    <row r="30" spans="1:56" x14ac:dyDescent="0.25">
      <c r="A30" s="59" t="s">
        <v>267</v>
      </c>
      <c r="B30" s="46">
        <v>5.0999999999999996</v>
      </c>
      <c r="C30" s="605" t="s">
        <v>25</v>
      </c>
      <c r="D30" s="606">
        <v>10</v>
      </c>
      <c r="E30" s="317">
        <v>1</v>
      </c>
      <c r="F30" s="320">
        <v>940</v>
      </c>
      <c r="G30" s="373">
        <v>940</v>
      </c>
      <c r="H30" s="373">
        <v>0</v>
      </c>
      <c r="I30" s="393">
        <v>1</v>
      </c>
      <c r="J30" s="607">
        <f>ROUND(G30*(1+'29_01_H_2020'!$F$14),2)</f>
        <v>1034</v>
      </c>
      <c r="K30" s="608">
        <f t="shared" si="3"/>
        <v>940</v>
      </c>
      <c r="L30" s="608">
        <f t="shared" si="4"/>
        <v>0</v>
      </c>
      <c r="M30" s="608">
        <f t="shared" si="5"/>
        <v>94</v>
      </c>
      <c r="N30" s="608">
        <f t="shared" si="6"/>
        <v>0</v>
      </c>
      <c r="O30" s="608">
        <f t="shared" si="7"/>
        <v>0</v>
      </c>
      <c r="P30" s="609">
        <f t="shared" si="8"/>
        <v>94</v>
      </c>
      <c r="Q30" s="609">
        <f t="shared" si="2"/>
        <v>94</v>
      </c>
      <c r="R30" s="609">
        <f t="shared" si="9"/>
        <v>1128</v>
      </c>
      <c r="S30" s="609">
        <f t="shared" si="10"/>
        <v>271.74</v>
      </c>
      <c r="T30" s="610">
        <f t="shared" si="11"/>
        <v>1399.74</v>
      </c>
      <c r="U30" s="611"/>
      <c r="V30" s="612"/>
      <c r="W30" s="613"/>
      <c r="X30" s="614"/>
      <c r="Y30" s="614"/>
      <c r="Z30" s="581"/>
      <c r="AA30" s="581"/>
      <c r="AB30" s="615"/>
      <c r="AC30" s="615"/>
      <c r="AD30" s="615"/>
      <c r="AE30" s="615"/>
      <c r="AF30" s="615"/>
      <c r="AG30" s="615"/>
      <c r="AH30" s="615"/>
      <c r="AI30" s="615"/>
      <c r="AJ30" s="615"/>
      <c r="AK30" s="615"/>
      <c r="AL30" s="616"/>
      <c r="AM30" s="581"/>
      <c r="AN30" s="581"/>
      <c r="AO30" s="615"/>
      <c r="AP30" s="615"/>
      <c r="AQ30" s="615"/>
      <c r="AR30" s="615"/>
      <c r="AS30" s="615"/>
      <c r="AT30" s="615"/>
      <c r="AU30" s="615"/>
      <c r="AV30" s="615"/>
      <c r="AW30" s="615"/>
      <c r="AX30" s="615"/>
      <c r="AY30" s="616"/>
      <c r="AZ30" s="581"/>
      <c r="BA30" s="581"/>
      <c r="BB30" s="581"/>
      <c r="BC30" s="581"/>
      <c r="BD30" s="581"/>
    </row>
    <row r="31" spans="1:56" x14ac:dyDescent="0.25">
      <c r="A31" s="59" t="s">
        <v>267</v>
      </c>
      <c r="B31" s="46">
        <v>5.0999999999999996</v>
      </c>
      <c r="C31" s="605" t="s">
        <v>25</v>
      </c>
      <c r="D31" s="606">
        <v>10</v>
      </c>
      <c r="E31" s="317">
        <v>3</v>
      </c>
      <c r="F31" s="320">
        <v>1287</v>
      </c>
      <c r="G31" s="373">
        <v>1287</v>
      </c>
      <c r="H31" s="373">
        <v>0</v>
      </c>
      <c r="I31" s="393">
        <v>1</v>
      </c>
      <c r="J31" s="607">
        <f>ROUND(G31*(1+'29_01_H_2020'!$F$14),2)</f>
        <v>1415.7</v>
      </c>
      <c r="K31" s="608">
        <f t="shared" si="3"/>
        <v>1287</v>
      </c>
      <c r="L31" s="608">
        <f t="shared" si="4"/>
        <v>0</v>
      </c>
      <c r="M31" s="608">
        <f t="shared" si="5"/>
        <v>128.70000000000005</v>
      </c>
      <c r="N31" s="608">
        <f t="shared" si="6"/>
        <v>0</v>
      </c>
      <c r="O31" s="608">
        <f t="shared" si="7"/>
        <v>0</v>
      </c>
      <c r="P31" s="609">
        <f t="shared" si="8"/>
        <v>128.70000000000005</v>
      </c>
      <c r="Q31" s="609">
        <f t="shared" si="2"/>
        <v>128.70000000000005</v>
      </c>
      <c r="R31" s="609">
        <f t="shared" si="9"/>
        <v>1544.4000000000005</v>
      </c>
      <c r="S31" s="609">
        <f t="shared" si="10"/>
        <v>372.05</v>
      </c>
      <c r="T31" s="610">
        <f t="shared" si="11"/>
        <v>1916.4500000000005</v>
      </c>
      <c r="U31" s="611"/>
      <c r="V31" s="612"/>
      <c r="W31" s="613"/>
      <c r="X31" s="614"/>
      <c r="Y31" s="614"/>
      <c r="Z31" s="581"/>
      <c r="AA31" s="581"/>
      <c r="AB31" s="615"/>
      <c r="AC31" s="615"/>
      <c r="AD31" s="615"/>
      <c r="AE31" s="615"/>
      <c r="AF31" s="615"/>
      <c r="AG31" s="615"/>
      <c r="AH31" s="615"/>
      <c r="AI31" s="615"/>
      <c r="AJ31" s="615"/>
      <c r="AK31" s="615"/>
      <c r="AL31" s="616"/>
      <c r="AM31" s="581"/>
      <c r="AN31" s="581"/>
      <c r="AO31" s="615"/>
      <c r="AP31" s="615"/>
      <c r="AQ31" s="615"/>
      <c r="AR31" s="615"/>
      <c r="AS31" s="615"/>
      <c r="AT31" s="615"/>
      <c r="AU31" s="615"/>
      <c r="AV31" s="615"/>
      <c r="AW31" s="615"/>
      <c r="AX31" s="615"/>
      <c r="AY31" s="616"/>
      <c r="AZ31" s="581"/>
      <c r="BA31" s="581"/>
      <c r="BB31" s="581"/>
      <c r="BC31" s="581"/>
      <c r="BD31" s="581"/>
    </row>
    <row r="32" spans="1:56" x14ac:dyDescent="0.25">
      <c r="A32" s="59" t="s">
        <v>267</v>
      </c>
      <c r="B32" s="46">
        <v>5.0999999999999996</v>
      </c>
      <c r="C32" s="605" t="s">
        <v>25</v>
      </c>
      <c r="D32" s="606">
        <v>10</v>
      </c>
      <c r="E32" s="317">
        <v>3</v>
      </c>
      <c r="F32" s="320">
        <v>1287</v>
      </c>
      <c r="G32" s="373">
        <v>1287</v>
      </c>
      <c r="H32" s="373">
        <v>0</v>
      </c>
      <c r="I32" s="393">
        <v>0.4</v>
      </c>
      <c r="J32" s="607">
        <f>ROUND(G32*(1+'29_01_H_2020'!$F$14),2)</f>
        <v>1415.7</v>
      </c>
      <c r="K32" s="608">
        <f t="shared" si="3"/>
        <v>1287</v>
      </c>
      <c r="L32" s="608">
        <f t="shared" si="4"/>
        <v>0</v>
      </c>
      <c r="M32" s="608">
        <f t="shared" si="5"/>
        <v>128.70000000000005</v>
      </c>
      <c r="N32" s="608">
        <f t="shared" si="6"/>
        <v>0</v>
      </c>
      <c r="O32" s="608">
        <f t="shared" si="7"/>
        <v>0</v>
      </c>
      <c r="P32" s="609">
        <f t="shared" si="8"/>
        <v>128.70000000000005</v>
      </c>
      <c r="Q32" s="609">
        <f t="shared" si="2"/>
        <v>51.480000000000018</v>
      </c>
      <c r="R32" s="609">
        <f t="shared" si="9"/>
        <v>617.76000000000022</v>
      </c>
      <c r="S32" s="609">
        <f t="shared" si="10"/>
        <v>148.82</v>
      </c>
      <c r="T32" s="610">
        <f t="shared" si="11"/>
        <v>766.58000000000015</v>
      </c>
      <c r="U32" s="611"/>
      <c r="V32" s="612"/>
      <c r="W32" s="613"/>
      <c r="X32" s="614"/>
      <c r="Y32" s="614"/>
      <c r="Z32" s="581"/>
      <c r="AA32" s="581"/>
      <c r="AB32" s="615"/>
      <c r="AC32" s="615"/>
      <c r="AD32" s="615"/>
      <c r="AE32" s="615"/>
      <c r="AF32" s="615"/>
      <c r="AG32" s="615"/>
      <c r="AH32" s="615"/>
      <c r="AI32" s="615"/>
      <c r="AJ32" s="615"/>
      <c r="AK32" s="615"/>
      <c r="AL32" s="616"/>
      <c r="AM32" s="581"/>
      <c r="AN32" s="581"/>
      <c r="AO32" s="615"/>
      <c r="AP32" s="615"/>
      <c r="AQ32" s="615"/>
      <c r="AR32" s="615"/>
      <c r="AS32" s="615"/>
      <c r="AT32" s="615"/>
      <c r="AU32" s="615"/>
      <c r="AV32" s="615"/>
      <c r="AW32" s="615"/>
      <c r="AX32" s="615"/>
      <c r="AY32" s="616"/>
      <c r="AZ32" s="581"/>
      <c r="BA32" s="581"/>
      <c r="BB32" s="581"/>
      <c r="BC32" s="581"/>
      <c r="BD32" s="581"/>
    </row>
    <row r="33" spans="1:56" x14ac:dyDescent="0.25">
      <c r="A33" s="59" t="s">
        <v>267</v>
      </c>
      <c r="B33" s="46">
        <v>5.0999999999999996</v>
      </c>
      <c r="C33" s="605" t="s">
        <v>25</v>
      </c>
      <c r="D33" s="606">
        <v>10</v>
      </c>
      <c r="E33" s="317">
        <v>3</v>
      </c>
      <c r="F33" s="320">
        <v>1287</v>
      </c>
      <c r="G33" s="373">
        <v>1287</v>
      </c>
      <c r="H33" s="373">
        <v>0</v>
      </c>
      <c r="I33" s="393">
        <v>1</v>
      </c>
      <c r="J33" s="607">
        <f>ROUND(G33*(1+'29_01_H_2020'!$F$14),2)</f>
        <v>1415.7</v>
      </c>
      <c r="K33" s="608">
        <f t="shared" si="3"/>
        <v>1287</v>
      </c>
      <c r="L33" s="608">
        <f t="shared" si="4"/>
        <v>0</v>
      </c>
      <c r="M33" s="608">
        <f t="shared" si="5"/>
        <v>128.70000000000005</v>
      </c>
      <c r="N33" s="608">
        <f t="shared" si="6"/>
        <v>0</v>
      </c>
      <c r="O33" s="608">
        <f t="shared" si="7"/>
        <v>0</v>
      </c>
      <c r="P33" s="609">
        <f t="shared" si="8"/>
        <v>128.70000000000005</v>
      </c>
      <c r="Q33" s="609">
        <f t="shared" si="2"/>
        <v>128.70000000000005</v>
      </c>
      <c r="R33" s="609">
        <f t="shared" si="9"/>
        <v>1544.4000000000005</v>
      </c>
      <c r="S33" s="609">
        <f t="shared" si="10"/>
        <v>372.05</v>
      </c>
      <c r="T33" s="610">
        <f t="shared" si="11"/>
        <v>1916.4500000000005</v>
      </c>
      <c r="U33" s="611"/>
      <c r="V33" s="612"/>
      <c r="W33" s="613"/>
      <c r="X33" s="614"/>
      <c r="Y33" s="614"/>
      <c r="Z33" s="581"/>
      <c r="AA33" s="581"/>
      <c r="AB33" s="615"/>
      <c r="AC33" s="615"/>
      <c r="AD33" s="615"/>
      <c r="AE33" s="615"/>
      <c r="AF33" s="615"/>
      <c r="AG33" s="615"/>
      <c r="AH33" s="615"/>
      <c r="AI33" s="615"/>
      <c r="AJ33" s="615"/>
      <c r="AK33" s="615"/>
      <c r="AL33" s="616"/>
      <c r="AM33" s="581"/>
      <c r="AN33" s="581"/>
      <c r="AO33" s="615"/>
      <c r="AP33" s="615"/>
      <c r="AQ33" s="615"/>
      <c r="AR33" s="615"/>
      <c r="AS33" s="615"/>
      <c r="AT33" s="615"/>
      <c r="AU33" s="615"/>
      <c r="AV33" s="615"/>
      <c r="AW33" s="615"/>
      <c r="AX33" s="615"/>
      <c r="AY33" s="616"/>
      <c r="AZ33" s="581"/>
      <c r="BA33" s="581"/>
      <c r="BB33" s="581"/>
      <c r="BC33" s="581"/>
      <c r="BD33" s="581"/>
    </row>
    <row r="34" spans="1:56" x14ac:dyDescent="0.25">
      <c r="A34" s="59" t="s">
        <v>267</v>
      </c>
      <c r="B34" s="46">
        <v>5.0999999999999996</v>
      </c>
      <c r="C34" s="605" t="s">
        <v>25</v>
      </c>
      <c r="D34" s="606">
        <v>10</v>
      </c>
      <c r="E34" s="317">
        <v>3</v>
      </c>
      <c r="F34" s="320">
        <v>1287</v>
      </c>
      <c r="G34" s="373">
        <v>1287</v>
      </c>
      <c r="H34" s="373">
        <v>0</v>
      </c>
      <c r="I34" s="393">
        <v>1</v>
      </c>
      <c r="J34" s="607">
        <f>ROUND(G34*(1+'29_01_H_2020'!$F$14),2)</f>
        <v>1415.7</v>
      </c>
      <c r="K34" s="608">
        <f t="shared" si="3"/>
        <v>1287</v>
      </c>
      <c r="L34" s="608">
        <f t="shared" si="4"/>
        <v>0</v>
      </c>
      <c r="M34" s="608">
        <f t="shared" si="5"/>
        <v>128.70000000000005</v>
      </c>
      <c r="N34" s="608">
        <f t="shared" si="6"/>
        <v>0</v>
      </c>
      <c r="O34" s="608">
        <f t="shared" si="7"/>
        <v>0</v>
      </c>
      <c r="P34" s="609">
        <f t="shared" si="8"/>
        <v>128.70000000000005</v>
      </c>
      <c r="Q34" s="609">
        <f t="shared" si="2"/>
        <v>128.70000000000005</v>
      </c>
      <c r="R34" s="609">
        <f t="shared" si="9"/>
        <v>1544.4000000000005</v>
      </c>
      <c r="S34" s="609">
        <f t="shared" si="10"/>
        <v>372.05</v>
      </c>
      <c r="T34" s="610">
        <f t="shared" si="11"/>
        <v>1916.4500000000005</v>
      </c>
      <c r="U34" s="611"/>
      <c r="V34" s="612"/>
      <c r="W34" s="613"/>
      <c r="X34" s="614"/>
      <c r="Y34" s="614"/>
      <c r="Z34" s="581"/>
      <c r="AA34" s="581"/>
      <c r="AB34" s="615"/>
      <c r="AC34" s="615"/>
      <c r="AD34" s="615"/>
      <c r="AE34" s="615"/>
      <c r="AF34" s="615"/>
      <c r="AG34" s="615"/>
      <c r="AH34" s="615"/>
      <c r="AI34" s="615"/>
      <c r="AJ34" s="615"/>
      <c r="AK34" s="615"/>
      <c r="AL34" s="616"/>
      <c r="AM34" s="581"/>
      <c r="AN34" s="581"/>
      <c r="AO34" s="615"/>
      <c r="AP34" s="615"/>
      <c r="AQ34" s="615"/>
      <c r="AR34" s="615"/>
      <c r="AS34" s="615"/>
      <c r="AT34" s="615"/>
      <c r="AU34" s="615"/>
      <c r="AV34" s="615"/>
      <c r="AW34" s="615"/>
      <c r="AX34" s="615"/>
      <c r="AY34" s="616"/>
      <c r="AZ34" s="581"/>
      <c r="BA34" s="581"/>
      <c r="BB34" s="581"/>
      <c r="BC34" s="581"/>
      <c r="BD34" s="581"/>
    </row>
    <row r="35" spans="1:56" x14ac:dyDescent="0.25">
      <c r="A35" s="59" t="s">
        <v>267</v>
      </c>
      <c r="B35" s="46">
        <v>5.0999999999999996</v>
      </c>
      <c r="C35" s="605" t="s">
        <v>25</v>
      </c>
      <c r="D35" s="606">
        <v>10</v>
      </c>
      <c r="E35" s="317">
        <v>3</v>
      </c>
      <c r="F35" s="320">
        <v>1287</v>
      </c>
      <c r="G35" s="373">
        <v>1287</v>
      </c>
      <c r="H35" s="373">
        <v>0</v>
      </c>
      <c r="I35" s="393">
        <v>0.75</v>
      </c>
      <c r="J35" s="607">
        <f>ROUND(G35*(1+'29_01_H_2020'!$F$14),2)</f>
        <v>1415.7</v>
      </c>
      <c r="K35" s="608">
        <f t="shared" si="3"/>
        <v>1287</v>
      </c>
      <c r="L35" s="608">
        <f t="shared" si="4"/>
        <v>0</v>
      </c>
      <c r="M35" s="608">
        <f t="shared" si="5"/>
        <v>128.70000000000005</v>
      </c>
      <c r="N35" s="608">
        <f t="shared" si="6"/>
        <v>0</v>
      </c>
      <c r="O35" s="608">
        <f t="shared" si="7"/>
        <v>0</v>
      </c>
      <c r="P35" s="609">
        <f t="shared" si="8"/>
        <v>128.70000000000005</v>
      </c>
      <c r="Q35" s="609">
        <f t="shared" si="2"/>
        <v>96.525000000000034</v>
      </c>
      <c r="R35" s="609">
        <f t="shared" si="9"/>
        <v>1158.3000000000004</v>
      </c>
      <c r="S35" s="609">
        <f t="shared" si="10"/>
        <v>279.02999999999997</v>
      </c>
      <c r="T35" s="610">
        <f t="shared" si="11"/>
        <v>1437.3300000000004</v>
      </c>
      <c r="U35" s="611"/>
      <c r="V35" s="612"/>
      <c r="W35" s="613"/>
      <c r="X35" s="614"/>
      <c r="Y35" s="614"/>
      <c r="Z35" s="581"/>
      <c r="AA35" s="581"/>
      <c r="AB35" s="615"/>
      <c r="AC35" s="615"/>
      <c r="AD35" s="615"/>
      <c r="AE35" s="615"/>
      <c r="AF35" s="615"/>
      <c r="AG35" s="615"/>
      <c r="AH35" s="615"/>
      <c r="AI35" s="615"/>
      <c r="AJ35" s="615"/>
      <c r="AK35" s="615"/>
      <c r="AL35" s="616"/>
      <c r="AM35" s="581"/>
      <c r="AN35" s="581"/>
      <c r="AO35" s="615"/>
      <c r="AP35" s="615"/>
      <c r="AQ35" s="615"/>
      <c r="AR35" s="615"/>
      <c r="AS35" s="615"/>
      <c r="AT35" s="615"/>
      <c r="AU35" s="615"/>
      <c r="AV35" s="615"/>
      <c r="AW35" s="615"/>
      <c r="AX35" s="615"/>
      <c r="AY35" s="616"/>
      <c r="AZ35" s="581"/>
      <c r="BA35" s="581"/>
      <c r="BB35" s="581"/>
      <c r="BC35" s="581"/>
      <c r="BD35" s="581"/>
    </row>
    <row r="36" spans="1:56" x14ac:dyDescent="0.25">
      <c r="A36" s="59" t="s">
        <v>268</v>
      </c>
      <c r="B36" s="46">
        <v>5.0999999999999996</v>
      </c>
      <c r="C36" s="605" t="s">
        <v>20</v>
      </c>
      <c r="D36" s="317">
        <v>12</v>
      </c>
      <c r="E36" s="317">
        <v>3</v>
      </c>
      <c r="F36" s="320">
        <v>1647</v>
      </c>
      <c r="G36" s="373">
        <v>1647</v>
      </c>
      <c r="H36" s="373">
        <v>0</v>
      </c>
      <c r="I36" s="393">
        <v>1</v>
      </c>
      <c r="J36" s="607">
        <f>ROUND(G36*(1+'29_01_H_2020'!$F$14),2)</f>
        <v>1811.7</v>
      </c>
      <c r="K36" s="608">
        <f t="shared" si="3"/>
        <v>1647</v>
      </c>
      <c r="L36" s="608">
        <f t="shared" si="4"/>
        <v>0</v>
      </c>
      <c r="M36" s="608">
        <f t="shared" si="5"/>
        <v>164.70000000000005</v>
      </c>
      <c r="N36" s="608">
        <f t="shared" si="6"/>
        <v>0</v>
      </c>
      <c r="O36" s="608">
        <f t="shared" si="7"/>
        <v>0</v>
      </c>
      <c r="P36" s="609">
        <f t="shared" si="8"/>
        <v>164.70000000000005</v>
      </c>
      <c r="Q36" s="609">
        <f t="shared" si="2"/>
        <v>164.70000000000005</v>
      </c>
      <c r="R36" s="609">
        <f t="shared" si="9"/>
        <v>1976.4000000000005</v>
      </c>
      <c r="S36" s="609">
        <f t="shared" si="10"/>
        <v>476.11</v>
      </c>
      <c r="T36" s="610">
        <f t="shared" si="11"/>
        <v>2452.5100000000007</v>
      </c>
      <c r="U36" s="611"/>
      <c r="V36" s="612"/>
      <c r="W36" s="613"/>
      <c r="X36" s="614"/>
      <c r="Y36" s="614"/>
      <c r="Z36" s="581"/>
      <c r="AA36" s="581"/>
      <c r="AB36" s="615"/>
      <c r="AC36" s="615"/>
      <c r="AD36" s="615"/>
      <c r="AE36" s="615"/>
      <c r="AF36" s="615"/>
      <c r="AG36" s="615"/>
      <c r="AH36" s="615"/>
      <c r="AI36" s="615"/>
      <c r="AJ36" s="615"/>
      <c r="AK36" s="615"/>
      <c r="AL36" s="616"/>
      <c r="AM36" s="581"/>
      <c r="AN36" s="581"/>
      <c r="AO36" s="615"/>
      <c r="AP36" s="615"/>
      <c r="AQ36" s="615"/>
      <c r="AR36" s="615"/>
      <c r="AS36" s="615"/>
      <c r="AT36" s="615"/>
      <c r="AU36" s="615"/>
      <c r="AV36" s="615"/>
      <c r="AW36" s="615"/>
      <c r="AX36" s="615"/>
      <c r="AY36" s="616"/>
      <c r="AZ36" s="581"/>
      <c r="BA36" s="581"/>
      <c r="BB36" s="581"/>
      <c r="BC36" s="581"/>
      <c r="BD36" s="581"/>
    </row>
    <row r="37" spans="1:56" x14ac:dyDescent="0.25">
      <c r="A37" s="617" t="s">
        <v>55</v>
      </c>
      <c r="B37" s="618" t="s">
        <v>52</v>
      </c>
      <c r="C37" s="619" t="s">
        <v>52</v>
      </c>
      <c r="D37" s="619" t="s">
        <v>52</v>
      </c>
      <c r="E37" s="619" t="s">
        <v>52</v>
      </c>
      <c r="F37" s="620" t="s">
        <v>52</v>
      </c>
      <c r="G37" s="620" t="s">
        <v>52</v>
      </c>
      <c r="H37" s="620" t="s">
        <v>52</v>
      </c>
      <c r="I37" s="375">
        <f>SUM(I11:I36)</f>
        <v>20.9</v>
      </c>
      <c r="J37" s="621"/>
      <c r="K37" s="622"/>
      <c r="L37" s="622"/>
      <c r="M37" s="622"/>
      <c r="N37" s="622"/>
      <c r="O37" s="622"/>
      <c r="P37" s="623"/>
      <c r="Q37" s="623"/>
      <c r="R37" s="623"/>
      <c r="S37" s="623"/>
      <c r="T37" s="624"/>
      <c r="U37" s="581"/>
      <c r="V37" s="581"/>
      <c r="W37" s="581"/>
      <c r="X37" s="581"/>
      <c r="Y37" s="581"/>
      <c r="Z37" s="581"/>
      <c r="AA37" s="581"/>
      <c r="AB37" s="581"/>
      <c r="AC37" s="581"/>
      <c r="AD37" s="581"/>
      <c r="AE37" s="581"/>
      <c r="AF37" s="581"/>
      <c r="AG37" s="581"/>
      <c r="AH37" s="581"/>
      <c r="AI37" s="581"/>
      <c r="AJ37" s="581"/>
      <c r="AK37" s="581"/>
      <c r="AL37" s="581"/>
      <c r="AM37" s="581"/>
      <c r="AN37" s="581"/>
      <c r="AO37" s="581"/>
      <c r="AP37" s="581"/>
      <c r="AQ37" s="581"/>
      <c r="AR37" s="581"/>
      <c r="AS37" s="581"/>
      <c r="AT37" s="581"/>
      <c r="AU37" s="581"/>
      <c r="AV37" s="581"/>
      <c r="AW37" s="581"/>
      <c r="AX37" s="581"/>
      <c r="AY37" s="581"/>
      <c r="AZ37" s="581"/>
      <c r="BA37" s="581"/>
      <c r="BB37" s="581"/>
      <c r="BC37" s="581"/>
      <c r="BD37" s="581"/>
    </row>
    <row r="38" spans="1:56" x14ac:dyDescent="0.25">
      <c r="A38" s="920" t="s">
        <v>27</v>
      </c>
      <c r="B38" s="921"/>
      <c r="C38" s="921"/>
      <c r="D38" s="921"/>
      <c r="E38" s="921"/>
      <c r="F38" s="921"/>
      <c r="G38" s="921"/>
      <c r="H38" s="921"/>
      <c r="I38" s="922"/>
      <c r="J38" s="625"/>
      <c r="K38" s="626"/>
      <c r="L38" s="626"/>
      <c r="M38" s="626"/>
      <c r="N38" s="626"/>
      <c r="O38" s="626"/>
      <c r="P38" s="603"/>
      <c r="Q38" s="603"/>
      <c r="R38" s="603"/>
      <c r="S38" s="603"/>
      <c r="T38" s="604"/>
      <c r="U38" s="581"/>
      <c r="V38" s="581"/>
      <c r="W38" s="581"/>
      <c r="X38" s="581"/>
      <c r="Y38" s="581"/>
      <c r="Z38" s="581"/>
      <c r="AA38" s="581"/>
      <c r="AB38" s="581"/>
      <c r="AC38" s="581"/>
      <c r="AD38" s="581"/>
      <c r="AE38" s="581"/>
      <c r="AF38" s="581"/>
      <c r="AG38" s="581"/>
      <c r="AH38" s="581"/>
      <c r="AI38" s="581"/>
      <c r="AJ38" s="581"/>
      <c r="AK38" s="581"/>
      <c r="AL38" s="581"/>
      <c r="AM38" s="581"/>
      <c r="AN38" s="581"/>
      <c r="AO38" s="581"/>
      <c r="AP38" s="581"/>
      <c r="AQ38" s="581"/>
      <c r="AR38" s="581"/>
      <c r="AS38" s="581"/>
      <c r="AT38" s="581"/>
      <c r="AU38" s="581"/>
      <c r="AV38" s="581"/>
      <c r="AW38" s="581"/>
      <c r="AX38" s="581"/>
      <c r="AY38" s="581"/>
      <c r="AZ38" s="581"/>
      <c r="BA38" s="581"/>
      <c r="BB38" s="581"/>
      <c r="BC38" s="581"/>
      <c r="BD38" s="581"/>
    </row>
    <row r="39" spans="1:56" x14ac:dyDescent="0.25">
      <c r="A39" s="88" t="s">
        <v>269</v>
      </c>
      <c r="B39" s="527">
        <v>5.0999999999999996</v>
      </c>
      <c r="C39" s="317" t="s">
        <v>36</v>
      </c>
      <c r="D39" s="606">
        <v>8</v>
      </c>
      <c r="E39" s="317">
        <v>3</v>
      </c>
      <c r="F39" s="320">
        <v>1093</v>
      </c>
      <c r="G39" s="627">
        <v>1093</v>
      </c>
      <c r="H39" s="627">
        <v>0</v>
      </c>
      <c r="I39" s="376">
        <v>1</v>
      </c>
      <c r="J39" s="607">
        <f>ROUND(G39*(1+'29_01_H_2020'!$F$10),2)</f>
        <v>1202.3</v>
      </c>
      <c r="K39" s="608">
        <f t="shared" ref="K39" si="12">IF(J39&lt;=F39,J39,F39)</f>
        <v>1093</v>
      </c>
      <c r="L39" s="608">
        <f t="shared" ref="L39" si="13">K39-G39</f>
        <v>0</v>
      </c>
      <c r="M39" s="608">
        <f t="shared" ref="M39" si="14">J39-K39</f>
        <v>109.29999999999995</v>
      </c>
      <c r="N39" s="608">
        <f t="shared" ref="N39" si="15">ROUND(H39/G39*K39-H39,2)</f>
        <v>0</v>
      </c>
      <c r="O39" s="608">
        <f t="shared" ref="O39" si="16">ROUND(H39/G39*J39-H39-N39,2)</f>
        <v>0</v>
      </c>
      <c r="P39" s="609">
        <f t="shared" ref="P39:P59" si="17">L39+M39+N39+O39</f>
        <v>109.29999999999995</v>
      </c>
      <c r="Q39" s="609">
        <f t="shared" ref="Q39:Q59" si="18">P39*I39</f>
        <v>109.29999999999995</v>
      </c>
      <c r="R39" s="609">
        <f t="shared" ref="R39:R59" si="19">Q39*12</f>
        <v>1311.5999999999995</v>
      </c>
      <c r="S39" s="609">
        <f t="shared" ref="S39:S59" si="20">ROUND(R39*0.2409,2)</f>
        <v>315.95999999999998</v>
      </c>
      <c r="T39" s="610">
        <f t="shared" ref="T39" si="21">SUM(R39:S39)</f>
        <v>1627.5599999999995</v>
      </c>
      <c r="U39" s="611"/>
      <c r="V39" s="612"/>
      <c r="W39" s="613"/>
      <c r="X39" s="614"/>
      <c r="Y39" s="614"/>
      <c r="Z39" s="581"/>
      <c r="AA39" s="581"/>
      <c r="AB39" s="615"/>
      <c r="AC39" s="615"/>
      <c r="AD39" s="615"/>
      <c r="AE39" s="615"/>
      <c r="AF39" s="615"/>
      <c r="AG39" s="615"/>
      <c r="AH39" s="615"/>
      <c r="AI39" s="615"/>
      <c r="AJ39" s="615"/>
      <c r="AK39" s="615"/>
      <c r="AL39" s="616"/>
      <c r="AM39" s="581"/>
      <c r="AN39" s="581"/>
      <c r="AO39" s="615"/>
      <c r="AP39" s="615"/>
      <c r="AQ39" s="615"/>
      <c r="AR39" s="615"/>
      <c r="AS39" s="615"/>
      <c r="AT39" s="615"/>
      <c r="AU39" s="615"/>
      <c r="AV39" s="615"/>
      <c r="AW39" s="615"/>
      <c r="AX39" s="615"/>
      <c r="AY39" s="616"/>
      <c r="AZ39" s="581"/>
      <c r="BA39" s="581"/>
      <c r="BB39" s="581"/>
      <c r="BC39" s="581"/>
      <c r="BD39" s="581"/>
    </row>
    <row r="40" spans="1:56" x14ac:dyDescent="0.25">
      <c r="A40" s="88" t="s">
        <v>269</v>
      </c>
      <c r="B40" s="527">
        <v>5.0999999999999996</v>
      </c>
      <c r="C40" s="317" t="s">
        <v>36</v>
      </c>
      <c r="D40" s="606">
        <v>8</v>
      </c>
      <c r="E40" s="317">
        <v>3</v>
      </c>
      <c r="F40" s="320">
        <v>1093</v>
      </c>
      <c r="G40" s="627">
        <v>1093</v>
      </c>
      <c r="H40" s="627">
        <v>0</v>
      </c>
      <c r="I40" s="376">
        <v>1</v>
      </c>
      <c r="J40" s="607">
        <f>ROUND(G40*(1+'29_01_H_2020'!$F$10),2)</f>
        <v>1202.3</v>
      </c>
      <c r="K40" s="608">
        <f t="shared" ref="K40:K59" si="22">IF(J40&lt;=F40,J40,F40)</f>
        <v>1093</v>
      </c>
      <c r="L40" s="608">
        <f t="shared" ref="L40:L59" si="23">K40-G40</f>
        <v>0</v>
      </c>
      <c r="M40" s="608">
        <f t="shared" ref="M40:M59" si="24">J40-K40</f>
        <v>109.29999999999995</v>
      </c>
      <c r="N40" s="608">
        <f t="shared" ref="N40:N59" si="25">ROUND(H40/G40*K40-H40,2)</f>
        <v>0</v>
      </c>
      <c r="O40" s="608">
        <f t="shared" ref="O40:O59" si="26">ROUND(H40/G40*J40-H40-N40,2)</f>
        <v>0</v>
      </c>
      <c r="P40" s="609">
        <f t="shared" si="17"/>
        <v>109.29999999999995</v>
      </c>
      <c r="Q40" s="609">
        <f t="shared" si="18"/>
        <v>109.29999999999995</v>
      </c>
      <c r="R40" s="609">
        <f t="shared" si="19"/>
        <v>1311.5999999999995</v>
      </c>
      <c r="S40" s="609">
        <f t="shared" si="20"/>
        <v>315.95999999999998</v>
      </c>
      <c r="T40" s="610">
        <f t="shared" ref="T40:T59" si="27">SUM(R40:S40)</f>
        <v>1627.5599999999995</v>
      </c>
      <c r="U40" s="611"/>
      <c r="V40" s="612"/>
      <c r="W40" s="613"/>
      <c r="X40" s="614"/>
      <c r="Y40" s="614"/>
      <c r="Z40" s="581"/>
      <c r="AA40" s="581"/>
      <c r="AB40" s="615"/>
      <c r="AC40" s="615"/>
      <c r="AD40" s="615"/>
      <c r="AE40" s="615"/>
      <c r="AF40" s="615"/>
      <c r="AG40" s="615"/>
      <c r="AH40" s="615"/>
      <c r="AI40" s="615"/>
      <c r="AJ40" s="615"/>
      <c r="AK40" s="615"/>
      <c r="AL40" s="616"/>
      <c r="AM40" s="581"/>
      <c r="AN40" s="581"/>
      <c r="AO40" s="615"/>
      <c r="AP40" s="615"/>
      <c r="AQ40" s="615"/>
      <c r="AR40" s="615"/>
      <c r="AS40" s="615"/>
      <c r="AT40" s="615"/>
      <c r="AU40" s="615"/>
      <c r="AV40" s="615"/>
      <c r="AW40" s="615"/>
      <c r="AX40" s="615"/>
      <c r="AY40" s="616"/>
      <c r="AZ40" s="581"/>
      <c r="BA40" s="581"/>
      <c r="BB40" s="581"/>
      <c r="BC40" s="581"/>
      <c r="BD40" s="581"/>
    </row>
    <row r="41" spans="1:56" x14ac:dyDescent="0.25">
      <c r="A41" s="88" t="s">
        <v>269</v>
      </c>
      <c r="B41" s="527">
        <v>5.0999999999999996</v>
      </c>
      <c r="C41" s="317" t="s">
        <v>36</v>
      </c>
      <c r="D41" s="606">
        <v>8</v>
      </c>
      <c r="E41" s="317">
        <v>3</v>
      </c>
      <c r="F41" s="320">
        <v>1093</v>
      </c>
      <c r="G41" s="627">
        <v>1093</v>
      </c>
      <c r="H41" s="627">
        <v>0</v>
      </c>
      <c r="I41" s="376">
        <v>1</v>
      </c>
      <c r="J41" s="607">
        <f>ROUND(G41*(1+'29_01_H_2020'!$F$10),2)</f>
        <v>1202.3</v>
      </c>
      <c r="K41" s="608">
        <f t="shared" si="22"/>
        <v>1093</v>
      </c>
      <c r="L41" s="608">
        <f t="shared" si="23"/>
        <v>0</v>
      </c>
      <c r="M41" s="608">
        <f t="shared" si="24"/>
        <v>109.29999999999995</v>
      </c>
      <c r="N41" s="608">
        <f t="shared" si="25"/>
        <v>0</v>
      </c>
      <c r="O41" s="608">
        <f t="shared" si="26"/>
        <v>0</v>
      </c>
      <c r="P41" s="609">
        <f t="shared" si="17"/>
        <v>109.29999999999995</v>
      </c>
      <c r="Q41" s="609">
        <f t="shared" si="18"/>
        <v>109.29999999999995</v>
      </c>
      <c r="R41" s="609">
        <f t="shared" si="19"/>
        <v>1311.5999999999995</v>
      </c>
      <c r="S41" s="609">
        <f t="shared" si="20"/>
        <v>315.95999999999998</v>
      </c>
      <c r="T41" s="610">
        <f t="shared" si="27"/>
        <v>1627.5599999999995</v>
      </c>
      <c r="U41" s="611"/>
      <c r="V41" s="612"/>
      <c r="W41" s="613"/>
      <c r="X41" s="614"/>
      <c r="Y41" s="614"/>
      <c r="Z41" s="581"/>
      <c r="AA41" s="581"/>
      <c r="AB41" s="615"/>
      <c r="AC41" s="615"/>
      <c r="AD41" s="615"/>
      <c r="AE41" s="615"/>
      <c r="AF41" s="615"/>
      <c r="AG41" s="615"/>
      <c r="AH41" s="615"/>
      <c r="AI41" s="615"/>
      <c r="AJ41" s="615"/>
      <c r="AK41" s="615"/>
      <c r="AL41" s="616"/>
      <c r="AM41" s="581"/>
      <c r="AN41" s="581"/>
      <c r="AO41" s="615"/>
      <c r="AP41" s="615"/>
      <c r="AQ41" s="615"/>
      <c r="AR41" s="615"/>
      <c r="AS41" s="615"/>
      <c r="AT41" s="615"/>
      <c r="AU41" s="615"/>
      <c r="AV41" s="615"/>
      <c r="AW41" s="615"/>
      <c r="AX41" s="615"/>
      <c r="AY41" s="616"/>
      <c r="AZ41" s="581"/>
      <c r="BA41" s="581"/>
      <c r="BB41" s="581"/>
      <c r="BC41" s="581"/>
      <c r="BD41" s="581"/>
    </row>
    <row r="42" spans="1:56" x14ac:dyDescent="0.25">
      <c r="A42" s="88" t="s">
        <v>269</v>
      </c>
      <c r="B42" s="527">
        <v>5.0999999999999996</v>
      </c>
      <c r="C42" s="317" t="s">
        <v>36</v>
      </c>
      <c r="D42" s="606">
        <v>8</v>
      </c>
      <c r="E42" s="317">
        <v>3</v>
      </c>
      <c r="F42" s="320">
        <v>1093</v>
      </c>
      <c r="G42" s="627">
        <v>1093</v>
      </c>
      <c r="H42" s="627">
        <v>0</v>
      </c>
      <c r="I42" s="376">
        <v>1</v>
      </c>
      <c r="J42" s="607">
        <f>ROUND(G42*(1+'29_01_H_2020'!$F$10),2)</f>
        <v>1202.3</v>
      </c>
      <c r="K42" s="608">
        <f t="shared" si="22"/>
        <v>1093</v>
      </c>
      <c r="L42" s="608">
        <f t="shared" si="23"/>
        <v>0</v>
      </c>
      <c r="M42" s="608">
        <f t="shared" si="24"/>
        <v>109.29999999999995</v>
      </c>
      <c r="N42" s="608">
        <f t="shared" si="25"/>
        <v>0</v>
      </c>
      <c r="O42" s="608">
        <f t="shared" si="26"/>
        <v>0</v>
      </c>
      <c r="P42" s="609">
        <f t="shared" si="17"/>
        <v>109.29999999999995</v>
      </c>
      <c r="Q42" s="609">
        <f t="shared" si="18"/>
        <v>109.29999999999995</v>
      </c>
      <c r="R42" s="609">
        <f t="shared" si="19"/>
        <v>1311.5999999999995</v>
      </c>
      <c r="S42" s="609">
        <f t="shared" si="20"/>
        <v>315.95999999999998</v>
      </c>
      <c r="T42" s="610">
        <f t="shared" si="27"/>
        <v>1627.5599999999995</v>
      </c>
      <c r="U42" s="611"/>
      <c r="V42" s="612"/>
      <c r="W42" s="613"/>
      <c r="X42" s="614"/>
      <c r="Y42" s="614"/>
      <c r="Z42" s="581"/>
      <c r="AA42" s="581"/>
      <c r="AB42" s="615"/>
      <c r="AC42" s="615"/>
      <c r="AD42" s="615"/>
      <c r="AE42" s="615"/>
      <c r="AF42" s="615"/>
      <c r="AG42" s="615"/>
      <c r="AH42" s="615"/>
      <c r="AI42" s="615"/>
      <c r="AJ42" s="615"/>
      <c r="AK42" s="615"/>
      <c r="AL42" s="616"/>
      <c r="AM42" s="581"/>
      <c r="AN42" s="581"/>
      <c r="AO42" s="615"/>
      <c r="AP42" s="615"/>
      <c r="AQ42" s="615"/>
      <c r="AR42" s="615"/>
      <c r="AS42" s="615"/>
      <c r="AT42" s="615"/>
      <c r="AU42" s="615"/>
      <c r="AV42" s="615"/>
      <c r="AW42" s="615"/>
      <c r="AX42" s="615"/>
      <c r="AY42" s="616"/>
      <c r="AZ42" s="581"/>
      <c r="BA42" s="581"/>
      <c r="BB42" s="581"/>
      <c r="BC42" s="581"/>
      <c r="BD42" s="581"/>
    </row>
    <row r="43" spans="1:56" x14ac:dyDescent="0.25">
      <c r="A43" s="88" t="s">
        <v>269</v>
      </c>
      <c r="B43" s="527">
        <v>5.0999999999999996</v>
      </c>
      <c r="C43" s="317" t="s">
        <v>36</v>
      </c>
      <c r="D43" s="606">
        <v>8</v>
      </c>
      <c r="E43" s="317">
        <v>3</v>
      </c>
      <c r="F43" s="320">
        <v>1093</v>
      </c>
      <c r="G43" s="627">
        <v>1093</v>
      </c>
      <c r="H43" s="627">
        <v>0</v>
      </c>
      <c r="I43" s="376">
        <v>1</v>
      </c>
      <c r="J43" s="607">
        <f>ROUND(G43*(1+'29_01_H_2020'!$F$10),2)</f>
        <v>1202.3</v>
      </c>
      <c r="K43" s="608">
        <f t="shared" si="22"/>
        <v>1093</v>
      </c>
      <c r="L43" s="608">
        <f t="shared" si="23"/>
        <v>0</v>
      </c>
      <c r="M43" s="608">
        <f t="shared" si="24"/>
        <v>109.29999999999995</v>
      </c>
      <c r="N43" s="608">
        <f t="shared" si="25"/>
        <v>0</v>
      </c>
      <c r="O43" s="608">
        <f t="shared" si="26"/>
        <v>0</v>
      </c>
      <c r="P43" s="609">
        <f t="shared" si="17"/>
        <v>109.29999999999995</v>
      </c>
      <c r="Q43" s="609">
        <f t="shared" si="18"/>
        <v>109.29999999999995</v>
      </c>
      <c r="R43" s="609">
        <f t="shared" si="19"/>
        <v>1311.5999999999995</v>
      </c>
      <c r="S43" s="609">
        <f t="shared" si="20"/>
        <v>315.95999999999998</v>
      </c>
      <c r="T43" s="610">
        <f t="shared" si="27"/>
        <v>1627.5599999999995</v>
      </c>
      <c r="U43" s="611"/>
      <c r="V43" s="612"/>
      <c r="W43" s="613"/>
      <c r="X43" s="614"/>
      <c r="Y43" s="614"/>
      <c r="Z43" s="581"/>
      <c r="AA43" s="581"/>
      <c r="AB43" s="615"/>
      <c r="AC43" s="615"/>
      <c r="AD43" s="615"/>
      <c r="AE43" s="615"/>
      <c r="AF43" s="615"/>
      <c r="AG43" s="615"/>
      <c r="AH43" s="615"/>
      <c r="AI43" s="615"/>
      <c r="AJ43" s="615"/>
      <c r="AK43" s="615"/>
      <c r="AL43" s="616"/>
      <c r="AM43" s="581"/>
      <c r="AN43" s="581"/>
      <c r="AO43" s="615"/>
      <c r="AP43" s="615"/>
      <c r="AQ43" s="615"/>
      <c r="AR43" s="615"/>
      <c r="AS43" s="615"/>
      <c r="AT43" s="615"/>
      <c r="AU43" s="615"/>
      <c r="AV43" s="615"/>
      <c r="AW43" s="615"/>
      <c r="AX43" s="615"/>
      <c r="AY43" s="616"/>
      <c r="AZ43" s="581"/>
      <c r="BA43" s="581"/>
      <c r="BB43" s="581"/>
      <c r="BC43" s="581"/>
      <c r="BD43" s="581"/>
    </row>
    <row r="44" spans="1:56" x14ac:dyDescent="0.25">
      <c r="A44" s="88" t="s">
        <v>269</v>
      </c>
      <c r="B44" s="527">
        <v>5.0999999999999996</v>
      </c>
      <c r="C44" s="317" t="s">
        <v>36</v>
      </c>
      <c r="D44" s="606">
        <v>8</v>
      </c>
      <c r="E44" s="317">
        <v>3</v>
      </c>
      <c r="F44" s="320">
        <v>1093</v>
      </c>
      <c r="G44" s="627">
        <v>1093</v>
      </c>
      <c r="H44" s="627">
        <v>0</v>
      </c>
      <c r="I44" s="376">
        <v>1</v>
      </c>
      <c r="J44" s="607">
        <f>ROUND(G44*(1+'29_01_H_2020'!$F$10),2)</f>
        <v>1202.3</v>
      </c>
      <c r="K44" s="608">
        <f t="shared" si="22"/>
        <v>1093</v>
      </c>
      <c r="L44" s="608">
        <f t="shared" si="23"/>
        <v>0</v>
      </c>
      <c r="M44" s="608">
        <f t="shared" si="24"/>
        <v>109.29999999999995</v>
      </c>
      <c r="N44" s="608">
        <f t="shared" si="25"/>
        <v>0</v>
      </c>
      <c r="O44" s="608">
        <f t="shared" si="26"/>
        <v>0</v>
      </c>
      <c r="P44" s="609">
        <f t="shared" si="17"/>
        <v>109.29999999999995</v>
      </c>
      <c r="Q44" s="609">
        <f t="shared" si="18"/>
        <v>109.29999999999995</v>
      </c>
      <c r="R44" s="609">
        <f t="shared" si="19"/>
        <v>1311.5999999999995</v>
      </c>
      <c r="S44" s="609">
        <f t="shared" si="20"/>
        <v>315.95999999999998</v>
      </c>
      <c r="T44" s="610">
        <f t="shared" si="27"/>
        <v>1627.5599999999995</v>
      </c>
      <c r="U44" s="611"/>
      <c r="V44" s="612"/>
      <c r="W44" s="613"/>
      <c r="X44" s="614"/>
      <c r="Y44" s="614"/>
      <c r="Z44" s="581"/>
      <c r="AA44" s="581"/>
      <c r="AB44" s="615"/>
      <c r="AC44" s="615"/>
      <c r="AD44" s="615"/>
      <c r="AE44" s="615"/>
      <c r="AF44" s="615"/>
      <c r="AG44" s="615"/>
      <c r="AH44" s="615"/>
      <c r="AI44" s="615"/>
      <c r="AJ44" s="615"/>
      <c r="AK44" s="615"/>
      <c r="AL44" s="616"/>
      <c r="AM44" s="581"/>
      <c r="AN44" s="581"/>
      <c r="AO44" s="615"/>
      <c r="AP44" s="615"/>
      <c r="AQ44" s="615"/>
      <c r="AR44" s="615"/>
      <c r="AS44" s="615"/>
      <c r="AT44" s="615"/>
      <c r="AU44" s="615"/>
      <c r="AV44" s="615"/>
      <c r="AW44" s="615"/>
      <c r="AX44" s="615"/>
      <c r="AY44" s="616"/>
      <c r="AZ44" s="581"/>
      <c r="BA44" s="581"/>
      <c r="BB44" s="581"/>
      <c r="BC44" s="581"/>
      <c r="BD44" s="581"/>
    </row>
    <row r="45" spans="1:56" x14ac:dyDescent="0.25">
      <c r="A45" s="88" t="s">
        <v>270</v>
      </c>
      <c r="B45" s="527">
        <v>5.0999999999999996</v>
      </c>
      <c r="C45" s="317" t="s">
        <v>36</v>
      </c>
      <c r="D45" s="606">
        <v>8</v>
      </c>
      <c r="E45" s="317">
        <v>3</v>
      </c>
      <c r="F45" s="320">
        <v>1093</v>
      </c>
      <c r="G45" s="627">
        <v>1093</v>
      </c>
      <c r="H45" s="627">
        <v>0</v>
      </c>
      <c r="I45" s="376">
        <v>1</v>
      </c>
      <c r="J45" s="607">
        <f>ROUND(G45*(1+'29_01_H_2020'!$F$10),2)</f>
        <v>1202.3</v>
      </c>
      <c r="K45" s="608">
        <f t="shared" si="22"/>
        <v>1093</v>
      </c>
      <c r="L45" s="608">
        <f t="shared" si="23"/>
        <v>0</v>
      </c>
      <c r="M45" s="608">
        <f t="shared" si="24"/>
        <v>109.29999999999995</v>
      </c>
      <c r="N45" s="608">
        <f t="shared" si="25"/>
        <v>0</v>
      </c>
      <c r="O45" s="608">
        <f t="shared" si="26"/>
        <v>0</v>
      </c>
      <c r="P45" s="609">
        <f t="shared" si="17"/>
        <v>109.29999999999995</v>
      </c>
      <c r="Q45" s="609">
        <f t="shared" si="18"/>
        <v>109.29999999999995</v>
      </c>
      <c r="R45" s="609">
        <f t="shared" si="19"/>
        <v>1311.5999999999995</v>
      </c>
      <c r="S45" s="609">
        <f t="shared" si="20"/>
        <v>315.95999999999998</v>
      </c>
      <c r="T45" s="610">
        <f t="shared" si="27"/>
        <v>1627.5599999999995</v>
      </c>
      <c r="U45" s="611"/>
      <c r="V45" s="612"/>
      <c r="W45" s="613"/>
      <c r="X45" s="614"/>
      <c r="Y45" s="614"/>
      <c r="Z45" s="581"/>
      <c r="AA45" s="581"/>
      <c r="AB45" s="615"/>
      <c r="AC45" s="615"/>
      <c r="AD45" s="615"/>
      <c r="AE45" s="615"/>
      <c r="AF45" s="615"/>
      <c r="AG45" s="615"/>
      <c r="AH45" s="615"/>
      <c r="AI45" s="615"/>
      <c r="AJ45" s="615"/>
      <c r="AK45" s="615"/>
      <c r="AL45" s="616"/>
      <c r="AM45" s="581"/>
      <c r="AN45" s="581"/>
      <c r="AO45" s="615"/>
      <c r="AP45" s="615"/>
      <c r="AQ45" s="615"/>
      <c r="AR45" s="615"/>
      <c r="AS45" s="615"/>
      <c r="AT45" s="615"/>
      <c r="AU45" s="615"/>
      <c r="AV45" s="615"/>
      <c r="AW45" s="615"/>
      <c r="AX45" s="615"/>
      <c r="AY45" s="616"/>
      <c r="AZ45" s="581"/>
      <c r="BA45" s="581"/>
      <c r="BB45" s="581"/>
      <c r="BC45" s="581"/>
      <c r="BD45" s="581"/>
    </row>
    <row r="46" spans="1:56" x14ac:dyDescent="0.25">
      <c r="A46" s="88" t="s">
        <v>271</v>
      </c>
      <c r="B46" s="527">
        <v>5.2</v>
      </c>
      <c r="C46" s="317" t="s">
        <v>18</v>
      </c>
      <c r="D46" s="606">
        <v>8</v>
      </c>
      <c r="E46" s="317">
        <v>3</v>
      </c>
      <c r="F46" s="320">
        <v>1093</v>
      </c>
      <c r="G46" s="373">
        <v>1093</v>
      </c>
      <c r="H46" s="373">
        <v>0</v>
      </c>
      <c r="I46" s="393">
        <v>1</v>
      </c>
      <c r="J46" s="607">
        <f>ROUND(G46*(1+'29_01_H_2020'!$F$10),2)</f>
        <v>1202.3</v>
      </c>
      <c r="K46" s="608">
        <f t="shared" si="22"/>
        <v>1093</v>
      </c>
      <c r="L46" s="608">
        <f t="shared" si="23"/>
        <v>0</v>
      </c>
      <c r="M46" s="608">
        <f t="shared" si="24"/>
        <v>109.29999999999995</v>
      </c>
      <c r="N46" s="608">
        <f t="shared" si="25"/>
        <v>0</v>
      </c>
      <c r="O46" s="608">
        <f t="shared" si="26"/>
        <v>0</v>
      </c>
      <c r="P46" s="609">
        <f t="shared" si="17"/>
        <v>109.29999999999995</v>
      </c>
      <c r="Q46" s="609">
        <f t="shared" si="18"/>
        <v>109.29999999999995</v>
      </c>
      <c r="R46" s="609">
        <f t="shared" si="19"/>
        <v>1311.5999999999995</v>
      </c>
      <c r="S46" s="609">
        <f t="shared" si="20"/>
        <v>315.95999999999998</v>
      </c>
      <c r="T46" s="610">
        <f t="shared" si="27"/>
        <v>1627.5599999999995</v>
      </c>
      <c r="U46" s="611"/>
      <c r="V46" s="612"/>
      <c r="W46" s="613"/>
      <c r="X46" s="614"/>
      <c r="Y46" s="614"/>
      <c r="Z46" s="581"/>
      <c r="AA46" s="581"/>
      <c r="AB46" s="615"/>
      <c r="AC46" s="615"/>
      <c r="AD46" s="615"/>
      <c r="AE46" s="615"/>
      <c r="AF46" s="615"/>
      <c r="AG46" s="615"/>
      <c r="AH46" s="615"/>
      <c r="AI46" s="615"/>
      <c r="AJ46" s="615"/>
      <c r="AK46" s="615"/>
      <c r="AL46" s="616"/>
      <c r="AM46" s="581"/>
      <c r="AN46" s="581"/>
      <c r="AO46" s="615"/>
      <c r="AP46" s="615"/>
      <c r="AQ46" s="615"/>
      <c r="AR46" s="615"/>
      <c r="AS46" s="615"/>
      <c r="AT46" s="615"/>
      <c r="AU46" s="615"/>
      <c r="AV46" s="615"/>
      <c r="AW46" s="615"/>
      <c r="AX46" s="615"/>
      <c r="AY46" s="616"/>
      <c r="AZ46" s="581"/>
      <c r="BA46" s="581"/>
      <c r="BB46" s="581"/>
      <c r="BC46" s="581"/>
      <c r="BD46" s="581"/>
    </row>
    <row r="47" spans="1:56" x14ac:dyDescent="0.25">
      <c r="A47" s="88" t="s">
        <v>272</v>
      </c>
      <c r="B47" s="527">
        <v>5.2</v>
      </c>
      <c r="C47" s="317" t="s">
        <v>18</v>
      </c>
      <c r="D47" s="606">
        <v>8</v>
      </c>
      <c r="E47" s="317">
        <v>3</v>
      </c>
      <c r="F47" s="320">
        <v>1093</v>
      </c>
      <c r="G47" s="373">
        <v>1093</v>
      </c>
      <c r="H47" s="373">
        <v>0</v>
      </c>
      <c r="I47" s="393">
        <v>1</v>
      </c>
      <c r="J47" s="607">
        <f>ROUND(G47*(1+'29_01_H_2020'!$F$10),2)</f>
        <v>1202.3</v>
      </c>
      <c r="K47" s="608">
        <f t="shared" si="22"/>
        <v>1093</v>
      </c>
      <c r="L47" s="608">
        <f t="shared" si="23"/>
        <v>0</v>
      </c>
      <c r="M47" s="608">
        <f t="shared" si="24"/>
        <v>109.29999999999995</v>
      </c>
      <c r="N47" s="608">
        <f t="shared" si="25"/>
        <v>0</v>
      </c>
      <c r="O47" s="608">
        <f t="shared" si="26"/>
        <v>0</v>
      </c>
      <c r="P47" s="609">
        <f t="shared" si="17"/>
        <v>109.29999999999995</v>
      </c>
      <c r="Q47" s="609">
        <f t="shared" si="18"/>
        <v>109.29999999999995</v>
      </c>
      <c r="R47" s="609">
        <f t="shared" si="19"/>
        <v>1311.5999999999995</v>
      </c>
      <c r="S47" s="609">
        <f t="shared" si="20"/>
        <v>315.95999999999998</v>
      </c>
      <c r="T47" s="610">
        <f t="shared" si="27"/>
        <v>1627.5599999999995</v>
      </c>
      <c r="U47" s="611"/>
      <c r="V47" s="612"/>
      <c r="W47" s="613"/>
      <c r="X47" s="614"/>
      <c r="Y47" s="614"/>
      <c r="Z47" s="581"/>
      <c r="AA47" s="581"/>
      <c r="AB47" s="615"/>
      <c r="AC47" s="615"/>
      <c r="AD47" s="615"/>
      <c r="AE47" s="615"/>
      <c r="AF47" s="615"/>
      <c r="AG47" s="615"/>
      <c r="AH47" s="615"/>
      <c r="AI47" s="615"/>
      <c r="AJ47" s="615"/>
      <c r="AK47" s="615"/>
      <c r="AL47" s="616"/>
      <c r="AM47" s="581"/>
      <c r="AN47" s="581"/>
      <c r="AO47" s="615"/>
      <c r="AP47" s="615"/>
      <c r="AQ47" s="615"/>
      <c r="AR47" s="615"/>
      <c r="AS47" s="615"/>
      <c r="AT47" s="615"/>
      <c r="AU47" s="615"/>
      <c r="AV47" s="615"/>
      <c r="AW47" s="615"/>
      <c r="AX47" s="615"/>
      <c r="AY47" s="616"/>
      <c r="AZ47" s="581"/>
      <c r="BA47" s="581"/>
      <c r="BB47" s="581"/>
      <c r="BC47" s="581"/>
      <c r="BD47" s="581"/>
    </row>
    <row r="48" spans="1:56" x14ac:dyDescent="0.25">
      <c r="A48" s="88" t="s">
        <v>272</v>
      </c>
      <c r="B48" s="527">
        <v>5.2</v>
      </c>
      <c r="C48" s="317" t="s">
        <v>18</v>
      </c>
      <c r="D48" s="606">
        <v>8</v>
      </c>
      <c r="E48" s="317">
        <v>3</v>
      </c>
      <c r="F48" s="320">
        <v>1093</v>
      </c>
      <c r="G48" s="373">
        <v>1093</v>
      </c>
      <c r="H48" s="373">
        <v>0</v>
      </c>
      <c r="I48" s="393">
        <v>1</v>
      </c>
      <c r="J48" s="607">
        <f>ROUND(G48*(1+'29_01_H_2020'!$F$10),2)</f>
        <v>1202.3</v>
      </c>
      <c r="K48" s="608">
        <f t="shared" si="22"/>
        <v>1093</v>
      </c>
      <c r="L48" s="608">
        <f t="shared" si="23"/>
        <v>0</v>
      </c>
      <c r="M48" s="608">
        <f t="shared" si="24"/>
        <v>109.29999999999995</v>
      </c>
      <c r="N48" s="608">
        <f t="shared" si="25"/>
        <v>0</v>
      </c>
      <c r="O48" s="608">
        <f t="shared" si="26"/>
        <v>0</v>
      </c>
      <c r="P48" s="609">
        <f t="shared" si="17"/>
        <v>109.29999999999995</v>
      </c>
      <c r="Q48" s="609">
        <f t="shared" si="18"/>
        <v>109.29999999999995</v>
      </c>
      <c r="R48" s="609">
        <f t="shared" si="19"/>
        <v>1311.5999999999995</v>
      </c>
      <c r="S48" s="609">
        <f t="shared" si="20"/>
        <v>315.95999999999998</v>
      </c>
      <c r="T48" s="610">
        <f t="shared" si="27"/>
        <v>1627.5599999999995</v>
      </c>
      <c r="U48" s="611"/>
      <c r="V48" s="612"/>
      <c r="W48" s="613"/>
      <c r="X48" s="614"/>
      <c r="Y48" s="614"/>
      <c r="Z48" s="581"/>
      <c r="AA48" s="581"/>
      <c r="AB48" s="615"/>
      <c r="AC48" s="615"/>
      <c r="AD48" s="615"/>
      <c r="AE48" s="615"/>
      <c r="AF48" s="615"/>
      <c r="AG48" s="615"/>
      <c r="AH48" s="615"/>
      <c r="AI48" s="615"/>
      <c r="AJ48" s="615"/>
      <c r="AK48" s="615"/>
      <c r="AL48" s="616"/>
      <c r="AM48" s="581"/>
      <c r="AN48" s="581"/>
      <c r="AO48" s="615"/>
      <c r="AP48" s="615"/>
      <c r="AQ48" s="615"/>
      <c r="AR48" s="615"/>
      <c r="AS48" s="615"/>
      <c r="AT48" s="615"/>
      <c r="AU48" s="615"/>
      <c r="AV48" s="615"/>
      <c r="AW48" s="615"/>
      <c r="AX48" s="615"/>
      <c r="AY48" s="616"/>
      <c r="AZ48" s="581"/>
      <c r="BA48" s="581"/>
      <c r="BB48" s="581"/>
      <c r="BC48" s="581"/>
      <c r="BD48" s="581"/>
    </row>
    <row r="49" spans="1:56" x14ac:dyDescent="0.25">
      <c r="A49" s="88" t="s">
        <v>272</v>
      </c>
      <c r="B49" s="527">
        <v>5.2</v>
      </c>
      <c r="C49" s="317" t="s">
        <v>18</v>
      </c>
      <c r="D49" s="606">
        <v>8</v>
      </c>
      <c r="E49" s="317">
        <v>3</v>
      </c>
      <c r="F49" s="320">
        <v>1093</v>
      </c>
      <c r="G49" s="373">
        <v>1093</v>
      </c>
      <c r="H49" s="373">
        <v>0</v>
      </c>
      <c r="I49" s="393">
        <v>1</v>
      </c>
      <c r="J49" s="607">
        <f>ROUND(G49*(1+'29_01_H_2020'!$F$10),2)</f>
        <v>1202.3</v>
      </c>
      <c r="K49" s="608">
        <f t="shared" si="22"/>
        <v>1093</v>
      </c>
      <c r="L49" s="608">
        <f t="shared" si="23"/>
        <v>0</v>
      </c>
      <c r="M49" s="608">
        <f t="shared" si="24"/>
        <v>109.29999999999995</v>
      </c>
      <c r="N49" s="608">
        <f t="shared" si="25"/>
        <v>0</v>
      </c>
      <c r="O49" s="608">
        <f t="shared" si="26"/>
        <v>0</v>
      </c>
      <c r="P49" s="609">
        <f t="shared" si="17"/>
        <v>109.29999999999995</v>
      </c>
      <c r="Q49" s="609">
        <f t="shared" si="18"/>
        <v>109.29999999999995</v>
      </c>
      <c r="R49" s="609">
        <f t="shared" si="19"/>
        <v>1311.5999999999995</v>
      </c>
      <c r="S49" s="609">
        <f t="shared" si="20"/>
        <v>315.95999999999998</v>
      </c>
      <c r="T49" s="610">
        <f t="shared" si="27"/>
        <v>1627.5599999999995</v>
      </c>
      <c r="U49" s="611"/>
      <c r="V49" s="612"/>
      <c r="W49" s="613"/>
      <c r="X49" s="614"/>
      <c r="Y49" s="614"/>
      <c r="Z49" s="581"/>
      <c r="AA49" s="581"/>
      <c r="AB49" s="615"/>
      <c r="AC49" s="615"/>
      <c r="AD49" s="615"/>
      <c r="AE49" s="615"/>
      <c r="AF49" s="615"/>
      <c r="AG49" s="615"/>
      <c r="AH49" s="615"/>
      <c r="AI49" s="615"/>
      <c r="AJ49" s="615"/>
      <c r="AK49" s="615"/>
      <c r="AL49" s="616"/>
      <c r="AM49" s="581"/>
      <c r="AN49" s="581"/>
      <c r="AO49" s="615"/>
      <c r="AP49" s="615"/>
      <c r="AQ49" s="615"/>
      <c r="AR49" s="615"/>
      <c r="AS49" s="615"/>
      <c r="AT49" s="615"/>
      <c r="AU49" s="615"/>
      <c r="AV49" s="615"/>
      <c r="AW49" s="615"/>
      <c r="AX49" s="615"/>
      <c r="AY49" s="616"/>
      <c r="AZ49" s="581"/>
      <c r="BA49" s="581"/>
      <c r="BB49" s="581"/>
      <c r="BC49" s="581"/>
      <c r="BD49" s="581"/>
    </row>
    <row r="50" spans="1:56" x14ac:dyDescent="0.25">
      <c r="A50" s="88" t="s">
        <v>272</v>
      </c>
      <c r="B50" s="527">
        <v>5.2</v>
      </c>
      <c r="C50" s="317" t="s">
        <v>18</v>
      </c>
      <c r="D50" s="606">
        <v>8</v>
      </c>
      <c r="E50" s="317">
        <v>3</v>
      </c>
      <c r="F50" s="320">
        <v>1093</v>
      </c>
      <c r="G50" s="373">
        <v>1093</v>
      </c>
      <c r="H50" s="373">
        <v>0</v>
      </c>
      <c r="I50" s="393">
        <v>1</v>
      </c>
      <c r="J50" s="607">
        <f>ROUND(G50*(1+'29_01_H_2020'!$F$10),2)</f>
        <v>1202.3</v>
      </c>
      <c r="K50" s="608">
        <f t="shared" si="22"/>
        <v>1093</v>
      </c>
      <c r="L50" s="608">
        <f t="shared" si="23"/>
        <v>0</v>
      </c>
      <c r="M50" s="608">
        <f t="shared" si="24"/>
        <v>109.29999999999995</v>
      </c>
      <c r="N50" s="608">
        <f t="shared" si="25"/>
        <v>0</v>
      </c>
      <c r="O50" s="608">
        <f t="shared" si="26"/>
        <v>0</v>
      </c>
      <c r="P50" s="609">
        <f t="shared" si="17"/>
        <v>109.29999999999995</v>
      </c>
      <c r="Q50" s="609">
        <f t="shared" si="18"/>
        <v>109.29999999999995</v>
      </c>
      <c r="R50" s="609">
        <f t="shared" si="19"/>
        <v>1311.5999999999995</v>
      </c>
      <c r="S50" s="609">
        <f t="shared" si="20"/>
        <v>315.95999999999998</v>
      </c>
      <c r="T50" s="610">
        <f t="shared" si="27"/>
        <v>1627.5599999999995</v>
      </c>
      <c r="U50" s="611"/>
      <c r="V50" s="612"/>
      <c r="W50" s="613"/>
      <c r="X50" s="614"/>
      <c r="Y50" s="614"/>
      <c r="Z50" s="581"/>
      <c r="AA50" s="581"/>
      <c r="AB50" s="615"/>
      <c r="AC50" s="615"/>
      <c r="AD50" s="615"/>
      <c r="AE50" s="615"/>
      <c r="AF50" s="615"/>
      <c r="AG50" s="615"/>
      <c r="AH50" s="615"/>
      <c r="AI50" s="615"/>
      <c r="AJ50" s="615"/>
      <c r="AK50" s="615"/>
      <c r="AL50" s="616"/>
      <c r="AM50" s="581"/>
      <c r="AN50" s="581"/>
      <c r="AO50" s="615"/>
      <c r="AP50" s="615"/>
      <c r="AQ50" s="615"/>
      <c r="AR50" s="615"/>
      <c r="AS50" s="615"/>
      <c r="AT50" s="615"/>
      <c r="AU50" s="615"/>
      <c r="AV50" s="615"/>
      <c r="AW50" s="615"/>
      <c r="AX50" s="615"/>
      <c r="AY50" s="616"/>
      <c r="AZ50" s="581"/>
      <c r="BA50" s="581"/>
      <c r="BB50" s="581"/>
      <c r="BC50" s="581"/>
      <c r="BD50" s="581"/>
    </row>
    <row r="51" spans="1:56" x14ac:dyDescent="0.25">
      <c r="A51" s="88" t="s">
        <v>272</v>
      </c>
      <c r="B51" s="527">
        <v>5.2</v>
      </c>
      <c r="C51" s="317" t="s">
        <v>18</v>
      </c>
      <c r="D51" s="606">
        <v>8</v>
      </c>
      <c r="E51" s="317">
        <v>3</v>
      </c>
      <c r="F51" s="320">
        <v>1093</v>
      </c>
      <c r="G51" s="373">
        <v>1093</v>
      </c>
      <c r="H51" s="373">
        <v>0</v>
      </c>
      <c r="I51" s="393">
        <v>1</v>
      </c>
      <c r="J51" s="607">
        <f>ROUND(G51*(1+'29_01_H_2020'!$F$10),2)</f>
        <v>1202.3</v>
      </c>
      <c r="K51" s="608">
        <f t="shared" si="22"/>
        <v>1093</v>
      </c>
      <c r="L51" s="608">
        <f t="shared" si="23"/>
        <v>0</v>
      </c>
      <c r="M51" s="608">
        <f t="shared" si="24"/>
        <v>109.29999999999995</v>
      </c>
      <c r="N51" s="608">
        <f t="shared" si="25"/>
        <v>0</v>
      </c>
      <c r="O51" s="608">
        <f t="shared" si="26"/>
        <v>0</v>
      </c>
      <c r="P51" s="609">
        <f t="shared" si="17"/>
        <v>109.29999999999995</v>
      </c>
      <c r="Q51" s="609">
        <f t="shared" si="18"/>
        <v>109.29999999999995</v>
      </c>
      <c r="R51" s="609">
        <f t="shared" si="19"/>
        <v>1311.5999999999995</v>
      </c>
      <c r="S51" s="609">
        <f t="shared" si="20"/>
        <v>315.95999999999998</v>
      </c>
      <c r="T51" s="610">
        <f t="shared" si="27"/>
        <v>1627.5599999999995</v>
      </c>
      <c r="U51" s="611"/>
      <c r="V51" s="612"/>
      <c r="W51" s="613"/>
      <c r="X51" s="614"/>
      <c r="Y51" s="614"/>
      <c r="Z51" s="581"/>
      <c r="AA51" s="581"/>
      <c r="AB51" s="615"/>
      <c r="AC51" s="615"/>
      <c r="AD51" s="615"/>
      <c r="AE51" s="615"/>
      <c r="AF51" s="615"/>
      <c r="AG51" s="615"/>
      <c r="AH51" s="615"/>
      <c r="AI51" s="615"/>
      <c r="AJ51" s="615"/>
      <c r="AK51" s="615"/>
      <c r="AL51" s="616"/>
      <c r="AM51" s="581"/>
      <c r="AN51" s="581"/>
      <c r="AO51" s="615"/>
      <c r="AP51" s="615"/>
      <c r="AQ51" s="615"/>
      <c r="AR51" s="615"/>
      <c r="AS51" s="615"/>
      <c r="AT51" s="615"/>
      <c r="AU51" s="615"/>
      <c r="AV51" s="615"/>
      <c r="AW51" s="615"/>
      <c r="AX51" s="615"/>
      <c r="AY51" s="616"/>
      <c r="AZ51" s="581"/>
      <c r="BA51" s="581"/>
      <c r="BB51" s="581"/>
      <c r="BC51" s="581"/>
      <c r="BD51" s="581"/>
    </row>
    <row r="52" spans="1:56" x14ac:dyDescent="0.25">
      <c r="A52" s="88" t="s">
        <v>272</v>
      </c>
      <c r="B52" s="527">
        <v>5.2</v>
      </c>
      <c r="C52" s="317" t="s">
        <v>18</v>
      </c>
      <c r="D52" s="606">
        <v>8</v>
      </c>
      <c r="E52" s="317">
        <v>3</v>
      </c>
      <c r="F52" s="320">
        <v>1093</v>
      </c>
      <c r="G52" s="373">
        <v>1093</v>
      </c>
      <c r="H52" s="373">
        <v>0</v>
      </c>
      <c r="I52" s="393">
        <v>1</v>
      </c>
      <c r="J52" s="607">
        <f>ROUND(G52*(1+'29_01_H_2020'!$F$10),2)</f>
        <v>1202.3</v>
      </c>
      <c r="K52" s="608">
        <f t="shared" si="22"/>
        <v>1093</v>
      </c>
      <c r="L52" s="608">
        <f t="shared" si="23"/>
        <v>0</v>
      </c>
      <c r="M52" s="608">
        <f t="shared" si="24"/>
        <v>109.29999999999995</v>
      </c>
      <c r="N52" s="608">
        <f t="shared" si="25"/>
        <v>0</v>
      </c>
      <c r="O52" s="608">
        <f t="shared" si="26"/>
        <v>0</v>
      </c>
      <c r="P52" s="609">
        <f t="shared" si="17"/>
        <v>109.29999999999995</v>
      </c>
      <c r="Q52" s="609">
        <f t="shared" si="18"/>
        <v>109.29999999999995</v>
      </c>
      <c r="R52" s="609">
        <f t="shared" si="19"/>
        <v>1311.5999999999995</v>
      </c>
      <c r="S52" s="609">
        <f t="shared" si="20"/>
        <v>315.95999999999998</v>
      </c>
      <c r="T52" s="610">
        <f t="shared" si="27"/>
        <v>1627.5599999999995</v>
      </c>
      <c r="U52" s="611"/>
      <c r="V52" s="612"/>
      <c r="W52" s="613"/>
      <c r="X52" s="614"/>
      <c r="Y52" s="614"/>
      <c r="Z52" s="581"/>
      <c r="AA52" s="581"/>
      <c r="AB52" s="615"/>
      <c r="AC52" s="615"/>
      <c r="AD52" s="615"/>
      <c r="AE52" s="615"/>
      <c r="AF52" s="615"/>
      <c r="AG52" s="615"/>
      <c r="AH52" s="615"/>
      <c r="AI52" s="615"/>
      <c r="AJ52" s="615"/>
      <c r="AK52" s="615"/>
      <c r="AL52" s="616"/>
      <c r="AM52" s="581"/>
      <c r="AN52" s="581"/>
      <c r="AO52" s="615"/>
      <c r="AP52" s="615"/>
      <c r="AQ52" s="615"/>
      <c r="AR52" s="615"/>
      <c r="AS52" s="615"/>
      <c r="AT52" s="615"/>
      <c r="AU52" s="615"/>
      <c r="AV52" s="615"/>
      <c r="AW52" s="615"/>
      <c r="AX52" s="615"/>
      <c r="AY52" s="616"/>
      <c r="AZ52" s="581"/>
      <c r="BA52" s="581"/>
      <c r="BB52" s="581"/>
      <c r="BC52" s="581"/>
      <c r="BD52" s="581"/>
    </row>
    <row r="53" spans="1:56" x14ac:dyDescent="0.25">
      <c r="A53" s="88" t="s">
        <v>272</v>
      </c>
      <c r="B53" s="527">
        <v>5.2</v>
      </c>
      <c r="C53" s="317" t="s">
        <v>18</v>
      </c>
      <c r="D53" s="606">
        <v>8</v>
      </c>
      <c r="E53" s="317">
        <v>3</v>
      </c>
      <c r="F53" s="320">
        <v>1093</v>
      </c>
      <c r="G53" s="373">
        <v>1093</v>
      </c>
      <c r="H53" s="373">
        <v>0</v>
      </c>
      <c r="I53" s="393">
        <v>1</v>
      </c>
      <c r="J53" s="607">
        <f>ROUND(G53*(1+'29_01_H_2020'!$F$10),2)</f>
        <v>1202.3</v>
      </c>
      <c r="K53" s="608">
        <f t="shared" si="22"/>
        <v>1093</v>
      </c>
      <c r="L53" s="608">
        <f t="shared" si="23"/>
        <v>0</v>
      </c>
      <c r="M53" s="608">
        <f t="shared" si="24"/>
        <v>109.29999999999995</v>
      </c>
      <c r="N53" s="608">
        <f t="shared" si="25"/>
        <v>0</v>
      </c>
      <c r="O53" s="608">
        <f t="shared" si="26"/>
        <v>0</v>
      </c>
      <c r="P53" s="609">
        <f t="shared" si="17"/>
        <v>109.29999999999995</v>
      </c>
      <c r="Q53" s="609">
        <f t="shared" si="18"/>
        <v>109.29999999999995</v>
      </c>
      <c r="R53" s="609">
        <f t="shared" si="19"/>
        <v>1311.5999999999995</v>
      </c>
      <c r="S53" s="609">
        <f t="shared" si="20"/>
        <v>315.95999999999998</v>
      </c>
      <c r="T53" s="610">
        <f t="shared" si="27"/>
        <v>1627.5599999999995</v>
      </c>
      <c r="U53" s="611"/>
      <c r="V53" s="612"/>
      <c r="W53" s="613"/>
      <c r="X53" s="614"/>
      <c r="Y53" s="614"/>
      <c r="Z53" s="581"/>
      <c r="AA53" s="581"/>
      <c r="AB53" s="615"/>
      <c r="AC53" s="615"/>
      <c r="AD53" s="615"/>
      <c r="AE53" s="615"/>
      <c r="AF53" s="615"/>
      <c r="AG53" s="615"/>
      <c r="AH53" s="615"/>
      <c r="AI53" s="615"/>
      <c r="AJ53" s="615"/>
      <c r="AK53" s="615"/>
      <c r="AL53" s="616"/>
      <c r="AM53" s="581"/>
      <c r="AN53" s="581"/>
      <c r="AO53" s="615"/>
      <c r="AP53" s="615"/>
      <c r="AQ53" s="615"/>
      <c r="AR53" s="615"/>
      <c r="AS53" s="615"/>
      <c r="AT53" s="615"/>
      <c r="AU53" s="615"/>
      <c r="AV53" s="615"/>
      <c r="AW53" s="615"/>
      <c r="AX53" s="615"/>
      <c r="AY53" s="616"/>
      <c r="AZ53" s="581"/>
      <c r="BA53" s="581"/>
      <c r="BB53" s="581"/>
      <c r="BC53" s="581"/>
      <c r="BD53" s="581"/>
    </row>
    <row r="54" spans="1:56" x14ac:dyDescent="0.25">
      <c r="A54" s="88" t="s">
        <v>272</v>
      </c>
      <c r="B54" s="527">
        <v>5.2</v>
      </c>
      <c r="C54" s="317" t="s">
        <v>18</v>
      </c>
      <c r="D54" s="606">
        <v>8</v>
      </c>
      <c r="E54" s="317">
        <v>3</v>
      </c>
      <c r="F54" s="320">
        <v>1093</v>
      </c>
      <c r="G54" s="373">
        <v>1093</v>
      </c>
      <c r="H54" s="373">
        <v>0</v>
      </c>
      <c r="I54" s="393">
        <v>1</v>
      </c>
      <c r="J54" s="607">
        <f>ROUND(G54*(1+'29_01_H_2020'!$F$10),2)</f>
        <v>1202.3</v>
      </c>
      <c r="K54" s="608">
        <f t="shared" si="22"/>
        <v>1093</v>
      </c>
      <c r="L54" s="608">
        <f t="shared" si="23"/>
        <v>0</v>
      </c>
      <c r="M54" s="608">
        <f t="shared" si="24"/>
        <v>109.29999999999995</v>
      </c>
      <c r="N54" s="608">
        <f t="shared" si="25"/>
        <v>0</v>
      </c>
      <c r="O54" s="608">
        <f t="shared" si="26"/>
        <v>0</v>
      </c>
      <c r="P54" s="609">
        <f t="shared" si="17"/>
        <v>109.29999999999995</v>
      </c>
      <c r="Q54" s="609">
        <f t="shared" si="18"/>
        <v>109.29999999999995</v>
      </c>
      <c r="R54" s="609">
        <f t="shared" si="19"/>
        <v>1311.5999999999995</v>
      </c>
      <c r="S54" s="609">
        <f t="shared" si="20"/>
        <v>315.95999999999998</v>
      </c>
      <c r="T54" s="610">
        <f t="shared" si="27"/>
        <v>1627.5599999999995</v>
      </c>
      <c r="U54" s="611"/>
      <c r="V54" s="612"/>
      <c r="W54" s="613"/>
      <c r="X54" s="614"/>
      <c r="Y54" s="614"/>
      <c r="Z54" s="581"/>
      <c r="AA54" s="581"/>
      <c r="AB54" s="615"/>
      <c r="AC54" s="615"/>
      <c r="AD54" s="615"/>
      <c r="AE54" s="615"/>
      <c r="AF54" s="615"/>
      <c r="AG54" s="615"/>
      <c r="AH54" s="615"/>
      <c r="AI54" s="615"/>
      <c r="AJ54" s="615"/>
      <c r="AK54" s="615"/>
      <c r="AL54" s="616"/>
      <c r="AM54" s="581"/>
      <c r="AN54" s="581"/>
      <c r="AO54" s="615"/>
      <c r="AP54" s="615"/>
      <c r="AQ54" s="615"/>
      <c r="AR54" s="615"/>
      <c r="AS54" s="615"/>
      <c r="AT54" s="615"/>
      <c r="AU54" s="615"/>
      <c r="AV54" s="615"/>
      <c r="AW54" s="615"/>
      <c r="AX54" s="615"/>
      <c r="AY54" s="616"/>
      <c r="AZ54" s="581"/>
      <c r="BA54" s="581"/>
      <c r="BB54" s="581"/>
      <c r="BC54" s="581"/>
      <c r="BD54" s="581"/>
    </row>
    <row r="55" spans="1:56" x14ac:dyDescent="0.25">
      <c r="A55" s="88" t="s">
        <v>272</v>
      </c>
      <c r="B55" s="527">
        <v>5.2</v>
      </c>
      <c r="C55" s="317" t="s">
        <v>18</v>
      </c>
      <c r="D55" s="606">
        <v>8</v>
      </c>
      <c r="E55" s="317">
        <v>3</v>
      </c>
      <c r="F55" s="320">
        <v>1093</v>
      </c>
      <c r="G55" s="373">
        <v>1093</v>
      </c>
      <c r="H55" s="373">
        <v>0</v>
      </c>
      <c r="I55" s="393">
        <v>1</v>
      </c>
      <c r="J55" s="607">
        <f>ROUND(G55*(1+'29_01_H_2020'!$F$10),2)</f>
        <v>1202.3</v>
      </c>
      <c r="K55" s="608">
        <f t="shared" si="22"/>
        <v>1093</v>
      </c>
      <c r="L55" s="608">
        <f t="shared" si="23"/>
        <v>0</v>
      </c>
      <c r="M55" s="608">
        <f t="shared" si="24"/>
        <v>109.29999999999995</v>
      </c>
      <c r="N55" s="608">
        <f t="shared" si="25"/>
        <v>0</v>
      </c>
      <c r="O55" s="608">
        <f t="shared" si="26"/>
        <v>0</v>
      </c>
      <c r="P55" s="609">
        <f t="shared" si="17"/>
        <v>109.29999999999995</v>
      </c>
      <c r="Q55" s="609">
        <f t="shared" si="18"/>
        <v>109.29999999999995</v>
      </c>
      <c r="R55" s="609">
        <f t="shared" si="19"/>
        <v>1311.5999999999995</v>
      </c>
      <c r="S55" s="609">
        <f t="shared" si="20"/>
        <v>315.95999999999998</v>
      </c>
      <c r="T55" s="610">
        <f t="shared" si="27"/>
        <v>1627.5599999999995</v>
      </c>
      <c r="U55" s="611"/>
      <c r="V55" s="612"/>
      <c r="W55" s="613"/>
      <c r="X55" s="614"/>
      <c r="Y55" s="614"/>
      <c r="Z55" s="581"/>
      <c r="AA55" s="581"/>
      <c r="AB55" s="615"/>
      <c r="AC55" s="615"/>
      <c r="AD55" s="615"/>
      <c r="AE55" s="615"/>
      <c r="AF55" s="615"/>
      <c r="AG55" s="615"/>
      <c r="AH55" s="615"/>
      <c r="AI55" s="615"/>
      <c r="AJ55" s="615"/>
      <c r="AK55" s="615"/>
      <c r="AL55" s="616"/>
      <c r="AM55" s="581"/>
      <c r="AN55" s="581"/>
      <c r="AO55" s="615"/>
      <c r="AP55" s="615"/>
      <c r="AQ55" s="615"/>
      <c r="AR55" s="615"/>
      <c r="AS55" s="615"/>
      <c r="AT55" s="615"/>
      <c r="AU55" s="615"/>
      <c r="AV55" s="615"/>
      <c r="AW55" s="615"/>
      <c r="AX55" s="615"/>
      <c r="AY55" s="616"/>
      <c r="AZ55" s="581"/>
      <c r="BA55" s="581"/>
      <c r="BB55" s="581"/>
      <c r="BC55" s="581"/>
      <c r="BD55" s="581"/>
    </row>
    <row r="56" spans="1:56" x14ac:dyDescent="0.25">
      <c r="A56" s="88" t="s">
        <v>272</v>
      </c>
      <c r="B56" s="527">
        <v>5.2</v>
      </c>
      <c r="C56" s="317" t="s">
        <v>18</v>
      </c>
      <c r="D56" s="606">
        <v>8</v>
      </c>
      <c r="E56" s="317">
        <v>3</v>
      </c>
      <c r="F56" s="320">
        <v>1093</v>
      </c>
      <c r="G56" s="373">
        <v>1093</v>
      </c>
      <c r="H56" s="373">
        <v>0</v>
      </c>
      <c r="I56" s="393">
        <v>1</v>
      </c>
      <c r="J56" s="607">
        <f>ROUND(G56*(1+'29_01_H_2020'!$F$10),2)</f>
        <v>1202.3</v>
      </c>
      <c r="K56" s="608">
        <f t="shared" si="22"/>
        <v>1093</v>
      </c>
      <c r="L56" s="608">
        <f t="shared" si="23"/>
        <v>0</v>
      </c>
      <c r="M56" s="608">
        <f t="shared" si="24"/>
        <v>109.29999999999995</v>
      </c>
      <c r="N56" s="608">
        <f t="shared" si="25"/>
        <v>0</v>
      </c>
      <c r="O56" s="608">
        <f t="shared" si="26"/>
        <v>0</v>
      </c>
      <c r="P56" s="609">
        <f t="shared" si="17"/>
        <v>109.29999999999995</v>
      </c>
      <c r="Q56" s="609">
        <f t="shared" si="18"/>
        <v>109.29999999999995</v>
      </c>
      <c r="R56" s="609">
        <f t="shared" si="19"/>
        <v>1311.5999999999995</v>
      </c>
      <c r="S56" s="609">
        <f t="shared" si="20"/>
        <v>315.95999999999998</v>
      </c>
      <c r="T56" s="610">
        <f t="shared" si="27"/>
        <v>1627.5599999999995</v>
      </c>
      <c r="U56" s="611"/>
      <c r="V56" s="612"/>
      <c r="W56" s="613"/>
      <c r="X56" s="614"/>
      <c r="Y56" s="614"/>
      <c r="Z56" s="581"/>
      <c r="AA56" s="581"/>
      <c r="AB56" s="615"/>
      <c r="AC56" s="615"/>
      <c r="AD56" s="615"/>
      <c r="AE56" s="615"/>
      <c r="AF56" s="615"/>
      <c r="AG56" s="615"/>
      <c r="AH56" s="615"/>
      <c r="AI56" s="615"/>
      <c r="AJ56" s="615"/>
      <c r="AK56" s="615"/>
      <c r="AL56" s="616"/>
      <c r="AM56" s="581"/>
      <c r="AN56" s="581"/>
      <c r="AO56" s="615"/>
      <c r="AP56" s="615"/>
      <c r="AQ56" s="615"/>
      <c r="AR56" s="615"/>
      <c r="AS56" s="615"/>
      <c r="AT56" s="615"/>
      <c r="AU56" s="615"/>
      <c r="AV56" s="615"/>
      <c r="AW56" s="615"/>
      <c r="AX56" s="615"/>
      <c r="AY56" s="616"/>
      <c r="AZ56" s="581"/>
      <c r="BA56" s="581"/>
      <c r="BB56" s="581"/>
      <c r="BC56" s="581"/>
      <c r="BD56" s="581"/>
    </row>
    <row r="57" spans="1:56" x14ac:dyDescent="0.25">
      <c r="A57" s="88" t="s">
        <v>273</v>
      </c>
      <c r="B57" s="527">
        <v>5.2</v>
      </c>
      <c r="C57" s="317" t="s">
        <v>25</v>
      </c>
      <c r="D57" s="606">
        <v>7</v>
      </c>
      <c r="E57" s="317">
        <v>3</v>
      </c>
      <c r="F57" s="320">
        <v>996</v>
      </c>
      <c r="G57" s="373">
        <v>996</v>
      </c>
      <c r="H57" s="373">
        <v>0</v>
      </c>
      <c r="I57" s="393">
        <v>1</v>
      </c>
      <c r="J57" s="607">
        <f>ROUND(G57*(1+'29_01_H_2020'!$F$10),2)</f>
        <v>1095.5999999999999</v>
      </c>
      <c r="K57" s="608">
        <f t="shared" si="22"/>
        <v>996</v>
      </c>
      <c r="L57" s="608">
        <f t="shared" si="23"/>
        <v>0</v>
      </c>
      <c r="M57" s="608">
        <f t="shared" si="24"/>
        <v>99.599999999999909</v>
      </c>
      <c r="N57" s="608">
        <f t="shared" si="25"/>
        <v>0</v>
      </c>
      <c r="O57" s="608">
        <f t="shared" si="26"/>
        <v>0</v>
      </c>
      <c r="P57" s="609">
        <f t="shared" si="17"/>
        <v>99.599999999999909</v>
      </c>
      <c r="Q57" s="609">
        <f t="shared" si="18"/>
        <v>99.599999999999909</v>
      </c>
      <c r="R57" s="609">
        <f t="shared" si="19"/>
        <v>1195.1999999999989</v>
      </c>
      <c r="S57" s="609">
        <f t="shared" si="20"/>
        <v>287.92</v>
      </c>
      <c r="T57" s="610">
        <f t="shared" si="27"/>
        <v>1483.119999999999</v>
      </c>
      <c r="U57" s="611"/>
      <c r="V57" s="612"/>
      <c r="W57" s="613"/>
      <c r="X57" s="614"/>
      <c r="Y57" s="614"/>
      <c r="Z57" s="581"/>
      <c r="AA57" s="581"/>
      <c r="AB57" s="615"/>
      <c r="AC57" s="615"/>
      <c r="AD57" s="615"/>
      <c r="AE57" s="615"/>
      <c r="AF57" s="615"/>
      <c r="AG57" s="615"/>
      <c r="AH57" s="615"/>
      <c r="AI57" s="615"/>
      <c r="AJ57" s="615"/>
      <c r="AK57" s="615"/>
      <c r="AL57" s="616"/>
      <c r="AM57" s="581"/>
      <c r="AN57" s="581"/>
      <c r="AO57" s="615"/>
      <c r="AP57" s="615"/>
      <c r="AQ57" s="615"/>
      <c r="AR57" s="615"/>
      <c r="AS57" s="615"/>
      <c r="AT57" s="615"/>
      <c r="AU57" s="615"/>
      <c r="AV57" s="615"/>
      <c r="AW57" s="615"/>
      <c r="AX57" s="615"/>
      <c r="AY57" s="616"/>
      <c r="AZ57" s="581"/>
      <c r="BA57" s="581"/>
      <c r="BB57" s="581"/>
      <c r="BC57" s="581"/>
      <c r="BD57" s="581"/>
    </row>
    <row r="58" spans="1:56" x14ac:dyDescent="0.25">
      <c r="A58" s="88" t="s">
        <v>273</v>
      </c>
      <c r="B58" s="527">
        <v>5.2</v>
      </c>
      <c r="C58" s="317" t="s">
        <v>25</v>
      </c>
      <c r="D58" s="606">
        <v>7</v>
      </c>
      <c r="E58" s="317">
        <v>3</v>
      </c>
      <c r="F58" s="320">
        <v>996</v>
      </c>
      <c r="G58" s="373">
        <v>996</v>
      </c>
      <c r="H58" s="373">
        <v>0</v>
      </c>
      <c r="I58" s="393">
        <v>1</v>
      </c>
      <c r="J58" s="607">
        <f>ROUND(G58*(1+'29_01_H_2020'!$F$10),2)</f>
        <v>1095.5999999999999</v>
      </c>
      <c r="K58" s="608">
        <f t="shared" si="22"/>
        <v>996</v>
      </c>
      <c r="L58" s="608">
        <f t="shared" si="23"/>
        <v>0</v>
      </c>
      <c r="M58" s="608">
        <f t="shared" si="24"/>
        <v>99.599999999999909</v>
      </c>
      <c r="N58" s="608">
        <f t="shared" si="25"/>
        <v>0</v>
      </c>
      <c r="O58" s="608">
        <f t="shared" si="26"/>
        <v>0</v>
      </c>
      <c r="P58" s="609">
        <f t="shared" si="17"/>
        <v>99.599999999999909</v>
      </c>
      <c r="Q58" s="609">
        <f t="shared" si="18"/>
        <v>99.599999999999909</v>
      </c>
      <c r="R58" s="609">
        <f t="shared" si="19"/>
        <v>1195.1999999999989</v>
      </c>
      <c r="S58" s="609">
        <f t="shared" si="20"/>
        <v>287.92</v>
      </c>
      <c r="T58" s="610">
        <f t="shared" si="27"/>
        <v>1483.119999999999</v>
      </c>
      <c r="U58" s="611"/>
      <c r="V58" s="612"/>
      <c r="W58" s="613"/>
      <c r="X58" s="614"/>
      <c r="Y58" s="614"/>
      <c r="Z58" s="581"/>
      <c r="AA58" s="581"/>
      <c r="AB58" s="615"/>
      <c r="AC58" s="615"/>
      <c r="AD58" s="615"/>
      <c r="AE58" s="615"/>
      <c r="AF58" s="615"/>
      <c r="AG58" s="615"/>
      <c r="AH58" s="615"/>
      <c r="AI58" s="615"/>
      <c r="AJ58" s="615"/>
      <c r="AK58" s="615"/>
      <c r="AL58" s="616"/>
      <c r="AM58" s="581"/>
      <c r="AN58" s="581"/>
      <c r="AO58" s="615"/>
      <c r="AP58" s="615"/>
      <c r="AQ58" s="615"/>
      <c r="AR58" s="615"/>
      <c r="AS58" s="615"/>
      <c r="AT58" s="615"/>
      <c r="AU58" s="615"/>
      <c r="AV58" s="615"/>
      <c r="AW58" s="615"/>
      <c r="AX58" s="615"/>
      <c r="AY58" s="616"/>
      <c r="AZ58" s="581"/>
      <c r="BA58" s="581"/>
      <c r="BB58" s="581"/>
      <c r="BC58" s="581"/>
      <c r="BD58" s="581"/>
    </row>
    <row r="59" spans="1:56" x14ac:dyDescent="0.25">
      <c r="A59" s="528" t="s">
        <v>273</v>
      </c>
      <c r="B59" s="527">
        <v>5.2</v>
      </c>
      <c r="C59" s="317" t="s">
        <v>25</v>
      </c>
      <c r="D59" s="606">
        <v>7</v>
      </c>
      <c r="E59" s="317">
        <v>3</v>
      </c>
      <c r="F59" s="320">
        <v>996</v>
      </c>
      <c r="G59" s="373">
        <v>996</v>
      </c>
      <c r="H59" s="373">
        <v>0</v>
      </c>
      <c r="I59" s="393">
        <v>1</v>
      </c>
      <c r="J59" s="607">
        <f>ROUND(G59*(1+'29_01_H_2020'!$F$10),2)</f>
        <v>1095.5999999999999</v>
      </c>
      <c r="K59" s="608">
        <f t="shared" si="22"/>
        <v>996</v>
      </c>
      <c r="L59" s="608">
        <f t="shared" si="23"/>
        <v>0</v>
      </c>
      <c r="M59" s="608">
        <f t="shared" si="24"/>
        <v>99.599999999999909</v>
      </c>
      <c r="N59" s="608">
        <f t="shared" si="25"/>
        <v>0</v>
      </c>
      <c r="O59" s="608">
        <f t="shared" si="26"/>
        <v>0</v>
      </c>
      <c r="P59" s="609">
        <f t="shared" si="17"/>
        <v>99.599999999999909</v>
      </c>
      <c r="Q59" s="609">
        <f t="shared" si="18"/>
        <v>99.599999999999909</v>
      </c>
      <c r="R59" s="609">
        <f t="shared" si="19"/>
        <v>1195.1999999999989</v>
      </c>
      <c r="S59" s="609">
        <f t="shared" si="20"/>
        <v>287.92</v>
      </c>
      <c r="T59" s="610">
        <f t="shared" si="27"/>
        <v>1483.119999999999</v>
      </c>
      <c r="U59" s="611"/>
      <c r="V59" s="612"/>
      <c r="W59" s="613"/>
      <c r="X59" s="614"/>
      <c r="Y59" s="614"/>
      <c r="Z59" s="581"/>
      <c r="AA59" s="581"/>
      <c r="AB59" s="615"/>
      <c r="AC59" s="615"/>
      <c r="AD59" s="615"/>
      <c r="AE59" s="615"/>
      <c r="AF59" s="615"/>
      <c r="AG59" s="615"/>
      <c r="AH59" s="615"/>
      <c r="AI59" s="615"/>
      <c r="AJ59" s="615"/>
      <c r="AK59" s="615"/>
      <c r="AL59" s="616"/>
      <c r="AM59" s="581"/>
      <c r="AN59" s="581"/>
      <c r="AO59" s="615"/>
      <c r="AP59" s="615"/>
      <c r="AQ59" s="615"/>
      <c r="AR59" s="615"/>
      <c r="AS59" s="615"/>
      <c r="AT59" s="615"/>
      <c r="AU59" s="615"/>
      <c r="AV59" s="615"/>
      <c r="AW59" s="615"/>
      <c r="AX59" s="615"/>
      <c r="AY59" s="616"/>
      <c r="AZ59" s="581"/>
      <c r="BA59" s="581"/>
      <c r="BB59" s="581"/>
      <c r="BC59" s="581"/>
      <c r="BD59" s="581"/>
    </row>
    <row r="60" spans="1:56" x14ac:dyDescent="0.25">
      <c r="A60" s="617" t="s">
        <v>55</v>
      </c>
      <c r="B60" s="618" t="s">
        <v>52</v>
      </c>
      <c r="C60" s="619" t="s">
        <v>52</v>
      </c>
      <c r="D60" s="619" t="s">
        <v>52</v>
      </c>
      <c r="E60" s="619" t="s">
        <v>52</v>
      </c>
      <c r="F60" s="620" t="s">
        <v>52</v>
      </c>
      <c r="G60" s="620" t="s">
        <v>52</v>
      </c>
      <c r="H60" s="620" t="s">
        <v>52</v>
      </c>
      <c r="I60" s="375">
        <f>SUM(I39:I59)</f>
        <v>21</v>
      </c>
      <c r="J60" s="621"/>
      <c r="K60" s="622"/>
      <c r="L60" s="622"/>
      <c r="M60" s="622"/>
      <c r="N60" s="622"/>
      <c r="O60" s="622"/>
      <c r="P60" s="623"/>
      <c r="Q60" s="623"/>
      <c r="R60" s="623"/>
      <c r="S60" s="623"/>
      <c r="T60" s="624"/>
      <c r="U60" s="581"/>
      <c r="V60" s="581"/>
      <c r="W60" s="581"/>
      <c r="X60" s="581"/>
      <c r="Y60" s="581"/>
      <c r="Z60" s="581"/>
      <c r="AA60" s="581"/>
      <c r="AB60" s="581"/>
      <c r="AC60" s="581"/>
      <c r="AD60" s="581"/>
      <c r="AE60" s="581"/>
      <c r="AF60" s="581"/>
      <c r="AG60" s="581"/>
      <c r="AH60" s="581"/>
      <c r="AI60" s="581"/>
      <c r="AJ60" s="581"/>
      <c r="AK60" s="581"/>
      <c r="AL60" s="581"/>
      <c r="AM60" s="581"/>
      <c r="AN60" s="581"/>
      <c r="AO60" s="581"/>
      <c r="AP60" s="581"/>
      <c r="AQ60" s="581"/>
      <c r="AR60" s="581"/>
      <c r="AS60" s="581"/>
      <c r="AT60" s="581"/>
      <c r="AU60" s="581"/>
      <c r="AV60" s="581"/>
      <c r="AW60" s="581"/>
      <c r="AX60" s="581"/>
      <c r="AY60" s="581"/>
      <c r="AZ60" s="581"/>
      <c r="BA60" s="581"/>
      <c r="BB60" s="581"/>
      <c r="BC60" s="581"/>
      <c r="BD60" s="581"/>
    </row>
    <row r="61" spans="1:56" x14ac:dyDescent="0.25">
      <c r="A61" s="920" t="s">
        <v>46</v>
      </c>
      <c r="B61" s="921"/>
      <c r="C61" s="921"/>
      <c r="D61" s="921"/>
      <c r="E61" s="921"/>
      <c r="F61" s="921"/>
      <c r="G61" s="921"/>
      <c r="H61" s="921"/>
      <c r="I61" s="922"/>
      <c r="J61" s="625"/>
      <c r="K61" s="626"/>
      <c r="L61" s="626"/>
      <c r="M61" s="626"/>
      <c r="N61" s="626"/>
      <c r="O61" s="626"/>
      <c r="P61" s="603"/>
      <c r="Q61" s="603"/>
      <c r="R61" s="603"/>
      <c r="S61" s="603"/>
      <c r="T61" s="604"/>
      <c r="U61" s="581"/>
      <c r="V61" s="581"/>
      <c r="W61" s="581"/>
      <c r="X61" s="581"/>
      <c r="Y61" s="581"/>
      <c r="Z61" s="581"/>
      <c r="AA61" s="581"/>
      <c r="AB61" s="581"/>
      <c r="AC61" s="581"/>
      <c r="AD61" s="581"/>
      <c r="AE61" s="581"/>
      <c r="AF61" s="581"/>
      <c r="AG61" s="581"/>
      <c r="AH61" s="581"/>
      <c r="AI61" s="581"/>
      <c r="AJ61" s="581"/>
      <c r="AK61" s="581"/>
      <c r="AL61" s="581"/>
      <c r="AM61" s="581"/>
      <c r="AN61" s="581"/>
      <c r="AO61" s="581"/>
      <c r="AP61" s="581"/>
      <c r="AQ61" s="581"/>
      <c r="AR61" s="581"/>
      <c r="AS61" s="581"/>
      <c r="AT61" s="581"/>
      <c r="AU61" s="581"/>
      <c r="AV61" s="581"/>
      <c r="AW61" s="581"/>
      <c r="AX61" s="581"/>
      <c r="AY61" s="581"/>
      <c r="AZ61" s="581"/>
      <c r="BA61" s="581"/>
      <c r="BB61" s="581"/>
      <c r="BC61" s="581"/>
      <c r="BD61" s="581"/>
    </row>
    <row r="62" spans="1:56" x14ac:dyDescent="0.25">
      <c r="A62" s="60" t="s">
        <v>30</v>
      </c>
      <c r="B62" s="47">
        <v>5.0999999999999996</v>
      </c>
      <c r="C62" s="628" t="s">
        <v>274</v>
      </c>
      <c r="D62" s="606">
        <v>8</v>
      </c>
      <c r="E62" s="317">
        <v>3</v>
      </c>
      <c r="F62" s="320">
        <v>1093</v>
      </c>
      <c r="G62" s="627">
        <v>1093</v>
      </c>
      <c r="H62" s="627">
        <v>0</v>
      </c>
      <c r="I62" s="376">
        <v>1</v>
      </c>
      <c r="J62" s="607">
        <f>ROUND(G62*(1+'29_01_H_2020'!$F$14),2)</f>
        <v>1202.3</v>
      </c>
      <c r="K62" s="608">
        <f t="shared" ref="K62" si="28">IF(J62&lt;=F62,J62,F62)</f>
        <v>1093</v>
      </c>
      <c r="L62" s="608">
        <f t="shared" ref="L62" si="29">K62-G62</f>
        <v>0</v>
      </c>
      <c r="M62" s="608">
        <f t="shared" ref="M62" si="30">J62-K62</f>
        <v>109.29999999999995</v>
      </c>
      <c r="N62" s="608">
        <f t="shared" ref="N62" si="31">ROUND(H62/G62*K62-H62,2)</f>
        <v>0</v>
      </c>
      <c r="O62" s="608">
        <f t="shared" ref="O62" si="32">ROUND(H62/G62*J62-H62-N62,2)</f>
        <v>0</v>
      </c>
      <c r="P62" s="609">
        <f t="shared" ref="P62:P65" si="33">L62+M62+N62+O62</f>
        <v>109.29999999999995</v>
      </c>
      <c r="Q62" s="609">
        <f>P62*I62</f>
        <v>109.29999999999995</v>
      </c>
      <c r="R62" s="609">
        <f t="shared" ref="R62:R65" si="34">Q62*12</f>
        <v>1311.5999999999995</v>
      </c>
      <c r="S62" s="609">
        <f t="shared" ref="S62:S65" si="35">ROUND(R62*0.2409,2)</f>
        <v>315.95999999999998</v>
      </c>
      <c r="T62" s="610">
        <f t="shared" ref="T62" si="36">SUM(R62:S62)</f>
        <v>1627.5599999999995</v>
      </c>
      <c r="U62" s="611"/>
      <c r="V62" s="612"/>
      <c r="W62" s="613"/>
      <c r="X62" s="614"/>
      <c r="Y62" s="614"/>
      <c r="Z62" s="581"/>
      <c r="AA62" s="581"/>
      <c r="AB62" s="615"/>
      <c r="AC62" s="615"/>
      <c r="AD62" s="615"/>
      <c r="AE62" s="615"/>
      <c r="AF62" s="615"/>
      <c r="AG62" s="615"/>
      <c r="AH62" s="615"/>
      <c r="AI62" s="615"/>
      <c r="AJ62" s="615"/>
      <c r="AK62" s="615"/>
      <c r="AL62" s="616"/>
      <c r="AM62" s="581"/>
      <c r="AN62" s="581"/>
      <c r="AO62" s="615"/>
      <c r="AP62" s="615"/>
      <c r="AQ62" s="615"/>
      <c r="AR62" s="615"/>
      <c r="AS62" s="615"/>
      <c r="AT62" s="615"/>
      <c r="AU62" s="615"/>
      <c r="AV62" s="615"/>
      <c r="AW62" s="615"/>
      <c r="AX62" s="615"/>
      <c r="AY62" s="616"/>
      <c r="AZ62" s="581"/>
      <c r="BA62" s="581"/>
      <c r="BB62" s="581"/>
      <c r="BC62" s="581"/>
      <c r="BD62" s="581"/>
    </row>
    <row r="63" spans="1:56" x14ac:dyDescent="0.25">
      <c r="A63" s="60" t="s">
        <v>275</v>
      </c>
      <c r="B63" s="47">
        <v>5.0999999999999996</v>
      </c>
      <c r="C63" s="628" t="s">
        <v>274</v>
      </c>
      <c r="D63" s="606">
        <v>8</v>
      </c>
      <c r="E63" s="317">
        <v>3</v>
      </c>
      <c r="F63" s="320">
        <v>1093</v>
      </c>
      <c r="G63" s="627">
        <v>1093</v>
      </c>
      <c r="H63" s="627">
        <v>0</v>
      </c>
      <c r="I63" s="376">
        <v>0.8</v>
      </c>
      <c r="J63" s="607">
        <f>ROUND(G63*(1+'29_01_H_2020'!$F$14),2)</f>
        <v>1202.3</v>
      </c>
      <c r="K63" s="608">
        <f t="shared" ref="K63:K65" si="37">IF(J63&lt;=F63,J63,F63)</f>
        <v>1093</v>
      </c>
      <c r="L63" s="608">
        <f t="shared" ref="L63:L65" si="38">K63-G63</f>
        <v>0</v>
      </c>
      <c r="M63" s="608">
        <f t="shared" ref="M63:M65" si="39">J63-K63</f>
        <v>109.29999999999995</v>
      </c>
      <c r="N63" s="608">
        <f t="shared" ref="N63:N65" si="40">ROUND(H63/G63*K63-H63,2)</f>
        <v>0</v>
      </c>
      <c r="O63" s="608">
        <f t="shared" ref="O63:O65" si="41">ROUND(H63/G63*J63-H63-N63,2)</f>
        <v>0</v>
      </c>
      <c r="P63" s="609">
        <f t="shared" si="33"/>
        <v>109.29999999999995</v>
      </c>
      <c r="Q63" s="609">
        <f>P63*I63</f>
        <v>87.439999999999969</v>
      </c>
      <c r="R63" s="609">
        <f t="shared" si="34"/>
        <v>1049.2799999999997</v>
      </c>
      <c r="S63" s="609">
        <f t="shared" si="35"/>
        <v>252.77</v>
      </c>
      <c r="T63" s="610">
        <f t="shared" ref="T63:T65" si="42">SUM(R63:S63)</f>
        <v>1302.0499999999997</v>
      </c>
      <c r="U63" s="611"/>
      <c r="V63" s="612"/>
      <c r="W63" s="613"/>
      <c r="X63" s="614"/>
      <c r="Y63" s="614"/>
      <c r="Z63" s="581"/>
      <c r="AA63" s="581"/>
      <c r="AB63" s="615"/>
      <c r="AC63" s="615"/>
      <c r="AD63" s="615"/>
      <c r="AE63" s="615"/>
      <c r="AF63" s="615"/>
      <c r="AG63" s="615"/>
      <c r="AH63" s="615"/>
      <c r="AI63" s="615"/>
      <c r="AJ63" s="615"/>
      <c r="AK63" s="615"/>
      <c r="AL63" s="616"/>
      <c r="AM63" s="581"/>
      <c r="AN63" s="581"/>
      <c r="AO63" s="615"/>
      <c r="AP63" s="615"/>
      <c r="AQ63" s="615"/>
      <c r="AR63" s="615"/>
      <c r="AS63" s="615"/>
      <c r="AT63" s="615"/>
      <c r="AU63" s="615"/>
      <c r="AV63" s="615"/>
      <c r="AW63" s="615"/>
      <c r="AX63" s="615"/>
      <c r="AY63" s="616"/>
      <c r="AZ63" s="581"/>
      <c r="BA63" s="581"/>
      <c r="BB63" s="581"/>
      <c r="BC63" s="581"/>
      <c r="BD63" s="581"/>
    </row>
    <row r="64" spans="1:56" x14ac:dyDescent="0.25">
      <c r="A64" s="60" t="s">
        <v>275</v>
      </c>
      <c r="B64" s="47">
        <v>5.0999999999999996</v>
      </c>
      <c r="C64" s="628" t="s">
        <v>274</v>
      </c>
      <c r="D64" s="606">
        <v>8</v>
      </c>
      <c r="E64" s="317">
        <v>3</v>
      </c>
      <c r="F64" s="320">
        <v>1093</v>
      </c>
      <c r="G64" s="627">
        <v>1093</v>
      </c>
      <c r="H64" s="627">
        <v>0</v>
      </c>
      <c r="I64" s="376">
        <v>0.2</v>
      </c>
      <c r="J64" s="607">
        <f>ROUND(G64*(1+'29_01_H_2020'!$F$14),2)</f>
        <v>1202.3</v>
      </c>
      <c r="K64" s="608">
        <f t="shared" si="37"/>
        <v>1093</v>
      </c>
      <c r="L64" s="608">
        <f t="shared" si="38"/>
        <v>0</v>
      </c>
      <c r="M64" s="608">
        <f t="shared" si="39"/>
        <v>109.29999999999995</v>
      </c>
      <c r="N64" s="608">
        <f t="shared" si="40"/>
        <v>0</v>
      </c>
      <c r="O64" s="608">
        <f t="shared" si="41"/>
        <v>0</v>
      </c>
      <c r="P64" s="609">
        <f t="shared" si="33"/>
        <v>109.29999999999995</v>
      </c>
      <c r="Q64" s="609">
        <f>P64*I64</f>
        <v>21.859999999999992</v>
      </c>
      <c r="R64" s="609">
        <f t="shared" si="34"/>
        <v>262.31999999999994</v>
      </c>
      <c r="S64" s="609">
        <f t="shared" si="35"/>
        <v>63.19</v>
      </c>
      <c r="T64" s="610">
        <f t="shared" si="42"/>
        <v>325.50999999999993</v>
      </c>
      <c r="U64" s="611"/>
      <c r="V64" s="612"/>
      <c r="W64" s="613"/>
      <c r="X64" s="614"/>
      <c r="Y64" s="614"/>
      <c r="Z64" s="581"/>
      <c r="AA64" s="581"/>
      <c r="AB64" s="615"/>
      <c r="AC64" s="615"/>
      <c r="AD64" s="615"/>
      <c r="AE64" s="615"/>
      <c r="AF64" s="615"/>
      <c r="AG64" s="615"/>
      <c r="AH64" s="615"/>
      <c r="AI64" s="615"/>
      <c r="AJ64" s="615"/>
      <c r="AK64" s="615"/>
      <c r="AL64" s="616"/>
      <c r="AM64" s="581"/>
      <c r="AN64" s="581"/>
      <c r="AO64" s="615"/>
      <c r="AP64" s="615"/>
      <c r="AQ64" s="615"/>
      <c r="AR64" s="615"/>
      <c r="AS64" s="615"/>
      <c r="AT64" s="615"/>
      <c r="AU64" s="615"/>
      <c r="AV64" s="615"/>
      <c r="AW64" s="615"/>
      <c r="AX64" s="615"/>
      <c r="AY64" s="616"/>
      <c r="AZ64" s="581"/>
      <c r="BA64" s="581"/>
      <c r="BB64" s="581"/>
      <c r="BC64" s="581"/>
      <c r="BD64" s="581"/>
    </row>
    <row r="65" spans="1:56" x14ac:dyDescent="0.25">
      <c r="A65" s="60" t="s">
        <v>30</v>
      </c>
      <c r="B65" s="47">
        <v>5.0999999999999996</v>
      </c>
      <c r="C65" s="628" t="s">
        <v>274</v>
      </c>
      <c r="D65" s="606">
        <v>8</v>
      </c>
      <c r="E65" s="317">
        <v>3</v>
      </c>
      <c r="F65" s="320">
        <v>1093</v>
      </c>
      <c r="G65" s="627">
        <v>1093</v>
      </c>
      <c r="H65" s="627">
        <v>0</v>
      </c>
      <c r="I65" s="376">
        <v>1</v>
      </c>
      <c r="J65" s="607">
        <f>ROUND(G65*(1+'29_01_H_2020'!$F$14),2)</f>
        <v>1202.3</v>
      </c>
      <c r="K65" s="608">
        <f t="shared" si="37"/>
        <v>1093</v>
      </c>
      <c r="L65" s="608">
        <f t="shared" si="38"/>
        <v>0</v>
      </c>
      <c r="M65" s="608">
        <f t="shared" si="39"/>
        <v>109.29999999999995</v>
      </c>
      <c r="N65" s="608">
        <f t="shared" si="40"/>
        <v>0</v>
      </c>
      <c r="O65" s="608">
        <f t="shared" si="41"/>
        <v>0</v>
      </c>
      <c r="P65" s="609">
        <f t="shared" si="33"/>
        <v>109.29999999999995</v>
      </c>
      <c r="Q65" s="609">
        <f>P65*I65</f>
        <v>109.29999999999995</v>
      </c>
      <c r="R65" s="609">
        <f t="shared" si="34"/>
        <v>1311.5999999999995</v>
      </c>
      <c r="S65" s="609">
        <f t="shared" si="35"/>
        <v>315.95999999999998</v>
      </c>
      <c r="T65" s="610">
        <f t="shared" si="42"/>
        <v>1627.5599999999995</v>
      </c>
      <c r="U65" s="611"/>
      <c r="V65" s="612"/>
      <c r="W65" s="613"/>
      <c r="X65" s="614"/>
      <c r="Y65" s="614"/>
      <c r="Z65" s="581"/>
      <c r="AA65" s="581"/>
      <c r="AB65" s="615"/>
      <c r="AC65" s="615"/>
      <c r="AD65" s="615"/>
      <c r="AE65" s="615"/>
      <c r="AF65" s="615"/>
      <c r="AG65" s="615"/>
      <c r="AH65" s="615"/>
      <c r="AI65" s="615"/>
      <c r="AJ65" s="615"/>
      <c r="AK65" s="615"/>
      <c r="AL65" s="616"/>
      <c r="AM65" s="581"/>
      <c r="AN65" s="581"/>
      <c r="AO65" s="615"/>
      <c r="AP65" s="615"/>
      <c r="AQ65" s="615"/>
      <c r="AR65" s="615"/>
      <c r="AS65" s="615"/>
      <c r="AT65" s="615"/>
      <c r="AU65" s="615"/>
      <c r="AV65" s="615"/>
      <c r="AW65" s="615"/>
      <c r="AX65" s="615"/>
      <c r="AY65" s="616"/>
      <c r="AZ65" s="581"/>
      <c r="BA65" s="581"/>
      <c r="BB65" s="581"/>
      <c r="BC65" s="581"/>
      <c r="BD65" s="581"/>
    </row>
    <row r="66" spans="1:56" ht="15.75" thickBot="1" x14ac:dyDescent="0.3">
      <c r="A66" s="617" t="s">
        <v>55</v>
      </c>
      <c r="B66" s="618" t="s">
        <v>52</v>
      </c>
      <c r="C66" s="619" t="s">
        <v>52</v>
      </c>
      <c r="D66" s="619" t="s">
        <v>52</v>
      </c>
      <c r="E66" s="619" t="s">
        <v>52</v>
      </c>
      <c r="F66" s="620" t="s">
        <v>52</v>
      </c>
      <c r="G66" s="620" t="s">
        <v>52</v>
      </c>
      <c r="H66" s="620" t="s">
        <v>52</v>
      </c>
      <c r="I66" s="375">
        <f>SUM(I62:I65)</f>
        <v>3</v>
      </c>
      <c r="J66" s="629"/>
      <c r="K66" s="630"/>
      <c r="L66" s="630"/>
      <c r="M66" s="630"/>
      <c r="N66" s="630"/>
      <c r="O66" s="630"/>
      <c r="P66" s="631"/>
      <c r="Q66" s="631"/>
      <c r="R66" s="631"/>
      <c r="S66" s="631"/>
      <c r="T66" s="632"/>
      <c r="U66" s="581"/>
      <c r="V66" s="581"/>
      <c r="W66" s="581"/>
      <c r="X66" s="581"/>
      <c r="Y66" s="581"/>
      <c r="Z66" s="581"/>
      <c r="AA66" s="581"/>
      <c r="AB66" s="581"/>
      <c r="AC66" s="581"/>
      <c r="AD66" s="581"/>
      <c r="AE66" s="581"/>
      <c r="AF66" s="581"/>
      <c r="AG66" s="581"/>
      <c r="AH66" s="581"/>
      <c r="AI66" s="581"/>
      <c r="AJ66" s="581"/>
      <c r="AK66" s="581"/>
      <c r="AL66" s="581"/>
      <c r="AM66" s="581"/>
      <c r="AN66" s="581"/>
      <c r="AO66" s="581"/>
      <c r="AP66" s="581"/>
      <c r="AQ66" s="581"/>
      <c r="AR66" s="581"/>
      <c r="AS66" s="581"/>
      <c r="AT66" s="581"/>
      <c r="AU66" s="581"/>
      <c r="AV66" s="581"/>
      <c r="AW66" s="581"/>
      <c r="AX66" s="581"/>
      <c r="AY66" s="581"/>
      <c r="AZ66" s="581"/>
      <c r="BA66" s="581"/>
      <c r="BB66" s="581"/>
      <c r="BC66" s="581"/>
      <c r="BD66" s="581"/>
    </row>
    <row r="67" spans="1:56" ht="15.75" thickBot="1" x14ac:dyDescent="0.3">
      <c r="A67" s="633" t="s">
        <v>57</v>
      </c>
      <c r="B67" s="634"/>
      <c r="C67" s="634"/>
      <c r="D67" s="634"/>
      <c r="E67" s="634"/>
      <c r="F67" s="634"/>
      <c r="G67" s="634"/>
      <c r="H67" s="634"/>
      <c r="I67" s="377">
        <f>SUM(I37,I60,I66)</f>
        <v>44.9</v>
      </c>
      <c r="J67" s="635"/>
      <c r="K67" s="636"/>
      <c r="L67" s="636"/>
      <c r="M67" s="636"/>
      <c r="N67" s="636"/>
      <c r="O67" s="636"/>
      <c r="P67" s="637"/>
      <c r="Q67" s="637"/>
      <c r="R67" s="637"/>
      <c r="S67" s="638"/>
      <c r="T67" s="639">
        <f>SUM(T11:T36,T39:T59,T62:T65)</f>
        <v>78701.249999999956</v>
      </c>
      <c r="U67" s="640"/>
      <c r="V67" s="615"/>
      <c r="W67" s="581"/>
      <c r="X67" s="640"/>
      <c r="Y67" s="640"/>
      <c r="Z67" s="581"/>
      <c r="AA67" s="581"/>
      <c r="AB67" s="581"/>
      <c r="AC67" s="581"/>
      <c r="AD67" s="581"/>
      <c r="AE67" s="581"/>
      <c r="AF67" s="581"/>
      <c r="AG67" s="581"/>
      <c r="AH67" s="641"/>
      <c r="AI67" s="640"/>
      <c r="AJ67" s="640"/>
      <c r="AK67" s="640"/>
      <c r="AL67" s="581"/>
      <c r="AM67" s="581"/>
      <c r="AN67" s="581"/>
      <c r="AO67" s="581"/>
      <c r="AP67" s="581"/>
      <c r="AQ67" s="581"/>
      <c r="AR67" s="581"/>
      <c r="AS67" s="581"/>
      <c r="AT67" s="581"/>
      <c r="AU67" s="641"/>
      <c r="AV67" s="640"/>
      <c r="AW67" s="640"/>
      <c r="AX67" s="640"/>
      <c r="AY67" s="581"/>
      <c r="AZ67" s="581"/>
      <c r="BA67" s="581"/>
      <c r="BB67" s="581"/>
      <c r="BC67" s="581"/>
      <c r="BD67" s="581"/>
    </row>
    <row r="68" spans="1:56" ht="15.75" thickBot="1" x14ac:dyDescent="0.3">
      <c r="A68" s="642"/>
      <c r="B68" s="643"/>
      <c r="C68" s="643"/>
      <c r="D68" s="643"/>
      <c r="E68" s="643"/>
      <c r="F68" s="644"/>
      <c r="G68" s="643"/>
      <c r="H68" s="645"/>
      <c r="I68" s="646"/>
      <c r="J68" s="647"/>
      <c r="K68" s="648"/>
      <c r="L68" s="648"/>
      <c r="M68" s="648"/>
      <c r="N68" s="648"/>
      <c r="O68" s="648"/>
      <c r="P68" s="649"/>
      <c r="Q68" s="649"/>
      <c r="R68" s="649"/>
      <c r="S68" s="649"/>
      <c r="T68" s="650"/>
      <c r="U68" s="640"/>
      <c r="V68" s="581"/>
      <c r="W68" s="581"/>
      <c r="X68" s="581"/>
      <c r="Y68" s="651"/>
      <c r="Z68" s="581"/>
      <c r="AA68" s="581"/>
      <c r="AB68" s="581"/>
      <c r="AC68" s="581"/>
      <c r="AD68" s="581"/>
      <c r="AE68" s="581"/>
      <c r="AF68" s="581"/>
      <c r="AG68" s="581"/>
      <c r="AH68" s="581"/>
      <c r="AI68" s="581"/>
      <c r="AJ68" s="581"/>
      <c r="AK68" s="651"/>
      <c r="AL68" s="581"/>
      <c r="AM68" s="581"/>
      <c r="AN68" s="581"/>
      <c r="AO68" s="581"/>
      <c r="AP68" s="581"/>
      <c r="AQ68" s="581"/>
      <c r="AR68" s="581"/>
      <c r="AS68" s="581"/>
      <c r="AT68" s="581"/>
      <c r="AU68" s="581"/>
      <c r="AV68" s="581"/>
      <c r="AW68" s="581"/>
      <c r="AX68" s="651"/>
      <c r="AY68" s="581"/>
      <c r="AZ68" s="581"/>
      <c r="BA68" s="581"/>
      <c r="BB68" s="581"/>
      <c r="BC68" s="581"/>
      <c r="BD68" s="581"/>
    </row>
    <row r="69" spans="1:56" ht="15" customHeight="1" x14ac:dyDescent="0.25">
      <c r="A69" s="906" t="s">
        <v>284</v>
      </c>
      <c r="B69" s="907"/>
      <c r="C69" s="907"/>
      <c r="D69" s="907"/>
      <c r="E69" s="907"/>
      <c r="F69" s="907"/>
      <c r="G69" s="907"/>
      <c r="H69" s="907"/>
      <c r="I69" s="908"/>
      <c r="J69" s="652"/>
      <c r="K69" s="653"/>
      <c r="L69" s="653"/>
      <c r="M69" s="653"/>
      <c r="N69" s="653"/>
      <c r="O69" s="653"/>
      <c r="P69" s="654"/>
      <c r="Q69" s="654"/>
      <c r="R69" s="654"/>
      <c r="S69" s="654"/>
      <c r="T69" s="655"/>
      <c r="U69" s="581"/>
      <c r="V69" s="581"/>
      <c r="W69" s="581"/>
      <c r="X69" s="581"/>
      <c r="Y69" s="581"/>
      <c r="Z69" s="581"/>
      <c r="AA69" s="581"/>
      <c r="AB69" s="581"/>
      <c r="AC69" s="581"/>
      <c r="AD69" s="581"/>
      <c r="AE69" s="581"/>
      <c r="AF69" s="581"/>
      <c r="AG69" s="581"/>
      <c r="AH69" s="581"/>
      <c r="AI69" s="581"/>
      <c r="AJ69" s="581"/>
      <c r="AK69" s="581"/>
      <c r="AL69" s="581"/>
      <c r="AM69" s="581"/>
      <c r="AN69" s="581"/>
      <c r="AO69" s="581"/>
      <c r="AP69" s="581"/>
      <c r="AQ69" s="581"/>
      <c r="AR69" s="581"/>
      <c r="AS69" s="581"/>
      <c r="AT69" s="581"/>
      <c r="AU69" s="581"/>
      <c r="AV69" s="581"/>
      <c r="AW69" s="581"/>
      <c r="AX69" s="581"/>
      <c r="AY69" s="581"/>
      <c r="AZ69" s="581"/>
      <c r="BA69" s="581"/>
      <c r="BB69" s="581"/>
      <c r="BC69" s="581"/>
      <c r="BD69" s="581"/>
    </row>
    <row r="70" spans="1:56" x14ac:dyDescent="0.25">
      <c r="A70" s="923" t="s">
        <v>285</v>
      </c>
      <c r="B70" s="924"/>
      <c r="C70" s="924"/>
      <c r="D70" s="924"/>
      <c r="E70" s="924"/>
      <c r="F70" s="924"/>
      <c r="G70" s="924"/>
      <c r="H70" s="924"/>
      <c r="I70" s="925"/>
      <c r="J70" s="656"/>
      <c r="K70" s="657"/>
      <c r="L70" s="657"/>
      <c r="M70" s="657"/>
      <c r="N70" s="657"/>
      <c r="O70" s="657"/>
      <c r="P70" s="658"/>
      <c r="Q70" s="658"/>
      <c r="R70" s="658"/>
      <c r="S70" s="658"/>
      <c r="T70" s="659">
        <f>SUM(T72:T73)</f>
        <v>2836.7</v>
      </c>
      <c r="U70" s="581"/>
      <c r="V70" s="581"/>
      <c r="W70" s="581"/>
      <c r="X70" s="581"/>
      <c r="Y70" s="581"/>
      <c r="Z70" s="581"/>
      <c r="AA70" s="581"/>
      <c r="AB70" s="581"/>
      <c r="AC70" s="581"/>
      <c r="AD70" s="581"/>
      <c r="AE70" s="581"/>
      <c r="AF70" s="581"/>
      <c r="AG70" s="581"/>
      <c r="AH70" s="581"/>
      <c r="AI70" s="581"/>
      <c r="AJ70" s="581"/>
      <c r="AK70" s="581"/>
      <c r="AL70" s="581"/>
      <c r="AM70" s="581"/>
      <c r="AN70" s="581"/>
      <c r="AO70" s="581"/>
      <c r="AP70" s="581"/>
      <c r="AQ70" s="581"/>
      <c r="AR70" s="581"/>
      <c r="AS70" s="581"/>
      <c r="AT70" s="581"/>
      <c r="AU70" s="581"/>
      <c r="AV70" s="581"/>
      <c r="AW70" s="581"/>
      <c r="AX70" s="581"/>
      <c r="AY70" s="581"/>
      <c r="AZ70" s="581"/>
      <c r="BA70" s="581"/>
      <c r="BB70" s="581"/>
    </row>
    <row r="71" spans="1:56" x14ac:dyDescent="0.25">
      <c r="A71" s="915" t="s">
        <v>10</v>
      </c>
      <c r="B71" s="916"/>
      <c r="C71" s="916"/>
      <c r="D71" s="916"/>
      <c r="E71" s="916"/>
      <c r="F71" s="916"/>
      <c r="G71" s="916"/>
      <c r="H71" s="916"/>
      <c r="I71" s="916"/>
      <c r="J71" s="625"/>
      <c r="K71" s="626"/>
      <c r="L71" s="626"/>
      <c r="M71" s="626"/>
      <c r="N71" s="626"/>
      <c r="O71" s="626"/>
      <c r="P71" s="603"/>
      <c r="Q71" s="603"/>
      <c r="R71" s="603"/>
      <c r="S71" s="603"/>
      <c r="T71" s="604"/>
      <c r="U71" s="581"/>
      <c r="V71" s="581"/>
      <c r="W71" s="581"/>
      <c r="X71" s="581"/>
      <c r="Y71" s="581"/>
      <c r="Z71" s="581"/>
      <c r="AA71" s="581"/>
      <c r="AB71" s="581"/>
      <c r="AC71" s="581"/>
      <c r="AD71" s="581"/>
      <c r="AE71" s="581"/>
      <c r="AF71" s="581"/>
      <c r="AG71" s="581"/>
      <c r="AH71" s="581"/>
      <c r="AI71" s="581"/>
      <c r="AJ71" s="581"/>
      <c r="AK71" s="581"/>
      <c r="AL71" s="581"/>
      <c r="AM71" s="581"/>
      <c r="AN71" s="581"/>
      <c r="AO71" s="581"/>
      <c r="AP71" s="581"/>
      <c r="AQ71" s="581"/>
      <c r="AR71" s="581"/>
      <c r="AS71" s="581"/>
      <c r="AT71" s="581"/>
      <c r="AU71" s="581"/>
      <c r="AV71" s="581"/>
      <c r="AW71" s="581"/>
      <c r="AX71" s="581"/>
      <c r="AY71" s="581"/>
      <c r="AZ71" s="581"/>
      <c r="BA71" s="581"/>
      <c r="BB71" s="581"/>
    </row>
    <row r="72" spans="1:56" x14ac:dyDescent="0.25">
      <c r="A72" s="57" t="s">
        <v>286</v>
      </c>
      <c r="B72" s="46">
        <v>10</v>
      </c>
      <c r="C72" s="605" t="s">
        <v>25</v>
      </c>
      <c r="D72" s="317">
        <v>10</v>
      </c>
      <c r="E72" s="317">
        <v>3</v>
      </c>
      <c r="F72" s="319">
        <v>1287</v>
      </c>
      <c r="G72" s="357">
        <v>1287</v>
      </c>
      <c r="H72" s="357">
        <v>0</v>
      </c>
      <c r="I72" s="405">
        <v>1</v>
      </c>
      <c r="J72" s="607">
        <f>ROUND(G72*(1+'29_01_H_2020'!$F$14),2)</f>
        <v>1415.7</v>
      </c>
      <c r="K72" s="608">
        <f t="shared" ref="K72" si="43">IF(J72&lt;=F72,J72,F72)</f>
        <v>1287</v>
      </c>
      <c r="L72" s="608">
        <f t="shared" ref="L72" si="44">K72-G72</f>
        <v>0</v>
      </c>
      <c r="M72" s="608">
        <f t="shared" ref="M72" si="45">J72-K72</f>
        <v>128.70000000000005</v>
      </c>
      <c r="N72" s="608">
        <f t="shared" ref="N72" si="46">ROUND(H72/G72*K72-H72,2)</f>
        <v>0</v>
      </c>
      <c r="O72" s="608">
        <f t="shared" ref="O72" si="47">ROUND(H72/G72*J72-H72-N72,2)</f>
        <v>0</v>
      </c>
      <c r="P72" s="609">
        <f t="shared" ref="P72:P73" si="48">L72+M72+N72+O72</f>
        <v>128.70000000000005</v>
      </c>
      <c r="Q72" s="609">
        <f>P72*I72</f>
        <v>128.70000000000005</v>
      </c>
      <c r="R72" s="609">
        <f t="shared" ref="R72:R73" si="49">Q72*12</f>
        <v>1544.4000000000005</v>
      </c>
      <c r="S72" s="609">
        <f t="shared" ref="S72:S73" si="50">ROUND(R72*0.2409,2)</f>
        <v>372.05</v>
      </c>
      <c r="T72" s="610">
        <f t="shared" ref="T72" si="51">SUM(R72:S72)</f>
        <v>1916.4500000000005</v>
      </c>
      <c r="U72" s="611"/>
      <c r="V72" s="612"/>
      <c r="W72" s="613"/>
      <c r="X72" s="614"/>
      <c r="Y72" s="614"/>
      <c r="Z72" s="581"/>
      <c r="AA72" s="581"/>
      <c r="AB72" s="615"/>
      <c r="AC72" s="615"/>
      <c r="AD72" s="615"/>
      <c r="AE72" s="615"/>
      <c r="AF72" s="615"/>
      <c r="AG72" s="615"/>
      <c r="AH72" s="615"/>
      <c r="AI72" s="615"/>
      <c r="AJ72" s="615"/>
      <c r="AK72" s="615"/>
      <c r="AL72" s="616"/>
      <c r="AM72" s="581"/>
      <c r="AN72" s="581"/>
      <c r="AO72" s="615"/>
      <c r="AP72" s="615"/>
      <c r="AQ72" s="615"/>
      <c r="AR72" s="615"/>
      <c r="AS72" s="615"/>
      <c r="AT72" s="615"/>
      <c r="AU72" s="615"/>
      <c r="AV72" s="615"/>
      <c r="AW72" s="615"/>
      <c r="AX72" s="615"/>
      <c r="AY72" s="616"/>
      <c r="AZ72" s="581"/>
      <c r="BA72" s="581"/>
      <c r="BB72" s="581"/>
    </row>
    <row r="73" spans="1:56" x14ac:dyDescent="0.25">
      <c r="A73" s="57" t="s">
        <v>287</v>
      </c>
      <c r="B73" s="46">
        <v>10</v>
      </c>
      <c r="C73" s="605" t="s">
        <v>25</v>
      </c>
      <c r="D73" s="317">
        <v>10</v>
      </c>
      <c r="E73" s="317">
        <v>3</v>
      </c>
      <c r="F73" s="319">
        <v>1287</v>
      </c>
      <c r="G73" s="357">
        <v>1236</v>
      </c>
      <c r="H73" s="357">
        <v>0</v>
      </c>
      <c r="I73" s="405">
        <v>0.5</v>
      </c>
      <c r="J73" s="607">
        <f>ROUND(G73*(1+'29_01_H_2020'!$F$14),2)</f>
        <v>1359.6</v>
      </c>
      <c r="K73" s="608">
        <f t="shared" ref="K73" si="52">IF(J73&lt;=F73,J73,F73)</f>
        <v>1287</v>
      </c>
      <c r="L73" s="608">
        <f t="shared" ref="L73" si="53">K73-G73</f>
        <v>51</v>
      </c>
      <c r="M73" s="608">
        <f t="shared" ref="M73" si="54">J73-K73</f>
        <v>72.599999999999909</v>
      </c>
      <c r="N73" s="608">
        <f t="shared" ref="N73" si="55">ROUND(H73/G73*K73-H73,2)</f>
        <v>0</v>
      </c>
      <c r="O73" s="608">
        <f t="shared" ref="O73" si="56">ROUND(H73/G73*J73-H73-N73,2)</f>
        <v>0</v>
      </c>
      <c r="P73" s="609">
        <f t="shared" si="48"/>
        <v>123.59999999999991</v>
      </c>
      <c r="Q73" s="609">
        <f>P73*I73</f>
        <v>61.799999999999955</v>
      </c>
      <c r="R73" s="609">
        <f t="shared" si="49"/>
        <v>741.59999999999945</v>
      </c>
      <c r="S73" s="609">
        <f t="shared" si="50"/>
        <v>178.65</v>
      </c>
      <c r="T73" s="610">
        <f t="shared" ref="T73" si="57">SUM(R73:S73)</f>
        <v>920.24999999999943</v>
      </c>
      <c r="U73" s="611"/>
      <c r="V73" s="612"/>
      <c r="W73" s="613"/>
      <c r="X73" s="614"/>
      <c r="Y73" s="614"/>
      <c r="Z73" s="581"/>
      <c r="AA73" s="581"/>
      <c r="AB73" s="615"/>
      <c r="AC73" s="615"/>
      <c r="AD73" s="615"/>
      <c r="AE73" s="615"/>
      <c r="AF73" s="615"/>
      <c r="AG73" s="615"/>
      <c r="AH73" s="615"/>
      <c r="AI73" s="615"/>
      <c r="AJ73" s="615"/>
      <c r="AK73" s="615"/>
      <c r="AL73" s="616"/>
      <c r="AM73" s="581"/>
      <c r="AN73" s="581"/>
      <c r="AO73" s="615"/>
      <c r="AP73" s="615"/>
      <c r="AQ73" s="615"/>
      <c r="AR73" s="615"/>
      <c r="AS73" s="615"/>
      <c r="AT73" s="615"/>
      <c r="AU73" s="615"/>
      <c r="AV73" s="615"/>
      <c r="AW73" s="615"/>
      <c r="AX73" s="615"/>
      <c r="AY73" s="616"/>
      <c r="AZ73" s="581"/>
      <c r="BA73" s="581"/>
      <c r="BB73" s="581"/>
    </row>
    <row r="74" spans="1:56" x14ac:dyDescent="0.25">
      <c r="A74" s="617" t="s">
        <v>55</v>
      </c>
      <c r="B74" s="618" t="s">
        <v>52</v>
      </c>
      <c r="C74" s="619" t="s">
        <v>52</v>
      </c>
      <c r="D74" s="619" t="s">
        <v>52</v>
      </c>
      <c r="E74" s="619" t="s">
        <v>52</v>
      </c>
      <c r="F74" s="620" t="s">
        <v>52</v>
      </c>
      <c r="G74" s="620" t="s">
        <v>52</v>
      </c>
      <c r="H74" s="620" t="s">
        <v>52</v>
      </c>
      <c r="I74" s="406">
        <f>SUM(I72:I73)</f>
        <v>1.5</v>
      </c>
      <c r="J74" s="621"/>
      <c r="K74" s="622"/>
      <c r="L74" s="622"/>
      <c r="M74" s="622"/>
      <c r="N74" s="622"/>
      <c r="O74" s="622"/>
      <c r="P74" s="623"/>
      <c r="Q74" s="623"/>
      <c r="R74" s="623"/>
      <c r="S74" s="623"/>
      <c r="T74" s="660"/>
      <c r="U74" s="615"/>
      <c r="V74" s="581"/>
      <c r="W74" s="581"/>
      <c r="X74" s="581"/>
      <c r="Y74" s="581"/>
      <c r="Z74" s="581"/>
      <c r="AA74" s="581"/>
      <c r="AB74" s="581"/>
      <c r="AC74" s="581"/>
      <c r="AD74" s="581"/>
      <c r="AE74" s="581"/>
      <c r="AF74" s="581"/>
      <c r="AG74" s="581"/>
      <c r="AH74" s="581"/>
      <c r="AI74" s="615"/>
      <c r="AJ74" s="581"/>
      <c r="AK74" s="581"/>
      <c r="AL74" s="581"/>
      <c r="AM74" s="581"/>
      <c r="AN74" s="581"/>
      <c r="AO74" s="581"/>
      <c r="AP74" s="581"/>
      <c r="AQ74" s="581"/>
      <c r="AR74" s="581"/>
      <c r="AS74" s="581"/>
      <c r="AT74" s="581"/>
      <c r="AU74" s="581"/>
      <c r="AV74" s="615"/>
      <c r="AW74" s="581"/>
      <c r="AX74" s="581"/>
      <c r="AY74" s="581"/>
      <c r="AZ74" s="581"/>
      <c r="BA74" s="581"/>
      <c r="BB74" s="581"/>
    </row>
    <row r="75" spans="1:56" x14ac:dyDescent="0.25">
      <c r="A75" s="94" t="s">
        <v>288</v>
      </c>
      <c r="B75" s="93"/>
      <c r="C75" s="93"/>
      <c r="D75" s="93"/>
      <c r="E75" s="93"/>
      <c r="F75" s="661"/>
      <c r="G75" s="661"/>
      <c r="H75" s="661"/>
      <c r="I75" s="407">
        <f>I74</f>
        <v>1.5</v>
      </c>
      <c r="J75" s="662"/>
      <c r="K75" s="663"/>
      <c r="L75" s="663"/>
      <c r="M75" s="663"/>
      <c r="N75" s="663"/>
      <c r="O75" s="663"/>
      <c r="P75" s="664"/>
      <c r="Q75" s="664"/>
      <c r="R75" s="664"/>
      <c r="S75" s="664"/>
      <c r="T75" s="665"/>
      <c r="U75" s="581"/>
      <c r="V75" s="581"/>
      <c r="W75" s="581"/>
      <c r="X75" s="581"/>
      <c r="Y75" s="581"/>
      <c r="Z75" s="581"/>
      <c r="AA75" s="581"/>
      <c r="AB75" s="581"/>
      <c r="AC75" s="581"/>
      <c r="AD75" s="581"/>
      <c r="AE75" s="581"/>
      <c r="AF75" s="581"/>
      <c r="AG75" s="581"/>
      <c r="AH75" s="581"/>
      <c r="AI75" s="581"/>
      <c r="AJ75" s="581"/>
      <c r="AK75" s="581"/>
      <c r="AL75" s="581"/>
      <c r="AM75" s="581"/>
      <c r="AN75" s="581"/>
      <c r="AO75" s="581"/>
      <c r="AP75" s="581"/>
      <c r="AQ75" s="581"/>
      <c r="AR75" s="581"/>
      <c r="AS75" s="581"/>
      <c r="AT75" s="581"/>
      <c r="AU75" s="581"/>
      <c r="AV75" s="581"/>
      <c r="AW75" s="581"/>
      <c r="AX75" s="581"/>
      <c r="AY75" s="581"/>
      <c r="AZ75" s="581"/>
      <c r="BA75" s="581"/>
      <c r="BB75" s="581"/>
    </row>
    <row r="76" spans="1:56" x14ac:dyDescent="0.25">
      <c r="A76" s="923" t="s">
        <v>289</v>
      </c>
      <c r="B76" s="924"/>
      <c r="C76" s="924"/>
      <c r="D76" s="924"/>
      <c r="E76" s="924"/>
      <c r="F76" s="924"/>
      <c r="G76" s="924"/>
      <c r="H76" s="924"/>
      <c r="I76" s="925"/>
      <c r="J76" s="656"/>
      <c r="K76" s="657"/>
      <c r="L76" s="657"/>
      <c r="M76" s="657"/>
      <c r="N76" s="657"/>
      <c r="O76" s="657"/>
      <c r="P76" s="658"/>
      <c r="Q76" s="658"/>
      <c r="R76" s="658"/>
      <c r="S76" s="658"/>
      <c r="T76" s="659">
        <f>SUM(T79:T82,T85:T88,T91:T95,T100:T111,T114:T123,T128:T131,T134:T141,T144,T149:T163,T166:T177,T182,T185:T190)</f>
        <v>535209.29799999995</v>
      </c>
      <c r="U76" s="581"/>
      <c r="V76" s="581"/>
      <c r="W76" s="581"/>
      <c r="X76" s="581"/>
      <c r="Y76" s="581"/>
      <c r="Z76" s="581"/>
      <c r="AA76" s="581"/>
      <c r="AB76" s="581"/>
      <c r="AC76" s="581"/>
      <c r="AD76" s="581"/>
      <c r="AE76" s="581"/>
      <c r="AF76" s="581"/>
      <c r="AG76" s="581"/>
      <c r="AH76" s="581"/>
      <c r="AI76" s="581"/>
      <c r="AJ76" s="581"/>
      <c r="AK76" s="581"/>
      <c r="AL76" s="581"/>
      <c r="AM76" s="581"/>
      <c r="AN76" s="581"/>
      <c r="AO76" s="581"/>
      <c r="AP76" s="581"/>
      <c r="AQ76" s="581"/>
      <c r="AR76" s="581"/>
      <c r="AS76" s="581"/>
      <c r="AT76" s="581"/>
      <c r="AU76" s="581"/>
      <c r="AV76" s="581"/>
      <c r="AW76" s="581"/>
      <c r="AX76" s="581"/>
      <c r="AY76" s="581"/>
      <c r="AZ76" s="581"/>
      <c r="BA76" s="581"/>
      <c r="BB76" s="581"/>
    </row>
    <row r="77" spans="1:56" x14ac:dyDescent="0.25">
      <c r="A77" s="909" t="s">
        <v>290</v>
      </c>
      <c r="B77" s="910"/>
      <c r="C77" s="910"/>
      <c r="D77" s="910"/>
      <c r="E77" s="910"/>
      <c r="F77" s="910"/>
      <c r="G77" s="910"/>
      <c r="H77" s="910"/>
      <c r="I77" s="911"/>
      <c r="J77" s="666"/>
      <c r="K77" s="667"/>
      <c r="L77" s="667"/>
      <c r="M77" s="667"/>
      <c r="N77" s="667"/>
      <c r="O77" s="667"/>
      <c r="P77" s="668"/>
      <c r="Q77" s="668"/>
      <c r="R77" s="668"/>
      <c r="S77" s="668"/>
      <c r="T77" s="669"/>
      <c r="U77" s="581"/>
      <c r="V77" s="581"/>
      <c r="W77" s="581"/>
      <c r="X77" s="581"/>
      <c r="Y77" s="581"/>
      <c r="Z77" s="581"/>
      <c r="AA77" s="581"/>
      <c r="AB77" s="581"/>
      <c r="AC77" s="581"/>
      <c r="AD77" s="581"/>
      <c r="AE77" s="581"/>
      <c r="AF77" s="581"/>
      <c r="AG77" s="581"/>
      <c r="AH77" s="581"/>
      <c r="AI77" s="581"/>
      <c r="AJ77" s="581"/>
      <c r="AK77" s="581"/>
      <c r="AL77" s="581"/>
      <c r="AM77" s="581"/>
      <c r="AN77" s="581"/>
      <c r="AO77" s="581"/>
      <c r="AP77" s="581"/>
      <c r="AQ77" s="581"/>
      <c r="AR77" s="581"/>
      <c r="AS77" s="581"/>
      <c r="AT77" s="581"/>
      <c r="AU77" s="581"/>
      <c r="AV77" s="581"/>
      <c r="AW77" s="581"/>
      <c r="AX77" s="581"/>
      <c r="AY77" s="581"/>
      <c r="AZ77" s="581"/>
      <c r="BA77" s="581"/>
      <c r="BB77" s="581"/>
    </row>
    <row r="78" spans="1:56" x14ac:dyDescent="0.25">
      <c r="A78" s="912" t="s">
        <v>10</v>
      </c>
      <c r="B78" s="913"/>
      <c r="C78" s="913"/>
      <c r="D78" s="913"/>
      <c r="E78" s="913"/>
      <c r="F78" s="913"/>
      <c r="G78" s="913"/>
      <c r="H78" s="913"/>
      <c r="I78" s="914"/>
      <c r="J78" s="625"/>
      <c r="K78" s="626"/>
      <c r="L78" s="626"/>
      <c r="M78" s="626"/>
      <c r="N78" s="626"/>
      <c r="O78" s="626"/>
      <c r="P78" s="603"/>
      <c r="Q78" s="603"/>
      <c r="R78" s="603"/>
      <c r="S78" s="603"/>
      <c r="T78" s="604"/>
      <c r="U78" s="581"/>
      <c r="V78" s="581"/>
      <c r="W78" s="581"/>
      <c r="X78" s="581"/>
      <c r="Y78" s="581"/>
      <c r="Z78" s="581"/>
      <c r="AA78" s="581"/>
      <c r="AB78" s="581"/>
      <c r="AC78" s="581"/>
      <c r="AD78" s="581"/>
      <c r="AE78" s="581"/>
      <c r="AF78" s="581"/>
      <c r="AG78" s="581"/>
      <c r="AH78" s="581"/>
      <c r="AI78" s="581"/>
      <c r="AJ78" s="581"/>
      <c r="AK78" s="581"/>
      <c r="AL78" s="581"/>
      <c r="AM78" s="581"/>
      <c r="AN78" s="581"/>
      <c r="AO78" s="581"/>
      <c r="AP78" s="581"/>
      <c r="AQ78" s="581"/>
      <c r="AR78" s="581"/>
      <c r="AS78" s="581"/>
      <c r="AT78" s="581"/>
      <c r="AU78" s="581"/>
      <c r="AV78" s="581"/>
      <c r="AW78" s="581"/>
      <c r="AX78" s="581"/>
      <c r="AY78" s="581"/>
      <c r="AZ78" s="581"/>
      <c r="BA78" s="581"/>
      <c r="BB78" s="581"/>
    </row>
    <row r="79" spans="1:56" x14ac:dyDescent="0.25">
      <c r="A79" s="62" t="s">
        <v>291</v>
      </c>
      <c r="B79" s="63" t="s">
        <v>15</v>
      </c>
      <c r="C79" s="16" t="s">
        <v>25</v>
      </c>
      <c r="D79" s="315" t="s">
        <v>75</v>
      </c>
      <c r="E79" s="315" t="s">
        <v>69</v>
      </c>
      <c r="F79" s="318">
        <v>1287</v>
      </c>
      <c r="G79" s="357">
        <v>1251</v>
      </c>
      <c r="H79" s="357">
        <v>125</v>
      </c>
      <c r="I79" s="405">
        <v>2.8</v>
      </c>
      <c r="J79" s="607">
        <f>ROUND(G79*(1+'29_01_H_2020'!$F$14),2)</f>
        <v>1376.1</v>
      </c>
      <c r="K79" s="608">
        <f t="shared" ref="K79" si="58">IF(J79&lt;=F79,J79,F79)</f>
        <v>1287</v>
      </c>
      <c r="L79" s="608">
        <f t="shared" ref="L79" si="59">K79-G79</f>
        <v>36</v>
      </c>
      <c r="M79" s="608">
        <f t="shared" ref="M79" si="60">J79-K79</f>
        <v>89.099999999999909</v>
      </c>
      <c r="N79" s="608">
        <f t="shared" ref="N79" si="61">ROUND(H79/G79*K79-H79,2)</f>
        <v>3.6</v>
      </c>
      <c r="O79" s="608">
        <f t="shared" ref="O79" si="62">ROUND(H79/G79*J79-H79-N79,2)</f>
        <v>8.9</v>
      </c>
      <c r="P79" s="609">
        <f t="shared" ref="P79:P82" si="63">L79+M79+N79+O79</f>
        <v>137.59999999999991</v>
      </c>
      <c r="Q79" s="609">
        <f>P79*I79</f>
        <v>385.27999999999975</v>
      </c>
      <c r="R79" s="609">
        <f t="shared" ref="R79:R82" si="64">Q79*12</f>
        <v>4623.3599999999969</v>
      </c>
      <c r="S79" s="609">
        <f t="shared" ref="S79:S82" si="65">ROUND(R79*0.2409,2)</f>
        <v>1113.77</v>
      </c>
      <c r="T79" s="610">
        <f t="shared" ref="T79" si="66">SUM(R79:S79)</f>
        <v>5737.1299999999974</v>
      </c>
      <c r="U79" s="611"/>
      <c r="V79" s="612"/>
      <c r="W79" s="613"/>
      <c r="X79" s="614"/>
      <c r="Y79" s="614"/>
      <c r="Z79" s="581"/>
      <c r="AA79" s="581"/>
      <c r="AB79" s="615"/>
      <c r="AC79" s="615"/>
      <c r="AD79" s="615"/>
      <c r="AE79" s="615"/>
      <c r="AF79" s="615"/>
      <c r="AG79" s="615"/>
      <c r="AH79" s="615"/>
      <c r="AI79" s="615"/>
      <c r="AJ79" s="615"/>
      <c r="AK79" s="615"/>
      <c r="AL79" s="616"/>
      <c r="AM79" s="581"/>
      <c r="AN79" s="581"/>
      <c r="AO79" s="615"/>
      <c r="AP79" s="615"/>
      <c r="AQ79" s="615"/>
      <c r="AR79" s="615"/>
      <c r="AS79" s="615"/>
      <c r="AT79" s="615"/>
      <c r="AU79" s="615"/>
      <c r="AV79" s="615"/>
      <c r="AW79" s="615"/>
      <c r="AX79" s="615"/>
      <c r="AY79" s="616"/>
      <c r="AZ79" s="581"/>
      <c r="BA79" s="581"/>
      <c r="BB79" s="581"/>
    </row>
    <row r="80" spans="1:56" x14ac:dyDescent="0.25">
      <c r="A80" s="62" t="s">
        <v>292</v>
      </c>
      <c r="B80" s="63" t="s">
        <v>15</v>
      </c>
      <c r="C80" s="16" t="s">
        <v>25</v>
      </c>
      <c r="D80" s="315" t="s">
        <v>75</v>
      </c>
      <c r="E80" s="315" t="s">
        <v>69</v>
      </c>
      <c r="F80" s="318">
        <v>1287</v>
      </c>
      <c r="G80" s="357">
        <v>1251</v>
      </c>
      <c r="H80" s="357">
        <v>125</v>
      </c>
      <c r="I80" s="405">
        <v>1.05</v>
      </c>
      <c r="J80" s="607">
        <f>ROUND(G80*(1+'29_01_H_2020'!$F$14),2)</f>
        <v>1376.1</v>
      </c>
      <c r="K80" s="608">
        <f t="shared" ref="K80:K82" si="67">IF(J80&lt;=F80,J80,F80)</f>
        <v>1287</v>
      </c>
      <c r="L80" s="608">
        <f t="shared" ref="L80:L82" si="68">K80-G80</f>
        <v>36</v>
      </c>
      <c r="M80" s="608">
        <f t="shared" ref="M80:M82" si="69">J80-K80</f>
        <v>89.099999999999909</v>
      </c>
      <c r="N80" s="608">
        <f t="shared" ref="N80:N82" si="70">ROUND(H80/G80*K80-H80,2)</f>
        <v>3.6</v>
      </c>
      <c r="O80" s="608">
        <f t="shared" ref="O80:O82" si="71">ROUND(H80/G80*J80-H80-N80,2)</f>
        <v>8.9</v>
      </c>
      <c r="P80" s="609">
        <f t="shared" si="63"/>
        <v>137.59999999999991</v>
      </c>
      <c r="Q80" s="609">
        <f>P80*I80</f>
        <v>144.4799999999999</v>
      </c>
      <c r="R80" s="609">
        <f t="shared" si="64"/>
        <v>1733.7599999999989</v>
      </c>
      <c r="S80" s="609">
        <f t="shared" si="65"/>
        <v>417.66</v>
      </c>
      <c r="T80" s="610">
        <f t="shared" ref="T80:T82" si="72">SUM(R80:S80)</f>
        <v>2151.4199999999987</v>
      </c>
      <c r="U80" s="611"/>
      <c r="V80" s="612"/>
      <c r="W80" s="613"/>
      <c r="X80" s="614"/>
      <c r="Y80" s="614"/>
      <c r="Z80" s="581"/>
      <c r="AA80" s="581"/>
      <c r="AB80" s="615"/>
      <c r="AC80" s="615"/>
      <c r="AD80" s="615"/>
      <c r="AE80" s="615"/>
      <c r="AF80" s="615"/>
      <c r="AG80" s="615"/>
      <c r="AH80" s="615"/>
      <c r="AI80" s="615"/>
      <c r="AJ80" s="615"/>
      <c r="AK80" s="615"/>
      <c r="AL80" s="616"/>
      <c r="AM80" s="581"/>
      <c r="AN80" s="581"/>
      <c r="AO80" s="615"/>
      <c r="AP80" s="615"/>
      <c r="AQ80" s="615"/>
      <c r="AR80" s="615"/>
      <c r="AS80" s="615"/>
      <c r="AT80" s="615"/>
      <c r="AU80" s="615"/>
      <c r="AV80" s="615"/>
      <c r="AW80" s="615"/>
      <c r="AX80" s="615"/>
      <c r="AY80" s="616"/>
      <c r="AZ80" s="581"/>
      <c r="BA80" s="581"/>
      <c r="BB80" s="581"/>
    </row>
    <row r="81" spans="1:54" x14ac:dyDescent="0.25">
      <c r="A81" s="62" t="s">
        <v>293</v>
      </c>
      <c r="B81" s="63" t="s">
        <v>15</v>
      </c>
      <c r="C81" s="16" t="s">
        <v>25</v>
      </c>
      <c r="D81" s="315" t="s">
        <v>75</v>
      </c>
      <c r="E81" s="315" t="s">
        <v>69</v>
      </c>
      <c r="F81" s="318">
        <v>1287</v>
      </c>
      <c r="G81" s="357">
        <v>1251</v>
      </c>
      <c r="H81" s="357">
        <v>125</v>
      </c>
      <c r="I81" s="405">
        <v>0.5</v>
      </c>
      <c r="J81" s="607">
        <f>ROUND(G81*(1+'29_01_H_2020'!$F$14),2)</f>
        <v>1376.1</v>
      </c>
      <c r="K81" s="608">
        <f t="shared" si="67"/>
        <v>1287</v>
      </c>
      <c r="L81" s="608">
        <f t="shared" si="68"/>
        <v>36</v>
      </c>
      <c r="M81" s="608">
        <f t="shared" si="69"/>
        <v>89.099999999999909</v>
      </c>
      <c r="N81" s="608">
        <f t="shared" si="70"/>
        <v>3.6</v>
      </c>
      <c r="O81" s="608">
        <f t="shared" si="71"/>
        <v>8.9</v>
      </c>
      <c r="P81" s="609">
        <f t="shared" si="63"/>
        <v>137.59999999999991</v>
      </c>
      <c r="Q81" s="609">
        <f>P81*I81</f>
        <v>68.799999999999955</v>
      </c>
      <c r="R81" s="609">
        <f t="shared" si="64"/>
        <v>825.59999999999945</v>
      </c>
      <c r="S81" s="609">
        <f t="shared" si="65"/>
        <v>198.89</v>
      </c>
      <c r="T81" s="610">
        <f t="shared" si="72"/>
        <v>1024.4899999999993</v>
      </c>
      <c r="U81" s="611"/>
      <c r="V81" s="612"/>
      <c r="W81" s="613"/>
      <c r="X81" s="614"/>
      <c r="Y81" s="614"/>
      <c r="Z81" s="581"/>
      <c r="AA81" s="581"/>
      <c r="AB81" s="615"/>
      <c r="AC81" s="615"/>
      <c r="AD81" s="615"/>
      <c r="AE81" s="615"/>
      <c r="AF81" s="615"/>
      <c r="AG81" s="615"/>
      <c r="AH81" s="615"/>
      <c r="AI81" s="615"/>
      <c r="AJ81" s="615"/>
      <c r="AK81" s="615"/>
      <c r="AL81" s="616"/>
      <c r="AM81" s="581"/>
      <c r="AN81" s="581"/>
      <c r="AO81" s="615"/>
      <c r="AP81" s="615"/>
      <c r="AQ81" s="615"/>
      <c r="AR81" s="615"/>
      <c r="AS81" s="615"/>
      <c r="AT81" s="615"/>
      <c r="AU81" s="615"/>
      <c r="AV81" s="615"/>
      <c r="AW81" s="615"/>
      <c r="AX81" s="615"/>
      <c r="AY81" s="616"/>
      <c r="AZ81" s="581"/>
      <c r="BA81" s="581"/>
      <c r="BB81" s="581"/>
    </row>
    <row r="82" spans="1:54" x14ac:dyDescent="0.25">
      <c r="A82" s="62" t="s">
        <v>294</v>
      </c>
      <c r="B82" s="63" t="s">
        <v>15</v>
      </c>
      <c r="C82" s="16" t="s">
        <v>295</v>
      </c>
      <c r="D82" s="315" t="s">
        <v>85</v>
      </c>
      <c r="E82" s="315" t="s">
        <v>69</v>
      </c>
      <c r="F82" s="318">
        <v>1190</v>
      </c>
      <c r="G82" s="357">
        <v>1005</v>
      </c>
      <c r="H82" s="357">
        <v>101</v>
      </c>
      <c r="I82" s="405">
        <v>2.4</v>
      </c>
      <c r="J82" s="607">
        <f>ROUND(G82*(1+'29_01_H_2020'!$F$14),2)</f>
        <v>1105.5</v>
      </c>
      <c r="K82" s="608">
        <f t="shared" si="67"/>
        <v>1105.5</v>
      </c>
      <c r="L82" s="608">
        <f t="shared" si="68"/>
        <v>100.5</v>
      </c>
      <c r="M82" s="608">
        <f t="shared" si="69"/>
        <v>0</v>
      </c>
      <c r="N82" s="608">
        <f t="shared" si="70"/>
        <v>10.1</v>
      </c>
      <c r="O82" s="608">
        <f t="shared" si="71"/>
        <v>0</v>
      </c>
      <c r="P82" s="609">
        <f t="shared" si="63"/>
        <v>110.6</v>
      </c>
      <c r="Q82" s="609">
        <f>P82*I82</f>
        <v>265.44</v>
      </c>
      <c r="R82" s="609">
        <f t="shared" si="64"/>
        <v>3185.2799999999997</v>
      </c>
      <c r="S82" s="609">
        <f t="shared" si="65"/>
        <v>767.33</v>
      </c>
      <c r="T82" s="610">
        <f t="shared" si="72"/>
        <v>3952.6099999999997</v>
      </c>
      <c r="U82" s="611"/>
      <c r="V82" s="612"/>
      <c r="W82" s="613"/>
      <c r="X82" s="614"/>
      <c r="Y82" s="614"/>
      <c r="Z82" s="581"/>
      <c r="AA82" s="581"/>
      <c r="AB82" s="615"/>
      <c r="AC82" s="615"/>
      <c r="AD82" s="615"/>
      <c r="AE82" s="615"/>
      <c r="AF82" s="615"/>
      <c r="AG82" s="615"/>
      <c r="AH82" s="615"/>
      <c r="AI82" s="615"/>
      <c r="AJ82" s="615"/>
      <c r="AK82" s="615"/>
      <c r="AL82" s="616"/>
      <c r="AM82" s="581"/>
      <c r="AN82" s="581"/>
      <c r="AO82" s="615"/>
      <c r="AP82" s="615"/>
      <c r="AQ82" s="615"/>
      <c r="AR82" s="615"/>
      <c r="AS82" s="615"/>
      <c r="AT82" s="615"/>
      <c r="AU82" s="615"/>
      <c r="AV82" s="615"/>
      <c r="AW82" s="615"/>
      <c r="AX82" s="615"/>
      <c r="AY82" s="616"/>
      <c r="AZ82" s="581"/>
      <c r="BA82" s="581"/>
      <c r="BB82" s="581"/>
    </row>
    <row r="83" spans="1:54" x14ac:dyDescent="0.25">
      <c r="A83" s="617" t="s">
        <v>55</v>
      </c>
      <c r="B83" s="618" t="s">
        <v>52</v>
      </c>
      <c r="C83" s="619" t="s">
        <v>52</v>
      </c>
      <c r="D83" s="619" t="s">
        <v>52</v>
      </c>
      <c r="E83" s="619" t="s">
        <v>52</v>
      </c>
      <c r="F83" s="620" t="s">
        <v>52</v>
      </c>
      <c r="G83" s="620" t="s">
        <v>52</v>
      </c>
      <c r="H83" s="620" t="s">
        <v>52</v>
      </c>
      <c r="I83" s="406">
        <f>SUM(I79:I82)</f>
        <v>6.75</v>
      </c>
      <c r="J83" s="621"/>
      <c r="K83" s="622"/>
      <c r="L83" s="622"/>
      <c r="M83" s="622"/>
      <c r="N83" s="622"/>
      <c r="O83" s="622"/>
      <c r="P83" s="623"/>
      <c r="Q83" s="623"/>
      <c r="R83" s="623"/>
      <c r="S83" s="623"/>
      <c r="T83" s="624"/>
      <c r="U83" s="581"/>
      <c r="V83" s="581"/>
      <c r="W83" s="581"/>
      <c r="X83" s="581"/>
      <c r="Y83" s="581"/>
      <c r="Z83" s="581"/>
      <c r="AA83" s="581"/>
      <c r="AB83" s="581"/>
      <c r="AC83" s="581"/>
      <c r="AD83" s="581"/>
      <c r="AE83" s="581"/>
      <c r="AF83" s="581"/>
      <c r="AG83" s="581"/>
      <c r="AH83" s="581"/>
      <c r="AI83" s="581"/>
      <c r="AJ83" s="581"/>
      <c r="AK83" s="581"/>
      <c r="AL83" s="581"/>
      <c r="AM83" s="581"/>
      <c r="AN83" s="581"/>
      <c r="AO83" s="581"/>
      <c r="AP83" s="581"/>
      <c r="AQ83" s="581"/>
      <c r="AR83" s="581"/>
      <c r="AS83" s="581"/>
      <c r="AT83" s="581"/>
      <c r="AU83" s="581"/>
      <c r="AV83" s="581"/>
      <c r="AW83" s="581"/>
      <c r="AX83" s="581"/>
      <c r="AY83" s="581"/>
      <c r="AZ83" s="581"/>
      <c r="BA83" s="581"/>
      <c r="BB83" s="581"/>
    </row>
    <row r="84" spans="1:54" x14ac:dyDescent="0.25">
      <c r="A84" s="931" t="s">
        <v>27</v>
      </c>
      <c r="B84" s="932"/>
      <c r="C84" s="932"/>
      <c r="D84" s="932"/>
      <c r="E84" s="932"/>
      <c r="F84" s="932"/>
      <c r="G84" s="932"/>
      <c r="H84" s="932"/>
      <c r="I84" s="933"/>
      <c r="J84" s="625"/>
      <c r="K84" s="626"/>
      <c r="L84" s="626"/>
      <c r="M84" s="626"/>
      <c r="N84" s="626"/>
      <c r="O84" s="626"/>
      <c r="P84" s="603"/>
      <c r="Q84" s="603"/>
      <c r="R84" s="603"/>
      <c r="S84" s="603"/>
      <c r="T84" s="604"/>
      <c r="U84" s="581"/>
      <c r="V84" s="581"/>
      <c r="W84" s="581"/>
      <c r="X84" s="581"/>
      <c r="Y84" s="581"/>
      <c r="Z84" s="581"/>
      <c r="AA84" s="581"/>
      <c r="AB84" s="581"/>
      <c r="AC84" s="581"/>
      <c r="AD84" s="581"/>
      <c r="AE84" s="581"/>
      <c r="AF84" s="581"/>
      <c r="AG84" s="581"/>
      <c r="AH84" s="581"/>
      <c r="AI84" s="581"/>
      <c r="AJ84" s="581"/>
      <c r="AK84" s="581"/>
      <c r="AL84" s="581"/>
      <c r="AM84" s="581"/>
      <c r="AN84" s="581"/>
      <c r="AO84" s="581"/>
      <c r="AP84" s="581"/>
      <c r="AQ84" s="581"/>
      <c r="AR84" s="581"/>
      <c r="AS84" s="581"/>
      <c r="AT84" s="581"/>
      <c r="AU84" s="581"/>
      <c r="AV84" s="581"/>
      <c r="AW84" s="581"/>
      <c r="AX84" s="581"/>
      <c r="AY84" s="581"/>
      <c r="AZ84" s="581"/>
      <c r="BA84" s="581"/>
      <c r="BB84" s="581"/>
    </row>
    <row r="85" spans="1:54" x14ac:dyDescent="0.25">
      <c r="A85" s="489" t="s">
        <v>271</v>
      </c>
      <c r="B85" s="670" t="s">
        <v>22</v>
      </c>
      <c r="C85" s="605" t="s">
        <v>18</v>
      </c>
      <c r="D85" s="317" t="s">
        <v>296</v>
      </c>
      <c r="E85" s="317" t="s">
        <v>69</v>
      </c>
      <c r="F85" s="319">
        <v>1093</v>
      </c>
      <c r="G85" s="357">
        <v>922</v>
      </c>
      <c r="H85" s="357">
        <v>92</v>
      </c>
      <c r="I85" s="405">
        <v>2</v>
      </c>
      <c r="J85" s="607">
        <f>ROUND(G85*(1+'29_01_H_2020'!$F$10),2)</f>
        <v>1014.2</v>
      </c>
      <c r="K85" s="608">
        <f t="shared" ref="K85" si="73">IF(J85&lt;=F85,J85,F85)</f>
        <v>1014.2</v>
      </c>
      <c r="L85" s="608">
        <f t="shared" ref="L85" si="74">K85-G85</f>
        <v>92.200000000000045</v>
      </c>
      <c r="M85" s="608">
        <f t="shared" ref="M85" si="75">J85-K85</f>
        <v>0</v>
      </c>
      <c r="N85" s="608">
        <f t="shared" ref="N85" si="76">ROUND(H85/G85*K85-H85,2)</f>
        <v>9.1999999999999993</v>
      </c>
      <c r="O85" s="608">
        <f t="shared" ref="O85" si="77">ROUND(H85/G85*J85-H85-N85,2)</f>
        <v>0</v>
      </c>
      <c r="P85" s="609">
        <f t="shared" ref="P85:P88" si="78">L85+M85+N85+O85</f>
        <v>101.40000000000005</v>
      </c>
      <c r="Q85" s="609">
        <f>P85*I85</f>
        <v>202.8000000000001</v>
      </c>
      <c r="R85" s="609">
        <f t="shared" ref="R85:R88" si="79">Q85*12</f>
        <v>2433.6000000000013</v>
      </c>
      <c r="S85" s="609">
        <f t="shared" ref="S85:S88" si="80">ROUND(R85*0.2409,2)</f>
        <v>586.25</v>
      </c>
      <c r="T85" s="610">
        <f t="shared" ref="T85" si="81">SUM(R85:S85)</f>
        <v>3019.8500000000013</v>
      </c>
      <c r="U85" s="611"/>
      <c r="V85" s="612"/>
      <c r="W85" s="613"/>
      <c r="X85" s="614"/>
      <c r="Y85" s="614"/>
      <c r="Z85" s="581"/>
      <c r="AA85" s="581"/>
      <c r="AB85" s="615"/>
      <c r="AC85" s="615"/>
      <c r="AD85" s="615"/>
      <c r="AE85" s="615"/>
      <c r="AF85" s="615"/>
      <c r="AG85" s="615"/>
      <c r="AH85" s="615"/>
      <c r="AI85" s="615"/>
      <c r="AJ85" s="615"/>
      <c r="AK85" s="615"/>
      <c r="AL85" s="616"/>
      <c r="AM85" s="581"/>
      <c r="AN85" s="581"/>
      <c r="AO85" s="615"/>
      <c r="AP85" s="615"/>
      <c r="AQ85" s="615"/>
      <c r="AR85" s="615"/>
      <c r="AS85" s="615"/>
      <c r="AT85" s="615"/>
      <c r="AU85" s="615"/>
      <c r="AV85" s="615"/>
      <c r="AW85" s="615"/>
      <c r="AX85" s="615"/>
      <c r="AY85" s="616"/>
      <c r="AZ85" s="581"/>
      <c r="BA85" s="581"/>
      <c r="BB85" s="581"/>
    </row>
    <row r="86" spans="1:54" x14ac:dyDescent="0.25">
      <c r="A86" s="489" t="s">
        <v>297</v>
      </c>
      <c r="B86" s="670" t="s">
        <v>22</v>
      </c>
      <c r="C86" s="605" t="s">
        <v>25</v>
      </c>
      <c r="D86" s="317" t="s">
        <v>298</v>
      </c>
      <c r="E86" s="317" t="s">
        <v>69</v>
      </c>
      <c r="F86" s="319">
        <v>996</v>
      </c>
      <c r="G86" s="357">
        <v>876</v>
      </c>
      <c r="H86" s="357">
        <v>243</v>
      </c>
      <c r="I86" s="405">
        <v>14.5</v>
      </c>
      <c r="J86" s="607">
        <f>ROUND(G86*(1+'29_01_H_2020'!$F$10),2)</f>
        <v>963.6</v>
      </c>
      <c r="K86" s="608">
        <f t="shared" ref="K86:K88" si="82">IF(J86&lt;=F86,J86,F86)</f>
        <v>963.6</v>
      </c>
      <c r="L86" s="608">
        <f t="shared" ref="L86:L88" si="83">K86-G86</f>
        <v>87.600000000000023</v>
      </c>
      <c r="M86" s="608">
        <f t="shared" ref="M86:M88" si="84">J86-K86</f>
        <v>0</v>
      </c>
      <c r="N86" s="608">
        <f t="shared" ref="N86:N88" si="85">ROUND(H86/G86*K86-H86,2)</f>
        <v>24.3</v>
      </c>
      <c r="O86" s="608">
        <f t="shared" ref="O86:O88" si="86">ROUND(H86/G86*J86-H86-N86,2)</f>
        <v>0</v>
      </c>
      <c r="P86" s="609">
        <f t="shared" si="78"/>
        <v>111.90000000000002</v>
      </c>
      <c r="Q86" s="609">
        <f>P86*I86</f>
        <v>1622.5500000000002</v>
      </c>
      <c r="R86" s="609">
        <f t="shared" si="79"/>
        <v>19470.600000000002</v>
      </c>
      <c r="S86" s="609">
        <f t="shared" si="80"/>
        <v>4690.47</v>
      </c>
      <c r="T86" s="610">
        <f t="shared" ref="T86:T88" si="87">SUM(R86:S86)</f>
        <v>24161.070000000003</v>
      </c>
      <c r="U86" s="611"/>
      <c r="V86" s="612"/>
      <c r="W86" s="613"/>
      <c r="X86" s="614"/>
      <c r="Y86" s="614"/>
      <c r="Z86" s="581"/>
      <c r="AA86" s="581"/>
      <c r="AB86" s="615"/>
      <c r="AC86" s="615"/>
      <c r="AD86" s="615"/>
      <c r="AE86" s="615"/>
      <c r="AF86" s="615"/>
      <c r="AG86" s="615"/>
      <c r="AH86" s="615"/>
      <c r="AI86" s="615"/>
      <c r="AJ86" s="615"/>
      <c r="AK86" s="615"/>
      <c r="AL86" s="616"/>
      <c r="AM86" s="581"/>
      <c r="AN86" s="581"/>
      <c r="AO86" s="615"/>
      <c r="AP86" s="615"/>
      <c r="AQ86" s="615"/>
      <c r="AR86" s="615"/>
      <c r="AS86" s="615"/>
      <c r="AT86" s="615"/>
      <c r="AU86" s="615"/>
      <c r="AV86" s="615"/>
      <c r="AW86" s="615"/>
      <c r="AX86" s="615"/>
      <c r="AY86" s="616"/>
      <c r="AZ86" s="581"/>
      <c r="BA86" s="581"/>
      <c r="BB86" s="581"/>
    </row>
    <row r="87" spans="1:54" x14ac:dyDescent="0.25">
      <c r="A87" s="489" t="s">
        <v>299</v>
      </c>
      <c r="B87" s="670" t="s">
        <v>22</v>
      </c>
      <c r="C87" s="605" t="s">
        <v>25</v>
      </c>
      <c r="D87" s="317" t="s">
        <v>298</v>
      </c>
      <c r="E87" s="317" t="s">
        <v>69</v>
      </c>
      <c r="F87" s="319">
        <v>996</v>
      </c>
      <c r="G87" s="357">
        <v>876</v>
      </c>
      <c r="H87" s="357">
        <v>243</v>
      </c>
      <c r="I87" s="405">
        <v>3.5</v>
      </c>
      <c r="J87" s="607">
        <f>ROUND(G87*(1+'29_01_H_2020'!$F$10),2)</f>
        <v>963.6</v>
      </c>
      <c r="K87" s="608">
        <f t="shared" si="82"/>
        <v>963.6</v>
      </c>
      <c r="L87" s="608">
        <f t="shared" si="83"/>
        <v>87.600000000000023</v>
      </c>
      <c r="M87" s="608">
        <f t="shared" si="84"/>
        <v>0</v>
      </c>
      <c r="N87" s="608">
        <f t="shared" si="85"/>
        <v>24.3</v>
      </c>
      <c r="O87" s="608">
        <f t="shared" si="86"/>
        <v>0</v>
      </c>
      <c r="P87" s="609">
        <f t="shared" si="78"/>
        <v>111.90000000000002</v>
      </c>
      <c r="Q87" s="609">
        <f>P87*I87</f>
        <v>391.65000000000009</v>
      </c>
      <c r="R87" s="609">
        <f t="shared" si="79"/>
        <v>4699.8000000000011</v>
      </c>
      <c r="S87" s="609">
        <f t="shared" si="80"/>
        <v>1132.18</v>
      </c>
      <c r="T87" s="610">
        <f t="shared" si="87"/>
        <v>5831.9800000000014</v>
      </c>
      <c r="U87" s="611"/>
      <c r="V87" s="612"/>
      <c r="W87" s="613"/>
      <c r="X87" s="614"/>
      <c r="Y87" s="614"/>
      <c r="Z87" s="581"/>
      <c r="AA87" s="581"/>
      <c r="AB87" s="615"/>
      <c r="AC87" s="615"/>
      <c r="AD87" s="615"/>
      <c r="AE87" s="615"/>
      <c r="AF87" s="615"/>
      <c r="AG87" s="615"/>
      <c r="AH87" s="615"/>
      <c r="AI87" s="615"/>
      <c r="AJ87" s="615"/>
      <c r="AK87" s="615"/>
      <c r="AL87" s="616"/>
      <c r="AM87" s="581"/>
      <c r="AN87" s="581"/>
      <c r="AO87" s="615"/>
      <c r="AP87" s="615"/>
      <c r="AQ87" s="615"/>
      <c r="AR87" s="615"/>
      <c r="AS87" s="615"/>
      <c r="AT87" s="615"/>
      <c r="AU87" s="615"/>
      <c r="AV87" s="615"/>
      <c r="AW87" s="615"/>
      <c r="AX87" s="615"/>
      <c r="AY87" s="616"/>
      <c r="AZ87" s="581"/>
      <c r="BA87" s="581"/>
      <c r="BB87" s="581"/>
    </row>
    <row r="88" spans="1:54" x14ac:dyDescent="0.25">
      <c r="A88" s="489" t="s">
        <v>39</v>
      </c>
      <c r="B88" s="670" t="s">
        <v>22</v>
      </c>
      <c r="C88" s="605" t="s">
        <v>41</v>
      </c>
      <c r="D88" s="317" t="s">
        <v>300</v>
      </c>
      <c r="E88" s="317" t="s">
        <v>69</v>
      </c>
      <c r="F88" s="319">
        <v>899</v>
      </c>
      <c r="G88" s="357">
        <v>823</v>
      </c>
      <c r="H88" s="357">
        <v>229</v>
      </c>
      <c r="I88" s="405">
        <v>15.5</v>
      </c>
      <c r="J88" s="607">
        <f>ROUND(G88*(1+'29_01_H_2020'!$F$10),2)</f>
        <v>905.3</v>
      </c>
      <c r="K88" s="608">
        <f t="shared" si="82"/>
        <v>899</v>
      </c>
      <c r="L88" s="608">
        <f t="shared" si="83"/>
        <v>76</v>
      </c>
      <c r="M88" s="608">
        <f t="shared" si="84"/>
        <v>6.2999999999999545</v>
      </c>
      <c r="N88" s="608">
        <f t="shared" si="85"/>
        <v>21.15</v>
      </c>
      <c r="O88" s="608">
        <f t="shared" si="86"/>
        <v>1.75</v>
      </c>
      <c r="P88" s="609">
        <f t="shared" si="78"/>
        <v>105.19999999999996</v>
      </c>
      <c r="Q88" s="609">
        <f>P88*I88</f>
        <v>1630.5999999999995</v>
      </c>
      <c r="R88" s="609">
        <f t="shared" si="79"/>
        <v>19567.199999999993</v>
      </c>
      <c r="S88" s="609">
        <f t="shared" si="80"/>
        <v>4713.74</v>
      </c>
      <c r="T88" s="610">
        <f t="shared" si="87"/>
        <v>24280.939999999995</v>
      </c>
      <c r="U88" s="611"/>
      <c r="V88" s="612"/>
      <c r="W88" s="613"/>
      <c r="X88" s="614"/>
      <c r="Y88" s="614"/>
      <c r="Z88" s="581"/>
      <c r="AA88" s="581"/>
      <c r="AB88" s="615"/>
      <c r="AC88" s="615"/>
      <c r="AD88" s="615"/>
      <c r="AE88" s="615"/>
      <c r="AF88" s="615"/>
      <c r="AG88" s="615"/>
      <c r="AH88" s="615"/>
      <c r="AI88" s="615"/>
      <c r="AJ88" s="615"/>
      <c r="AK88" s="615"/>
      <c r="AL88" s="616"/>
      <c r="AM88" s="581"/>
      <c r="AN88" s="581"/>
      <c r="AO88" s="615"/>
      <c r="AP88" s="615"/>
      <c r="AQ88" s="615"/>
      <c r="AR88" s="615"/>
      <c r="AS88" s="615"/>
      <c r="AT88" s="615"/>
      <c r="AU88" s="615"/>
      <c r="AV88" s="615"/>
      <c r="AW88" s="615"/>
      <c r="AX88" s="615"/>
      <c r="AY88" s="616"/>
      <c r="AZ88" s="581"/>
      <c r="BA88" s="581"/>
      <c r="BB88" s="581"/>
    </row>
    <row r="89" spans="1:54" x14ac:dyDescent="0.25">
      <c r="A89" s="617" t="s">
        <v>55</v>
      </c>
      <c r="B89" s="618" t="s">
        <v>52</v>
      </c>
      <c r="C89" s="619" t="s">
        <v>52</v>
      </c>
      <c r="D89" s="619" t="s">
        <v>52</v>
      </c>
      <c r="E89" s="619" t="s">
        <v>52</v>
      </c>
      <c r="F89" s="620" t="s">
        <v>52</v>
      </c>
      <c r="G89" s="620" t="s">
        <v>52</v>
      </c>
      <c r="H89" s="620" t="s">
        <v>52</v>
      </c>
      <c r="I89" s="406">
        <f>SUM(I85:I88)</f>
        <v>35.5</v>
      </c>
      <c r="J89" s="621"/>
      <c r="K89" s="622"/>
      <c r="L89" s="622"/>
      <c r="M89" s="622"/>
      <c r="N89" s="622"/>
      <c r="O89" s="622"/>
      <c r="P89" s="623"/>
      <c r="Q89" s="623"/>
      <c r="R89" s="623"/>
      <c r="S89" s="623"/>
      <c r="T89" s="624"/>
      <c r="U89" s="581"/>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1"/>
      <c r="AZ89" s="581"/>
      <c r="BA89" s="581"/>
      <c r="BB89" s="581"/>
    </row>
    <row r="90" spans="1:54" x14ac:dyDescent="0.25">
      <c r="A90" s="931" t="s">
        <v>46</v>
      </c>
      <c r="B90" s="932"/>
      <c r="C90" s="932"/>
      <c r="D90" s="932"/>
      <c r="E90" s="932"/>
      <c r="F90" s="932"/>
      <c r="G90" s="932"/>
      <c r="H90" s="932"/>
      <c r="I90" s="933"/>
      <c r="J90" s="625"/>
      <c r="K90" s="626"/>
      <c r="L90" s="626"/>
      <c r="M90" s="626"/>
      <c r="N90" s="626"/>
      <c r="O90" s="626"/>
      <c r="P90" s="603"/>
      <c r="Q90" s="603"/>
      <c r="R90" s="603"/>
      <c r="S90" s="603"/>
      <c r="T90" s="604"/>
      <c r="U90" s="581"/>
      <c r="V90" s="581"/>
      <c r="W90" s="581"/>
      <c r="X90" s="581"/>
      <c r="Y90" s="581"/>
      <c r="Z90" s="581"/>
      <c r="AA90" s="581"/>
      <c r="AB90" s="585"/>
      <c r="AC90" s="585"/>
      <c r="AD90" s="585"/>
      <c r="AE90" s="585"/>
      <c r="AF90" s="585"/>
      <c r="AG90" s="585"/>
      <c r="AH90" s="585"/>
      <c r="AI90" s="585"/>
      <c r="AJ90" s="585"/>
      <c r="AK90" s="585"/>
      <c r="AL90" s="581"/>
      <c r="AM90" s="581"/>
      <c r="AN90" s="581"/>
      <c r="AO90" s="581"/>
      <c r="AP90" s="581"/>
      <c r="AQ90" s="581"/>
      <c r="AR90" s="581"/>
      <c r="AS90" s="581"/>
      <c r="AT90" s="581"/>
      <c r="AU90" s="581"/>
      <c r="AV90" s="581"/>
      <c r="AW90" s="581"/>
      <c r="AX90" s="581"/>
      <c r="AY90" s="581"/>
      <c r="AZ90" s="581"/>
      <c r="BA90" s="581"/>
      <c r="BB90" s="581"/>
    </row>
    <row r="91" spans="1:54" x14ac:dyDescent="0.25">
      <c r="A91" s="62" t="s">
        <v>47</v>
      </c>
      <c r="B91" s="63" t="s">
        <v>22</v>
      </c>
      <c r="C91" s="16" t="s">
        <v>48</v>
      </c>
      <c r="D91" s="315" t="s">
        <v>159</v>
      </c>
      <c r="E91" s="315" t="s">
        <v>69</v>
      </c>
      <c r="F91" s="318">
        <v>802</v>
      </c>
      <c r="G91" s="357">
        <v>699</v>
      </c>
      <c r="H91" s="357">
        <v>73</v>
      </c>
      <c r="I91" s="405">
        <v>5</v>
      </c>
      <c r="J91" s="607">
        <f>ROUND(G91*(1+'29_01_H_2020'!$F$14),2)</f>
        <v>768.9</v>
      </c>
      <c r="K91" s="608">
        <f t="shared" ref="K91" si="88">IF(J91&lt;=F91,J91,F91)</f>
        <v>768.9</v>
      </c>
      <c r="L91" s="608">
        <f t="shared" ref="L91" si="89">K91-G91</f>
        <v>69.899999999999977</v>
      </c>
      <c r="M91" s="608">
        <f t="shared" ref="M91" si="90">J91-K91</f>
        <v>0</v>
      </c>
      <c r="N91" s="608">
        <f t="shared" ref="N91" si="91">ROUND(H91/G91*K91-H91,2)</f>
        <v>7.3</v>
      </c>
      <c r="O91" s="608">
        <f t="shared" ref="O91" si="92">ROUND(H91/G91*J91-H91-N91,2)</f>
        <v>0</v>
      </c>
      <c r="P91" s="609">
        <f t="shared" ref="P91:P95" si="93">L91+M91+N91+O91</f>
        <v>77.199999999999974</v>
      </c>
      <c r="Q91" s="609">
        <f>P91*I91</f>
        <v>385.99999999999989</v>
      </c>
      <c r="R91" s="609">
        <f t="shared" ref="R91:R95" si="94">Q91*12</f>
        <v>4631.9999999999982</v>
      </c>
      <c r="S91" s="609">
        <f t="shared" ref="S91:S95" si="95">ROUND(R91*0.2409,2)</f>
        <v>1115.8499999999999</v>
      </c>
      <c r="T91" s="610">
        <f t="shared" ref="T91" si="96">SUM(R91:S91)</f>
        <v>5747.8499999999985</v>
      </c>
      <c r="U91" s="611"/>
      <c r="V91" s="612"/>
      <c r="W91" s="613"/>
      <c r="X91" s="614"/>
      <c r="Y91" s="614"/>
      <c r="Z91" s="581"/>
      <c r="AA91" s="581"/>
      <c r="AB91" s="615"/>
      <c r="AC91" s="615"/>
      <c r="AD91" s="615"/>
      <c r="AE91" s="615"/>
      <c r="AF91" s="615"/>
      <c r="AG91" s="615"/>
      <c r="AH91" s="615"/>
      <c r="AI91" s="615"/>
      <c r="AJ91" s="615"/>
      <c r="AK91" s="615"/>
      <c r="AL91" s="616"/>
      <c r="AM91" s="581"/>
      <c r="AN91" s="581"/>
      <c r="AO91" s="615"/>
      <c r="AP91" s="615"/>
      <c r="AQ91" s="615"/>
      <c r="AR91" s="615"/>
      <c r="AS91" s="615"/>
      <c r="AT91" s="615"/>
      <c r="AU91" s="615"/>
      <c r="AV91" s="615"/>
      <c r="AW91" s="615"/>
      <c r="AX91" s="615"/>
      <c r="AY91" s="616"/>
      <c r="AZ91" s="581"/>
      <c r="BA91" s="581"/>
      <c r="BB91" s="581"/>
    </row>
    <row r="92" spans="1:54" x14ac:dyDescent="0.25">
      <c r="A92" s="64" t="s">
        <v>301</v>
      </c>
      <c r="B92" s="63" t="s">
        <v>22</v>
      </c>
      <c r="C92" s="16" t="s">
        <v>36</v>
      </c>
      <c r="D92" s="315" t="s">
        <v>69</v>
      </c>
      <c r="E92" s="315" t="s">
        <v>69</v>
      </c>
      <c r="F92" s="318">
        <v>608</v>
      </c>
      <c r="G92" s="357">
        <v>510</v>
      </c>
      <c r="H92" s="357">
        <v>51</v>
      </c>
      <c r="I92" s="405">
        <v>3</v>
      </c>
      <c r="J92" s="607">
        <f>ROUND(G92*(1+'29_01_H_2020'!$F$14),2)</f>
        <v>561</v>
      </c>
      <c r="K92" s="608">
        <f t="shared" ref="K92:K95" si="97">IF(J92&lt;=F92,J92,F92)</f>
        <v>561</v>
      </c>
      <c r="L92" s="608">
        <f t="shared" ref="L92:L95" si="98">K92-G92</f>
        <v>51</v>
      </c>
      <c r="M92" s="608">
        <f t="shared" ref="M92:M95" si="99">J92-K92</f>
        <v>0</v>
      </c>
      <c r="N92" s="608">
        <f t="shared" ref="N92:N95" si="100">ROUND(H92/G92*K92-H92,2)</f>
        <v>5.0999999999999996</v>
      </c>
      <c r="O92" s="608">
        <f t="shared" ref="O92:O95" si="101">ROUND(H92/G92*J92-H92-N92,2)</f>
        <v>0</v>
      </c>
      <c r="P92" s="609">
        <f t="shared" si="93"/>
        <v>56.1</v>
      </c>
      <c r="Q92" s="609">
        <f>P92*I92</f>
        <v>168.3</v>
      </c>
      <c r="R92" s="609">
        <f t="shared" si="94"/>
        <v>2019.6000000000001</v>
      </c>
      <c r="S92" s="609">
        <f t="shared" si="95"/>
        <v>486.52</v>
      </c>
      <c r="T92" s="610">
        <f t="shared" ref="T92:T95" si="102">SUM(R92:S92)</f>
        <v>2506.12</v>
      </c>
      <c r="U92" s="611"/>
      <c r="V92" s="612"/>
      <c r="W92" s="613"/>
      <c r="X92" s="614"/>
      <c r="Y92" s="614"/>
      <c r="Z92" s="581"/>
      <c r="AA92" s="581"/>
      <c r="AB92" s="615"/>
      <c r="AC92" s="615"/>
      <c r="AD92" s="615"/>
      <c r="AE92" s="615"/>
      <c r="AF92" s="615"/>
      <c r="AG92" s="615"/>
      <c r="AH92" s="615"/>
      <c r="AI92" s="615"/>
      <c r="AJ92" s="615"/>
      <c r="AK92" s="615"/>
      <c r="AL92" s="616"/>
      <c r="AM92" s="581"/>
      <c r="AN92" s="581"/>
      <c r="AO92" s="615"/>
      <c r="AP92" s="615"/>
      <c r="AQ92" s="615"/>
      <c r="AR92" s="615"/>
      <c r="AS92" s="615"/>
      <c r="AT92" s="615"/>
      <c r="AU92" s="615"/>
      <c r="AV92" s="615"/>
      <c r="AW92" s="615"/>
      <c r="AX92" s="615"/>
      <c r="AY92" s="616"/>
      <c r="AZ92" s="581"/>
      <c r="BA92" s="581"/>
      <c r="BB92" s="581"/>
    </row>
    <row r="93" spans="1:54" x14ac:dyDescent="0.25">
      <c r="A93" s="65" t="s">
        <v>302</v>
      </c>
      <c r="B93" s="66" t="s">
        <v>22</v>
      </c>
      <c r="C93" s="66" t="s">
        <v>12</v>
      </c>
      <c r="D93" s="66" t="s">
        <v>92</v>
      </c>
      <c r="E93" s="315">
        <v>3</v>
      </c>
      <c r="F93" s="318">
        <v>1382</v>
      </c>
      <c r="G93" s="357">
        <v>1144</v>
      </c>
      <c r="H93" s="357">
        <v>0</v>
      </c>
      <c r="I93" s="405">
        <v>1</v>
      </c>
      <c r="J93" s="607">
        <f>ROUND(G93*(1+'29_01_H_2020'!$F$14),2)</f>
        <v>1258.4000000000001</v>
      </c>
      <c r="K93" s="608">
        <f t="shared" si="97"/>
        <v>1258.4000000000001</v>
      </c>
      <c r="L93" s="608">
        <f t="shared" si="98"/>
        <v>114.40000000000009</v>
      </c>
      <c r="M93" s="608">
        <f t="shared" si="99"/>
        <v>0</v>
      </c>
      <c r="N93" s="608">
        <f t="shared" si="100"/>
        <v>0</v>
      </c>
      <c r="O93" s="608">
        <f t="shared" si="101"/>
        <v>0</v>
      </c>
      <c r="P93" s="609">
        <f t="shared" si="93"/>
        <v>114.40000000000009</v>
      </c>
      <c r="Q93" s="609">
        <f>P93*I93</f>
        <v>114.40000000000009</v>
      </c>
      <c r="R93" s="609">
        <f t="shared" si="94"/>
        <v>1372.8000000000011</v>
      </c>
      <c r="S93" s="609">
        <f t="shared" si="95"/>
        <v>330.71</v>
      </c>
      <c r="T93" s="610">
        <f t="shared" si="102"/>
        <v>1703.5100000000011</v>
      </c>
      <c r="U93" s="611"/>
      <c r="V93" s="612"/>
      <c r="W93" s="613"/>
      <c r="X93" s="614"/>
      <c r="Y93" s="614"/>
      <c r="Z93" s="581"/>
      <c r="AA93" s="581"/>
      <c r="AB93" s="615"/>
      <c r="AC93" s="615"/>
      <c r="AD93" s="615"/>
      <c r="AE93" s="615"/>
      <c r="AF93" s="615"/>
      <c r="AG93" s="615"/>
      <c r="AH93" s="615"/>
      <c r="AI93" s="615"/>
      <c r="AJ93" s="615"/>
      <c r="AK93" s="615"/>
      <c r="AL93" s="616"/>
      <c r="AM93" s="616"/>
      <c r="AN93" s="581"/>
      <c r="AO93" s="615"/>
      <c r="AP93" s="615"/>
      <c r="AQ93" s="615"/>
      <c r="AR93" s="615"/>
      <c r="AS93" s="615"/>
      <c r="AT93" s="615"/>
      <c r="AU93" s="615"/>
      <c r="AV93" s="615"/>
      <c r="AW93" s="615"/>
      <c r="AX93" s="615"/>
      <c r="AY93" s="616"/>
      <c r="AZ93" s="581"/>
      <c r="BA93" s="581"/>
      <c r="BB93" s="581"/>
    </row>
    <row r="94" spans="1:54" x14ac:dyDescent="0.25">
      <c r="A94" s="65" t="s">
        <v>302</v>
      </c>
      <c r="B94" s="66" t="s">
        <v>22</v>
      </c>
      <c r="C94" s="66" t="s">
        <v>12</v>
      </c>
      <c r="D94" s="66" t="s">
        <v>92</v>
      </c>
      <c r="E94" s="315">
        <v>3</v>
      </c>
      <c r="F94" s="318">
        <v>1382</v>
      </c>
      <c r="G94" s="357">
        <v>1148</v>
      </c>
      <c r="H94" s="357">
        <v>0</v>
      </c>
      <c r="I94" s="405">
        <v>1</v>
      </c>
      <c r="J94" s="607">
        <f>ROUND(G94*(1+'29_01_H_2020'!$F$14),2)</f>
        <v>1262.8</v>
      </c>
      <c r="K94" s="608">
        <f t="shared" si="97"/>
        <v>1262.8</v>
      </c>
      <c r="L94" s="608">
        <f t="shared" si="98"/>
        <v>114.79999999999995</v>
      </c>
      <c r="M94" s="608">
        <f t="shared" si="99"/>
        <v>0</v>
      </c>
      <c r="N94" s="608">
        <f t="shared" si="100"/>
        <v>0</v>
      </c>
      <c r="O94" s="608">
        <f t="shared" si="101"/>
        <v>0</v>
      </c>
      <c r="P94" s="609">
        <f t="shared" si="93"/>
        <v>114.79999999999995</v>
      </c>
      <c r="Q94" s="609">
        <f>P94*I94</f>
        <v>114.79999999999995</v>
      </c>
      <c r="R94" s="609">
        <f t="shared" si="94"/>
        <v>1377.5999999999995</v>
      </c>
      <c r="S94" s="609">
        <f t="shared" si="95"/>
        <v>331.86</v>
      </c>
      <c r="T94" s="610">
        <f t="shared" si="102"/>
        <v>1709.4599999999996</v>
      </c>
      <c r="U94" s="611"/>
      <c r="V94" s="612"/>
      <c r="W94" s="613"/>
      <c r="X94" s="614"/>
      <c r="Y94" s="614"/>
      <c r="Z94" s="581"/>
      <c r="AA94" s="581"/>
      <c r="AB94" s="615"/>
      <c r="AC94" s="615"/>
      <c r="AD94" s="615"/>
      <c r="AE94" s="615"/>
      <c r="AF94" s="615"/>
      <c r="AG94" s="615"/>
      <c r="AH94" s="615"/>
      <c r="AI94" s="615"/>
      <c r="AJ94" s="615"/>
      <c r="AK94" s="615"/>
      <c r="AL94" s="616"/>
      <c r="AM94" s="616"/>
      <c r="AN94" s="581"/>
      <c r="AO94" s="615"/>
      <c r="AP94" s="615"/>
      <c r="AQ94" s="615"/>
      <c r="AR94" s="615"/>
      <c r="AS94" s="615"/>
      <c r="AT94" s="615"/>
      <c r="AU94" s="615"/>
      <c r="AV94" s="615"/>
      <c r="AW94" s="615"/>
      <c r="AX94" s="615"/>
      <c r="AY94" s="616"/>
      <c r="AZ94" s="581"/>
      <c r="BA94" s="581"/>
      <c r="BB94" s="581"/>
    </row>
    <row r="95" spans="1:54" x14ac:dyDescent="0.25">
      <c r="A95" s="65" t="s">
        <v>302</v>
      </c>
      <c r="B95" s="66" t="s">
        <v>22</v>
      </c>
      <c r="C95" s="66" t="s">
        <v>12</v>
      </c>
      <c r="D95" s="66" t="s">
        <v>92</v>
      </c>
      <c r="E95" s="315">
        <v>3</v>
      </c>
      <c r="F95" s="318">
        <v>1382</v>
      </c>
      <c r="G95" s="357">
        <v>1043</v>
      </c>
      <c r="H95" s="357">
        <v>0</v>
      </c>
      <c r="I95" s="405">
        <v>1</v>
      </c>
      <c r="J95" s="607">
        <f>ROUND(G95*(1+'29_01_H_2020'!$F$14),2)</f>
        <v>1147.3</v>
      </c>
      <c r="K95" s="608">
        <f t="shared" si="97"/>
        <v>1147.3</v>
      </c>
      <c r="L95" s="608">
        <f t="shared" si="98"/>
        <v>104.29999999999995</v>
      </c>
      <c r="M95" s="608">
        <f t="shared" si="99"/>
        <v>0</v>
      </c>
      <c r="N95" s="608">
        <f t="shared" si="100"/>
        <v>0</v>
      </c>
      <c r="O95" s="608">
        <f t="shared" si="101"/>
        <v>0</v>
      </c>
      <c r="P95" s="609">
        <f t="shared" si="93"/>
        <v>104.29999999999995</v>
      </c>
      <c r="Q95" s="609">
        <f>P95*I95</f>
        <v>104.29999999999995</v>
      </c>
      <c r="R95" s="609">
        <f t="shared" si="94"/>
        <v>1251.5999999999995</v>
      </c>
      <c r="S95" s="609">
        <f t="shared" si="95"/>
        <v>301.51</v>
      </c>
      <c r="T95" s="610">
        <f t="shared" si="102"/>
        <v>1553.1099999999994</v>
      </c>
      <c r="U95" s="611"/>
      <c r="V95" s="612"/>
      <c r="W95" s="613"/>
      <c r="X95" s="614"/>
      <c r="Y95" s="614"/>
      <c r="Z95" s="581"/>
      <c r="AA95" s="581"/>
      <c r="AB95" s="615"/>
      <c r="AC95" s="615"/>
      <c r="AD95" s="615"/>
      <c r="AE95" s="615"/>
      <c r="AF95" s="615"/>
      <c r="AG95" s="615"/>
      <c r="AH95" s="615"/>
      <c r="AI95" s="615"/>
      <c r="AJ95" s="615"/>
      <c r="AK95" s="615"/>
      <c r="AL95" s="616"/>
      <c r="AM95" s="616"/>
      <c r="AN95" s="581"/>
      <c r="AO95" s="615"/>
      <c r="AP95" s="615"/>
      <c r="AQ95" s="615"/>
      <c r="AR95" s="615"/>
      <c r="AS95" s="615"/>
      <c r="AT95" s="615"/>
      <c r="AU95" s="615"/>
      <c r="AV95" s="615"/>
      <c r="AW95" s="615"/>
      <c r="AX95" s="615"/>
      <c r="AY95" s="616"/>
      <c r="AZ95" s="581"/>
      <c r="BA95" s="581"/>
      <c r="BB95" s="581"/>
    </row>
    <row r="96" spans="1:54" x14ac:dyDescent="0.25">
      <c r="A96" s="617" t="s">
        <v>55</v>
      </c>
      <c r="B96" s="618" t="s">
        <v>52</v>
      </c>
      <c r="C96" s="619" t="s">
        <v>52</v>
      </c>
      <c r="D96" s="619" t="s">
        <v>52</v>
      </c>
      <c r="E96" s="619" t="s">
        <v>52</v>
      </c>
      <c r="F96" s="620" t="s">
        <v>52</v>
      </c>
      <c r="G96" s="620" t="s">
        <v>52</v>
      </c>
      <c r="H96" s="620" t="s">
        <v>52</v>
      </c>
      <c r="I96" s="406">
        <f>SUM(I91:I95)</f>
        <v>11</v>
      </c>
      <c r="J96" s="621"/>
      <c r="K96" s="622"/>
      <c r="L96" s="622"/>
      <c r="M96" s="622"/>
      <c r="N96" s="622"/>
      <c r="O96" s="622"/>
      <c r="P96" s="623"/>
      <c r="Q96" s="623"/>
      <c r="R96" s="623"/>
      <c r="S96" s="623"/>
      <c r="T96" s="624"/>
      <c r="U96" s="581"/>
      <c r="V96" s="581"/>
      <c r="W96" s="581"/>
      <c r="X96" s="581"/>
      <c r="Y96" s="581"/>
      <c r="Z96" s="581"/>
      <c r="AA96" s="581"/>
      <c r="AB96" s="581"/>
      <c r="AC96" s="671"/>
      <c r="AD96" s="581"/>
      <c r="AE96" s="581"/>
      <c r="AF96" s="581"/>
      <c r="AG96" s="581"/>
      <c r="AH96" s="581"/>
      <c r="AI96" s="581"/>
      <c r="AJ96" s="581"/>
      <c r="AK96" s="581"/>
      <c r="AL96" s="581"/>
      <c r="AM96" s="581"/>
      <c r="AN96" s="581"/>
      <c r="AO96" s="581"/>
      <c r="AP96" s="581"/>
      <c r="AQ96" s="581"/>
      <c r="AR96" s="581"/>
      <c r="AS96" s="581"/>
      <c r="AT96" s="581"/>
      <c r="AU96" s="581"/>
      <c r="AV96" s="581"/>
      <c r="AW96" s="581"/>
      <c r="AX96" s="581"/>
      <c r="AY96" s="581"/>
      <c r="AZ96" s="581"/>
      <c r="BA96" s="581"/>
      <c r="BB96" s="581"/>
    </row>
    <row r="97" spans="1:54" x14ac:dyDescent="0.25">
      <c r="A97" s="672" t="s">
        <v>303</v>
      </c>
      <c r="B97" s="673" t="s">
        <v>52</v>
      </c>
      <c r="C97" s="673" t="s">
        <v>52</v>
      </c>
      <c r="D97" s="673" t="s">
        <v>52</v>
      </c>
      <c r="E97" s="673" t="s">
        <v>52</v>
      </c>
      <c r="F97" s="673" t="s">
        <v>52</v>
      </c>
      <c r="G97" s="673" t="s">
        <v>52</v>
      </c>
      <c r="H97" s="673" t="s">
        <v>52</v>
      </c>
      <c r="I97" s="408">
        <f>I83+I89+I96</f>
        <v>53.25</v>
      </c>
      <c r="J97" s="674"/>
      <c r="K97" s="675"/>
      <c r="L97" s="675"/>
      <c r="M97" s="675"/>
      <c r="N97" s="675"/>
      <c r="O97" s="675"/>
      <c r="P97" s="676"/>
      <c r="Q97" s="676"/>
      <c r="R97" s="676"/>
      <c r="S97" s="676"/>
      <c r="T97" s="677"/>
      <c r="U97" s="581"/>
      <c r="V97" s="581"/>
      <c r="W97" s="581"/>
      <c r="X97" s="581"/>
      <c r="Y97" s="581"/>
      <c r="Z97" s="581"/>
      <c r="AA97" s="581"/>
      <c r="AB97" s="581"/>
      <c r="AC97" s="581"/>
      <c r="AD97" s="671"/>
      <c r="AE97" s="581"/>
      <c r="AF97" s="581"/>
      <c r="AG97" s="581"/>
      <c r="AH97" s="581"/>
      <c r="AI97" s="581"/>
      <c r="AJ97" s="581"/>
      <c r="AK97" s="581"/>
      <c r="AL97" s="581"/>
      <c r="AM97" s="581"/>
      <c r="AN97" s="581"/>
      <c r="AO97" s="581"/>
      <c r="AP97" s="581"/>
      <c r="AQ97" s="581"/>
      <c r="AR97" s="581"/>
      <c r="AS97" s="581"/>
      <c r="AT97" s="581"/>
      <c r="AU97" s="581"/>
      <c r="AV97" s="581"/>
      <c r="AW97" s="581"/>
      <c r="AX97" s="581"/>
      <c r="AY97" s="581"/>
      <c r="AZ97" s="581"/>
      <c r="BA97" s="581"/>
      <c r="BB97" s="581"/>
    </row>
    <row r="98" spans="1:54" x14ac:dyDescent="0.25">
      <c r="A98" s="909" t="s">
        <v>304</v>
      </c>
      <c r="B98" s="910"/>
      <c r="C98" s="910"/>
      <c r="D98" s="910"/>
      <c r="E98" s="910"/>
      <c r="F98" s="910"/>
      <c r="G98" s="910"/>
      <c r="H98" s="910"/>
      <c r="I98" s="911"/>
      <c r="J98" s="666"/>
      <c r="K98" s="667"/>
      <c r="L98" s="667"/>
      <c r="M98" s="667"/>
      <c r="N98" s="667"/>
      <c r="O98" s="667"/>
      <c r="P98" s="668"/>
      <c r="Q98" s="668"/>
      <c r="R98" s="668"/>
      <c r="S98" s="668"/>
      <c r="T98" s="669"/>
      <c r="U98" s="581"/>
      <c r="V98" s="581"/>
      <c r="W98" s="581"/>
      <c r="X98" s="581"/>
      <c r="Y98" s="581"/>
      <c r="Z98" s="581"/>
      <c r="AA98" s="581"/>
      <c r="AB98" s="581"/>
      <c r="AC98" s="581"/>
      <c r="AD98" s="581"/>
      <c r="AE98" s="581"/>
      <c r="AF98" s="581"/>
      <c r="AG98" s="581"/>
      <c r="AH98" s="581"/>
      <c r="AI98" s="581"/>
      <c r="AJ98" s="581"/>
      <c r="AK98" s="581"/>
      <c r="AL98" s="581"/>
      <c r="AM98" s="581"/>
      <c r="AN98" s="581"/>
      <c r="AO98" s="581"/>
      <c r="AP98" s="581"/>
      <c r="AQ98" s="581"/>
      <c r="AR98" s="581"/>
      <c r="AS98" s="581"/>
      <c r="AT98" s="581"/>
      <c r="AU98" s="581"/>
      <c r="AV98" s="581"/>
      <c r="AW98" s="581"/>
      <c r="AX98" s="581"/>
      <c r="AY98" s="581"/>
      <c r="AZ98" s="581"/>
      <c r="BA98" s="581"/>
      <c r="BB98" s="581"/>
    </row>
    <row r="99" spans="1:54" x14ac:dyDescent="0.25">
      <c r="A99" s="912" t="s">
        <v>10</v>
      </c>
      <c r="B99" s="913"/>
      <c r="C99" s="913"/>
      <c r="D99" s="913"/>
      <c r="E99" s="913"/>
      <c r="F99" s="913"/>
      <c r="G99" s="913"/>
      <c r="H99" s="913"/>
      <c r="I99" s="914"/>
      <c r="J99" s="625"/>
      <c r="K99" s="626"/>
      <c r="L99" s="626"/>
      <c r="M99" s="626"/>
      <c r="N99" s="626"/>
      <c r="O99" s="626"/>
      <c r="P99" s="603"/>
      <c r="Q99" s="603"/>
      <c r="R99" s="603"/>
      <c r="S99" s="603"/>
      <c r="T99" s="604"/>
      <c r="U99" s="581"/>
      <c r="V99" s="581"/>
      <c r="W99" s="581"/>
      <c r="X99" s="581"/>
      <c r="Y99" s="581"/>
      <c r="Z99" s="581"/>
      <c r="AA99" s="581"/>
      <c r="AB99" s="581"/>
      <c r="AC99" s="581"/>
      <c r="AD99" s="581"/>
      <c r="AE99" s="671"/>
      <c r="AF99" s="581"/>
      <c r="AG99" s="581"/>
      <c r="AH99" s="581"/>
      <c r="AI99" s="581"/>
      <c r="AJ99" s="581"/>
      <c r="AK99" s="615"/>
      <c r="AL99" s="581"/>
      <c r="AM99" s="581"/>
      <c r="AN99" s="581"/>
      <c r="AO99" s="581"/>
      <c r="AP99" s="581"/>
      <c r="AQ99" s="581"/>
      <c r="AR99" s="581"/>
      <c r="AS99" s="581"/>
      <c r="AT99" s="581"/>
      <c r="AU99" s="581"/>
      <c r="AV99" s="581"/>
      <c r="AW99" s="581"/>
      <c r="AX99" s="581"/>
      <c r="AY99" s="581"/>
      <c r="AZ99" s="581"/>
      <c r="BA99" s="581"/>
      <c r="BB99" s="581"/>
    </row>
    <row r="100" spans="1:54" x14ac:dyDescent="0.25">
      <c r="A100" s="67" t="s">
        <v>305</v>
      </c>
      <c r="B100" s="68" t="s">
        <v>306</v>
      </c>
      <c r="C100" s="69" t="s">
        <v>295</v>
      </c>
      <c r="D100" s="69" t="s">
        <v>85</v>
      </c>
      <c r="E100" s="69" t="s">
        <v>69</v>
      </c>
      <c r="F100" s="318">
        <v>1190</v>
      </c>
      <c r="G100" s="71">
        <v>918</v>
      </c>
      <c r="H100" s="357">
        <f>G100*0.1</f>
        <v>91.800000000000011</v>
      </c>
      <c r="I100" s="403">
        <v>4</v>
      </c>
      <c r="J100" s="607">
        <f>ROUND(G100*(1+'29_01_H_2020'!$F$14),2)</f>
        <v>1009.8</v>
      </c>
      <c r="K100" s="608">
        <f t="shared" ref="K100" si="103">IF(J100&lt;=F100,J100,F100)</f>
        <v>1009.8</v>
      </c>
      <c r="L100" s="608">
        <f t="shared" ref="L100" si="104">K100-G100</f>
        <v>91.799999999999955</v>
      </c>
      <c r="M100" s="608">
        <f t="shared" ref="M100" si="105">J100-K100</f>
        <v>0</v>
      </c>
      <c r="N100" s="608">
        <f t="shared" ref="N100" si="106">ROUND(H100/G100*K100-H100,2)</f>
        <v>9.18</v>
      </c>
      <c r="O100" s="608">
        <f t="shared" ref="O100" si="107">ROUND(H100/G100*J100-H100-N100,2)</f>
        <v>0</v>
      </c>
      <c r="P100" s="609">
        <f t="shared" ref="P100:P111" si="108">L100+M100+N100+O100</f>
        <v>100.97999999999996</v>
      </c>
      <c r="Q100" s="609">
        <f t="shared" ref="Q100:Q111" si="109">P100*I100</f>
        <v>403.91999999999985</v>
      </c>
      <c r="R100" s="609">
        <f t="shared" ref="R100:R111" si="110">Q100*12</f>
        <v>4847.0399999999981</v>
      </c>
      <c r="S100" s="609">
        <f t="shared" ref="S100:S111" si="111">ROUND(R100*0.2409,2)</f>
        <v>1167.6500000000001</v>
      </c>
      <c r="T100" s="610">
        <f t="shared" ref="T100" si="112">SUM(R100:S100)</f>
        <v>6014.6899999999987</v>
      </c>
      <c r="U100" s="611"/>
      <c r="V100" s="612"/>
      <c r="W100" s="613"/>
      <c r="X100" s="614"/>
      <c r="Y100" s="614"/>
      <c r="Z100" s="581"/>
      <c r="AA100" s="581"/>
      <c r="AB100" s="615"/>
      <c r="AC100" s="615"/>
      <c r="AD100" s="615"/>
      <c r="AE100" s="615"/>
      <c r="AF100" s="615"/>
      <c r="AG100" s="615"/>
      <c r="AH100" s="615"/>
      <c r="AI100" s="615"/>
      <c r="AJ100" s="615"/>
      <c r="AK100" s="615"/>
      <c r="AL100" s="616"/>
      <c r="AM100" s="616"/>
      <c r="AN100" s="581"/>
      <c r="AO100" s="615"/>
      <c r="AP100" s="615"/>
      <c r="AQ100" s="615"/>
      <c r="AR100" s="615"/>
      <c r="AS100" s="615"/>
      <c r="AT100" s="615"/>
      <c r="AU100" s="615"/>
      <c r="AV100" s="615"/>
      <c r="AW100" s="615"/>
      <c r="AX100" s="615"/>
      <c r="AY100" s="616"/>
      <c r="AZ100" s="581"/>
      <c r="BA100" s="581"/>
      <c r="BB100" s="581"/>
    </row>
    <row r="101" spans="1:54" x14ac:dyDescent="0.25">
      <c r="A101" s="67" t="s">
        <v>305</v>
      </c>
      <c r="B101" s="68" t="s">
        <v>306</v>
      </c>
      <c r="C101" s="69" t="s">
        <v>295</v>
      </c>
      <c r="D101" s="69" t="s">
        <v>85</v>
      </c>
      <c r="E101" s="69" t="s">
        <v>161</v>
      </c>
      <c r="F101" s="318">
        <v>1015</v>
      </c>
      <c r="G101" s="71">
        <v>827</v>
      </c>
      <c r="H101" s="357">
        <f t="shared" ref="H101:H111" si="113">G101*0.1</f>
        <v>82.7</v>
      </c>
      <c r="I101" s="403">
        <v>1</v>
      </c>
      <c r="J101" s="607">
        <f>ROUND(G101*(1+'29_01_H_2020'!$F$14),2)</f>
        <v>909.7</v>
      </c>
      <c r="K101" s="608">
        <f t="shared" ref="K101:K111" si="114">IF(J101&lt;=F101,J101,F101)</f>
        <v>909.7</v>
      </c>
      <c r="L101" s="608">
        <f t="shared" ref="L101:L111" si="115">K101-G101</f>
        <v>82.700000000000045</v>
      </c>
      <c r="M101" s="608">
        <f t="shared" ref="M101:M111" si="116">J101-K101</f>
        <v>0</v>
      </c>
      <c r="N101" s="608">
        <f t="shared" ref="N101:N111" si="117">ROUND(H101/G101*K101-H101,2)</f>
        <v>8.27</v>
      </c>
      <c r="O101" s="608">
        <f t="shared" ref="O101:O111" si="118">ROUND(H101/G101*J101-H101-N101,2)</f>
        <v>0</v>
      </c>
      <c r="P101" s="609">
        <f t="shared" si="108"/>
        <v>90.970000000000041</v>
      </c>
      <c r="Q101" s="609">
        <f t="shared" si="109"/>
        <v>90.970000000000041</v>
      </c>
      <c r="R101" s="609">
        <f t="shared" si="110"/>
        <v>1091.6400000000006</v>
      </c>
      <c r="S101" s="609">
        <f t="shared" si="111"/>
        <v>262.98</v>
      </c>
      <c r="T101" s="610">
        <f t="shared" ref="T101:T111" si="119">SUM(R101:S101)</f>
        <v>1354.6200000000006</v>
      </c>
      <c r="U101" s="611"/>
      <c r="V101" s="612"/>
      <c r="W101" s="613"/>
      <c r="X101" s="614"/>
      <c r="Y101" s="614"/>
      <c r="Z101" s="581"/>
      <c r="AA101" s="581"/>
      <c r="AB101" s="615"/>
      <c r="AC101" s="615"/>
      <c r="AD101" s="615"/>
      <c r="AE101" s="615"/>
      <c r="AF101" s="615"/>
      <c r="AG101" s="615"/>
      <c r="AH101" s="615"/>
      <c r="AI101" s="615"/>
      <c r="AJ101" s="615"/>
      <c r="AK101" s="615"/>
      <c r="AL101" s="616"/>
      <c r="AM101" s="616"/>
      <c r="AN101" s="581"/>
      <c r="AO101" s="615"/>
      <c r="AP101" s="615"/>
      <c r="AQ101" s="615"/>
      <c r="AR101" s="615"/>
      <c r="AS101" s="615"/>
      <c r="AT101" s="615"/>
      <c r="AU101" s="615"/>
      <c r="AV101" s="615"/>
      <c r="AW101" s="615"/>
      <c r="AX101" s="615"/>
      <c r="AY101" s="616"/>
      <c r="AZ101" s="581"/>
      <c r="BA101" s="581"/>
      <c r="BB101" s="581"/>
    </row>
    <row r="102" spans="1:54" x14ac:dyDescent="0.25">
      <c r="A102" s="67" t="s">
        <v>305</v>
      </c>
      <c r="B102" s="68">
        <v>5.0999999999999996</v>
      </c>
      <c r="C102" s="69" t="s">
        <v>295</v>
      </c>
      <c r="D102" s="69" t="s">
        <v>85</v>
      </c>
      <c r="E102" s="69" t="s">
        <v>160</v>
      </c>
      <c r="F102" s="318">
        <v>835</v>
      </c>
      <c r="G102" s="71">
        <v>726</v>
      </c>
      <c r="H102" s="357">
        <f t="shared" si="113"/>
        <v>72.600000000000009</v>
      </c>
      <c r="I102" s="403">
        <v>1</v>
      </c>
      <c r="J102" s="607">
        <f>ROUND(G102*(1+'29_01_H_2020'!$F$14),2)</f>
        <v>798.6</v>
      </c>
      <c r="K102" s="608">
        <f t="shared" si="114"/>
        <v>798.6</v>
      </c>
      <c r="L102" s="608">
        <f t="shared" si="115"/>
        <v>72.600000000000023</v>
      </c>
      <c r="M102" s="608">
        <f t="shared" si="116"/>
        <v>0</v>
      </c>
      <c r="N102" s="608">
        <f t="shared" si="117"/>
        <v>7.26</v>
      </c>
      <c r="O102" s="608">
        <f t="shared" si="118"/>
        <v>0</v>
      </c>
      <c r="P102" s="609">
        <f t="shared" si="108"/>
        <v>79.860000000000028</v>
      </c>
      <c r="Q102" s="609">
        <f t="shared" si="109"/>
        <v>79.860000000000028</v>
      </c>
      <c r="R102" s="609">
        <f t="shared" si="110"/>
        <v>958.32000000000039</v>
      </c>
      <c r="S102" s="609">
        <f t="shared" si="111"/>
        <v>230.86</v>
      </c>
      <c r="T102" s="610">
        <f t="shared" si="119"/>
        <v>1189.1800000000003</v>
      </c>
      <c r="U102" s="611"/>
      <c r="V102" s="612"/>
      <c r="W102" s="613"/>
      <c r="X102" s="614"/>
      <c r="Y102" s="614"/>
      <c r="Z102" s="581"/>
      <c r="AA102" s="581"/>
      <c r="AB102" s="615"/>
      <c r="AC102" s="615"/>
      <c r="AD102" s="615"/>
      <c r="AE102" s="615"/>
      <c r="AF102" s="615"/>
      <c r="AG102" s="615"/>
      <c r="AH102" s="615"/>
      <c r="AI102" s="615"/>
      <c r="AJ102" s="615"/>
      <c r="AK102" s="615"/>
      <c r="AL102" s="616"/>
      <c r="AM102" s="616"/>
      <c r="AN102" s="581"/>
      <c r="AO102" s="615"/>
      <c r="AP102" s="615"/>
      <c r="AQ102" s="615"/>
      <c r="AR102" s="615"/>
      <c r="AS102" s="615"/>
      <c r="AT102" s="615"/>
      <c r="AU102" s="615"/>
      <c r="AV102" s="615"/>
      <c r="AW102" s="615"/>
      <c r="AX102" s="615"/>
      <c r="AY102" s="616"/>
      <c r="AZ102" s="581"/>
      <c r="BA102" s="581"/>
      <c r="BB102" s="581"/>
    </row>
    <row r="103" spans="1:54" x14ac:dyDescent="0.25">
      <c r="A103" s="67" t="s">
        <v>294</v>
      </c>
      <c r="B103" s="69" t="s">
        <v>306</v>
      </c>
      <c r="C103" s="69" t="s">
        <v>295</v>
      </c>
      <c r="D103" s="69" t="s">
        <v>85</v>
      </c>
      <c r="E103" s="69" t="s">
        <v>69</v>
      </c>
      <c r="F103" s="318">
        <v>1190</v>
      </c>
      <c r="G103" s="71">
        <v>1042</v>
      </c>
      <c r="H103" s="357">
        <f t="shared" si="113"/>
        <v>104.2</v>
      </c>
      <c r="I103" s="403">
        <v>4</v>
      </c>
      <c r="J103" s="607">
        <f>ROUND(G103*(1+'29_01_H_2020'!$F$14),2)</f>
        <v>1146.2</v>
      </c>
      <c r="K103" s="608">
        <f t="shared" si="114"/>
        <v>1146.2</v>
      </c>
      <c r="L103" s="608">
        <f t="shared" si="115"/>
        <v>104.20000000000005</v>
      </c>
      <c r="M103" s="608">
        <f t="shared" si="116"/>
        <v>0</v>
      </c>
      <c r="N103" s="608">
        <f t="shared" si="117"/>
        <v>10.42</v>
      </c>
      <c r="O103" s="608">
        <f t="shared" si="118"/>
        <v>0</v>
      </c>
      <c r="P103" s="609">
        <f t="shared" si="108"/>
        <v>114.62000000000005</v>
      </c>
      <c r="Q103" s="609">
        <f t="shared" si="109"/>
        <v>458.48000000000019</v>
      </c>
      <c r="R103" s="609">
        <f t="shared" si="110"/>
        <v>5501.760000000002</v>
      </c>
      <c r="S103" s="609">
        <f t="shared" si="111"/>
        <v>1325.37</v>
      </c>
      <c r="T103" s="610">
        <f t="shared" si="119"/>
        <v>6827.1300000000019</v>
      </c>
      <c r="U103" s="611"/>
      <c r="V103" s="612"/>
      <c r="W103" s="613"/>
      <c r="X103" s="614"/>
      <c r="Y103" s="614"/>
      <c r="Z103" s="581"/>
      <c r="AA103" s="581"/>
      <c r="AB103" s="615"/>
      <c r="AC103" s="615"/>
      <c r="AD103" s="615"/>
      <c r="AE103" s="615"/>
      <c r="AF103" s="615"/>
      <c r="AG103" s="615"/>
      <c r="AH103" s="615"/>
      <c r="AI103" s="615"/>
      <c r="AJ103" s="615"/>
      <c r="AK103" s="615"/>
      <c r="AL103" s="616"/>
      <c r="AM103" s="616"/>
      <c r="AN103" s="581"/>
      <c r="AO103" s="615"/>
      <c r="AP103" s="615"/>
      <c r="AQ103" s="615"/>
      <c r="AR103" s="615"/>
      <c r="AS103" s="615"/>
      <c r="AT103" s="615"/>
      <c r="AU103" s="615"/>
      <c r="AV103" s="615"/>
      <c r="AW103" s="615"/>
      <c r="AX103" s="615"/>
      <c r="AY103" s="616"/>
      <c r="AZ103" s="581"/>
      <c r="BA103" s="581"/>
      <c r="BB103" s="581"/>
    </row>
    <row r="104" spans="1:54" x14ac:dyDescent="0.25">
      <c r="A104" s="67" t="s">
        <v>307</v>
      </c>
      <c r="B104" s="69" t="s">
        <v>306</v>
      </c>
      <c r="C104" s="69" t="s">
        <v>308</v>
      </c>
      <c r="D104" s="69">
        <v>10</v>
      </c>
      <c r="E104" s="69" t="s">
        <v>69</v>
      </c>
      <c r="F104" s="318">
        <v>1287</v>
      </c>
      <c r="G104" s="71">
        <v>1237</v>
      </c>
      <c r="H104" s="357">
        <v>0</v>
      </c>
      <c r="I104" s="403">
        <v>0.5</v>
      </c>
      <c r="J104" s="607">
        <f>ROUND(G104*(1+'29_01_H_2020'!$F$14),2)</f>
        <v>1360.7</v>
      </c>
      <c r="K104" s="608">
        <f t="shared" si="114"/>
        <v>1287</v>
      </c>
      <c r="L104" s="608">
        <f t="shared" si="115"/>
        <v>50</v>
      </c>
      <c r="M104" s="608">
        <f t="shared" si="116"/>
        <v>73.700000000000045</v>
      </c>
      <c r="N104" s="608">
        <f t="shared" si="117"/>
        <v>0</v>
      </c>
      <c r="O104" s="608">
        <f t="shared" si="118"/>
        <v>0</v>
      </c>
      <c r="P104" s="609">
        <f t="shared" si="108"/>
        <v>123.70000000000005</v>
      </c>
      <c r="Q104" s="609">
        <f t="shared" si="109"/>
        <v>61.850000000000023</v>
      </c>
      <c r="R104" s="609">
        <f t="shared" si="110"/>
        <v>742.20000000000027</v>
      </c>
      <c r="S104" s="609">
        <f t="shared" si="111"/>
        <v>178.8</v>
      </c>
      <c r="T104" s="610">
        <f t="shared" si="119"/>
        <v>921.00000000000023</v>
      </c>
      <c r="U104" s="611"/>
      <c r="V104" s="612"/>
      <c r="W104" s="613"/>
      <c r="X104" s="614"/>
      <c r="Y104" s="614"/>
      <c r="Z104" s="581"/>
      <c r="AA104" s="581"/>
      <c r="AB104" s="615"/>
      <c r="AC104" s="615"/>
      <c r="AD104" s="615"/>
      <c r="AE104" s="615"/>
      <c r="AF104" s="615"/>
      <c r="AG104" s="615"/>
      <c r="AH104" s="615"/>
      <c r="AI104" s="615"/>
      <c r="AJ104" s="615"/>
      <c r="AK104" s="615"/>
      <c r="AL104" s="616"/>
      <c r="AM104" s="581"/>
      <c r="AN104" s="581"/>
      <c r="AO104" s="615"/>
      <c r="AP104" s="615"/>
      <c r="AQ104" s="615"/>
      <c r="AR104" s="615"/>
      <c r="AS104" s="615"/>
      <c r="AT104" s="615"/>
      <c r="AU104" s="615"/>
      <c r="AV104" s="615"/>
      <c r="AW104" s="615"/>
      <c r="AX104" s="615"/>
      <c r="AY104" s="616"/>
      <c r="AZ104" s="581"/>
      <c r="BA104" s="581"/>
      <c r="BB104" s="581"/>
    </row>
    <row r="105" spans="1:54" x14ac:dyDescent="0.25">
      <c r="A105" s="67" t="s">
        <v>291</v>
      </c>
      <c r="B105" s="69" t="s">
        <v>306</v>
      </c>
      <c r="C105" s="69" t="s">
        <v>308</v>
      </c>
      <c r="D105" s="69">
        <v>10</v>
      </c>
      <c r="E105" s="69" t="s">
        <v>69</v>
      </c>
      <c r="F105" s="318">
        <v>1287</v>
      </c>
      <c r="G105" s="71">
        <v>1287</v>
      </c>
      <c r="H105" s="357">
        <v>0</v>
      </c>
      <c r="I105" s="403">
        <v>1</v>
      </c>
      <c r="J105" s="607">
        <f>ROUND(G105*(1+'29_01_H_2020'!$F$14),2)</f>
        <v>1415.7</v>
      </c>
      <c r="K105" s="608">
        <f t="shared" si="114"/>
        <v>1287</v>
      </c>
      <c r="L105" s="608">
        <f t="shared" si="115"/>
        <v>0</v>
      </c>
      <c r="M105" s="608">
        <f t="shared" si="116"/>
        <v>128.70000000000005</v>
      </c>
      <c r="N105" s="608">
        <f t="shared" si="117"/>
        <v>0</v>
      </c>
      <c r="O105" s="608">
        <f t="shared" si="118"/>
        <v>0</v>
      </c>
      <c r="P105" s="609">
        <f t="shared" si="108"/>
        <v>128.70000000000005</v>
      </c>
      <c r="Q105" s="609">
        <f t="shared" si="109"/>
        <v>128.70000000000005</v>
      </c>
      <c r="R105" s="609">
        <f t="shared" si="110"/>
        <v>1544.4000000000005</v>
      </c>
      <c r="S105" s="609">
        <f t="shared" si="111"/>
        <v>372.05</v>
      </c>
      <c r="T105" s="610">
        <f t="shared" si="119"/>
        <v>1916.4500000000005</v>
      </c>
      <c r="U105" s="611"/>
      <c r="V105" s="612"/>
      <c r="W105" s="613"/>
      <c r="X105" s="614"/>
      <c r="Y105" s="614"/>
      <c r="Z105" s="581"/>
      <c r="AA105" s="581"/>
      <c r="AB105" s="615"/>
      <c r="AC105" s="615"/>
      <c r="AD105" s="615"/>
      <c r="AE105" s="615"/>
      <c r="AF105" s="615"/>
      <c r="AG105" s="615"/>
      <c r="AH105" s="615"/>
      <c r="AI105" s="615"/>
      <c r="AJ105" s="615"/>
      <c r="AK105" s="615"/>
      <c r="AL105" s="616"/>
      <c r="AM105" s="581"/>
      <c r="AN105" s="581"/>
      <c r="AO105" s="615"/>
      <c r="AP105" s="615"/>
      <c r="AQ105" s="615"/>
      <c r="AR105" s="615"/>
      <c r="AS105" s="615"/>
      <c r="AT105" s="615"/>
      <c r="AU105" s="615"/>
      <c r="AV105" s="615"/>
      <c r="AW105" s="615"/>
      <c r="AX105" s="615"/>
      <c r="AY105" s="616"/>
      <c r="AZ105" s="581"/>
      <c r="BA105" s="581"/>
      <c r="BB105" s="581"/>
    </row>
    <row r="106" spans="1:54" x14ac:dyDescent="0.25">
      <c r="A106" s="67" t="s">
        <v>291</v>
      </c>
      <c r="B106" s="69" t="s">
        <v>306</v>
      </c>
      <c r="C106" s="69" t="s">
        <v>308</v>
      </c>
      <c r="D106" s="69">
        <v>10</v>
      </c>
      <c r="E106" s="69" t="s">
        <v>69</v>
      </c>
      <c r="F106" s="318">
        <v>1287</v>
      </c>
      <c r="G106" s="71">
        <v>1287</v>
      </c>
      <c r="H106" s="357">
        <v>0</v>
      </c>
      <c r="I106" s="403">
        <v>1</v>
      </c>
      <c r="J106" s="607">
        <f>ROUND(G106*(1+'29_01_H_2020'!$F$14),2)</f>
        <v>1415.7</v>
      </c>
      <c r="K106" s="608">
        <f t="shared" si="114"/>
        <v>1287</v>
      </c>
      <c r="L106" s="608">
        <f t="shared" si="115"/>
        <v>0</v>
      </c>
      <c r="M106" s="608">
        <f t="shared" si="116"/>
        <v>128.70000000000005</v>
      </c>
      <c r="N106" s="608">
        <f t="shared" si="117"/>
        <v>0</v>
      </c>
      <c r="O106" s="608">
        <f t="shared" si="118"/>
        <v>0</v>
      </c>
      <c r="P106" s="609">
        <f t="shared" si="108"/>
        <v>128.70000000000005</v>
      </c>
      <c r="Q106" s="609">
        <f t="shared" si="109"/>
        <v>128.70000000000005</v>
      </c>
      <c r="R106" s="609">
        <f t="shared" si="110"/>
        <v>1544.4000000000005</v>
      </c>
      <c r="S106" s="609">
        <f t="shared" si="111"/>
        <v>372.05</v>
      </c>
      <c r="T106" s="610">
        <f t="shared" si="119"/>
        <v>1916.4500000000005</v>
      </c>
      <c r="U106" s="611"/>
      <c r="V106" s="612"/>
      <c r="W106" s="613"/>
      <c r="X106" s="614"/>
      <c r="Y106" s="614"/>
      <c r="Z106" s="581"/>
      <c r="AA106" s="581"/>
      <c r="AB106" s="615"/>
      <c r="AC106" s="615"/>
      <c r="AD106" s="615"/>
      <c r="AE106" s="615"/>
      <c r="AF106" s="615"/>
      <c r="AG106" s="615"/>
      <c r="AH106" s="615"/>
      <c r="AI106" s="615"/>
      <c r="AJ106" s="615"/>
      <c r="AK106" s="615"/>
      <c r="AL106" s="616"/>
      <c r="AM106" s="581"/>
      <c r="AN106" s="581"/>
      <c r="AO106" s="615"/>
      <c r="AP106" s="615"/>
      <c r="AQ106" s="615"/>
      <c r="AR106" s="615"/>
      <c r="AS106" s="615"/>
      <c r="AT106" s="615"/>
      <c r="AU106" s="615"/>
      <c r="AV106" s="615"/>
      <c r="AW106" s="615"/>
      <c r="AX106" s="615"/>
      <c r="AY106" s="616"/>
      <c r="AZ106" s="581"/>
      <c r="BA106" s="581"/>
      <c r="BB106" s="581"/>
    </row>
    <row r="107" spans="1:54" x14ac:dyDescent="0.25">
      <c r="A107" s="67" t="s">
        <v>291</v>
      </c>
      <c r="B107" s="69" t="s">
        <v>122</v>
      </c>
      <c r="C107" s="69" t="s">
        <v>308</v>
      </c>
      <c r="D107" s="69" t="s">
        <v>75</v>
      </c>
      <c r="E107" s="69" t="s">
        <v>69</v>
      </c>
      <c r="F107" s="318">
        <v>1287</v>
      </c>
      <c r="G107" s="71">
        <v>1287</v>
      </c>
      <c r="H107" s="357">
        <v>0</v>
      </c>
      <c r="I107" s="403">
        <v>1</v>
      </c>
      <c r="J107" s="607">
        <f>ROUND(G107*(1+'29_01_H_2020'!$F$14),2)</f>
        <v>1415.7</v>
      </c>
      <c r="K107" s="608">
        <f t="shared" si="114"/>
        <v>1287</v>
      </c>
      <c r="L107" s="608">
        <f t="shared" si="115"/>
        <v>0</v>
      </c>
      <c r="M107" s="608">
        <f t="shared" si="116"/>
        <v>128.70000000000005</v>
      </c>
      <c r="N107" s="608">
        <f t="shared" si="117"/>
        <v>0</v>
      </c>
      <c r="O107" s="608">
        <f t="shared" si="118"/>
        <v>0</v>
      </c>
      <c r="P107" s="609">
        <f t="shared" si="108"/>
        <v>128.70000000000005</v>
      </c>
      <c r="Q107" s="609">
        <f t="shared" si="109"/>
        <v>128.70000000000005</v>
      </c>
      <c r="R107" s="609">
        <f t="shared" si="110"/>
        <v>1544.4000000000005</v>
      </c>
      <c r="S107" s="609">
        <f t="shared" si="111"/>
        <v>372.05</v>
      </c>
      <c r="T107" s="610">
        <f t="shared" si="119"/>
        <v>1916.4500000000005</v>
      </c>
      <c r="U107" s="611"/>
      <c r="V107" s="612"/>
      <c r="W107" s="613"/>
      <c r="X107" s="614"/>
      <c r="Y107" s="614"/>
      <c r="Z107" s="581"/>
      <c r="AA107" s="581"/>
      <c r="AB107" s="615"/>
      <c r="AC107" s="615"/>
      <c r="AD107" s="615"/>
      <c r="AE107" s="615"/>
      <c r="AF107" s="615"/>
      <c r="AG107" s="615"/>
      <c r="AH107" s="615"/>
      <c r="AI107" s="615"/>
      <c r="AJ107" s="615"/>
      <c r="AK107" s="615"/>
      <c r="AL107" s="616"/>
      <c r="AM107" s="581"/>
      <c r="AN107" s="581"/>
      <c r="AO107" s="615"/>
      <c r="AP107" s="615"/>
      <c r="AQ107" s="615"/>
      <c r="AR107" s="615"/>
      <c r="AS107" s="615"/>
      <c r="AT107" s="615"/>
      <c r="AU107" s="615"/>
      <c r="AV107" s="615"/>
      <c r="AW107" s="615"/>
      <c r="AX107" s="615"/>
      <c r="AY107" s="616"/>
      <c r="AZ107" s="581"/>
      <c r="BA107" s="581"/>
      <c r="BB107" s="581"/>
    </row>
    <row r="108" spans="1:54" x14ac:dyDescent="0.25">
      <c r="A108" s="67" t="s">
        <v>291</v>
      </c>
      <c r="B108" s="69" t="s">
        <v>306</v>
      </c>
      <c r="C108" s="69" t="s">
        <v>308</v>
      </c>
      <c r="D108" s="69">
        <v>10</v>
      </c>
      <c r="E108" s="69" t="s">
        <v>69</v>
      </c>
      <c r="F108" s="318">
        <v>1287</v>
      </c>
      <c r="G108" s="71">
        <v>1237</v>
      </c>
      <c r="H108" s="357">
        <v>0</v>
      </c>
      <c r="I108" s="403">
        <v>1</v>
      </c>
      <c r="J108" s="607">
        <f>ROUND(G108*(1+'29_01_H_2020'!$F$14),2)</f>
        <v>1360.7</v>
      </c>
      <c r="K108" s="608">
        <f t="shared" si="114"/>
        <v>1287</v>
      </c>
      <c r="L108" s="608">
        <f t="shared" si="115"/>
        <v>50</v>
      </c>
      <c r="M108" s="608">
        <f t="shared" si="116"/>
        <v>73.700000000000045</v>
      </c>
      <c r="N108" s="608">
        <f t="shared" si="117"/>
        <v>0</v>
      </c>
      <c r="O108" s="608">
        <f t="shared" si="118"/>
        <v>0</v>
      </c>
      <c r="P108" s="609">
        <f t="shared" si="108"/>
        <v>123.70000000000005</v>
      </c>
      <c r="Q108" s="609">
        <f t="shared" si="109"/>
        <v>123.70000000000005</v>
      </c>
      <c r="R108" s="609">
        <f t="shared" si="110"/>
        <v>1484.4000000000005</v>
      </c>
      <c r="S108" s="609">
        <f t="shared" si="111"/>
        <v>357.59</v>
      </c>
      <c r="T108" s="610">
        <f t="shared" si="119"/>
        <v>1841.9900000000005</v>
      </c>
      <c r="U108" s="611"/>
      <c r="V108" s="612"/>
      <c r="W108" s="613"/>
      <c r="X108" s="614"/>
      <c r="Y108" s="614"/>
      <c r="Z108" s="581"/>
      <c r="AA108" s="581"/>
      <c r="AB108" s="615"/>
      <c r="AC108" s="615"/>
      <c r="AD108" s="615"/>
      <c r="AE108" s="615"/>
      <c r="AF108" s="615"/>
      <c r="AG108" s="615"/>
      <c r="AH108" s="615"/>
      <c r="AI108" s="615"/>
      <c r="AJ108" s="615"/>
      <c r="AK108" s="615"/>
      <c r="AL108" s="616"/>
      <c r="AM108" s="581"/>
      <c r="AN108" s="581"/>
      <c r="AO108" s="615"/>
      <c r="AP108" s="615"/>
      <c r="AQ108" s="615"/>
      <c r="AR108" s="615"/>
      <c r="AS108" s="615"/>
      <c r="AT108" s="615"/>
      <c r="AU108" s="615"/>
      <c r="AV108" s="615"/>
      <c r="AW108" s="615"/>
      <c r="AX108" s="615"/>
      <c r="AY108" s="616"/>
      <c r="AZ108" s="581"/>
      <c r="BA108" s="581"/>
      <c r="BB108" s="581"/>
    </row>
    <row r="109" spans="1:54" x14ac:dyDescent="0.25">
      <c r="A109" s="72" t="s">
        <v>293</v>
      </c>
      <c r="B109" s="394" t="s">
        <v>306</v>
      </c>
      <c r="C109" s="69" t="s">
        <v>308</v>
      </c>
      <c r="D109" s="394">
        <v>10</v>
      </c>
      <c r="E109" s="394" t="s">
        <v>69</v>
      </c>
      <c r="F109" s="318">
        <v>1287</v>
      </c>
      <c r="G109" s="71">
        <v>1237</v>
      </c>
      <c r="H109" s="357">
        <v>0</v>
      </c>
      <c r="I109" s="403">
        <v>1</v>
      </c>
      <c r="J109" s="607">
        <f>ROUND(G109*(1+'29_01_H_2020'!$F$14),2)</f>
        <v>1360.7</v>
      </c>
      <c r="K109" s="608">
        <f t="shared" si="114"/>
        <v>1287</v>
      </c>
      <c r="L109" s="608">
        <f t="shared" si="115"/>
        <v>50</v>
      </c>
      <c r="M109" s="608">
        <f t="shared" si="116"/>
        <v>73.700000000000045</v>
      </c>
      <c r="N109" s="608">
        <f t="shared" si="117"/>
        <v>0</v>
      </c>
      <c r="O109" s="608">
        <f t="shared" si="118"/>
        <v>0</v>
      </c>
      <c r="P109" s="609">
        <f t="shared" si="108"/>
        <v>123.70000000000005</v>
      </c>
      <c r="Q109" s="609">
        <f t="shared" si="109"/>
        <v>123.70000000000005</v>
      </c>
      <c r="R109" s="609">
        <f t="shared" si="110"/>
        <v>1484.4000000000005</v>
      </c>
      <c r="S109" s="609">
        <f t="shared" si="111"/>
        <v>357.59</v>
      </c>
      <c r="T109" s="610">
        <f t="shared" si="119"/>
        <v>1841.9900000000005</v>
      </c>
      <c r="U109" s="611"/>
      <c r="V109" s="612"/>
      <c r="W109" s="613"/>
      <c r="X109" s="614"/>
      <c r="Y109" s="614"/>
      <c r="Z109" s="581"/>
      <c r="AA109" s="581"/>
      <c r="AB109" s="615"/>
      <c r="AC109" s="615"/>
      <c r="AD109" s="615"/>
      <c r="AE109" s="615"/>
      <c r="AF109" s="615"/>
      <c r="AG109" s="615"/>
      <c r="AH109" s="615"/>
      <c r="AI109" s="615"/>
      <c r="AJ109" s="615"/>
      <c r="AK109" s="615"/>
      <c r="AL109" s="616"/>
      <c r="AM109" s="581"/>
      <c r="AN109" s="581"/>
      <c r="AO109" s="615"/>
      <c r="AP109" s="615"/>
      <c r="AQ109" s="615"/>
      <c r="AR109" s="615"/>
      <c r="AS109" s="615"/>
      <c r="AT109" s="615"/>
      <c r="AU109" s="615"/>
      <c r="AV109" s="615"/>
      <c r="AW109" s="615"/>
      <c r="AX109" s="615"/>
      <c r="AY109" s="616"/>
      <c r="AZ109" s="581"/>
      <c r="BA109" s="581"/>
      <c r="BB109" s="581"/>
    </row>
    <row r="110" spans="1:54" x14ac:dyDescent="0.25">
      <c r="A110" s="72" t="s">
        <v>293</v>
      </c>
      <c r="B110" s="394" t="s">
        <v>306</v>
      </c>
      <c r="C110" s="69" t="s">
        <v>308</v>
      </c>
      <c r="D110" s="394">
        <v>10</v>
      </c>
      <c r="E110" s="394" t="s">
        <v>69</v>
      </c>
      <c r="F110" s="318">
        <v>1287</v>
      </c>
      <c r="G110" s="73">
        <v>640</v>
      </c>
      <c r="H110" s="357">
        <v>0</v>
      </c>
      <c r="I110" s="403">
        <v>0.5</v>
      </c>
      <c r="J110" s="607">
        <f>ROUND(G110*(1+'29_01_H_2020'!$F$14),2)</f>
        <v>704</v>
      </c>
      <c r="K110" s="608">
        <f t="shared" si="114"/>
        <v>704</v>
      </c>
      <c r="L110" s="608">
        <f t="shared" si="115"/>
        <v>64</v>
      </c>
      <c r="M110" s="608">
        <f t="shared" si="116"/>
        <v>0</v>
      </c>
      <c r="N110" s="608">
        <f t="shared" si="117"/>
        <v>0</v>
      </c>
      <c r="O110" s="608">
        <f t="shared" si="118"/>
        <v>0</v>
      </c>
      <c r="P110" s="609">
        <f t="shared" si="108"/>
        <v>64</v>
      </c>
      <c r="Q110" s="609">
        <f t="shared" si="109"/>
        <v>32</v>
      </c>
      <c r="R110" s="609">
        <f t="shared" si="110"/>
        <v>384</v>
      </c>
      <c r="S110" s="609">
        <f t="shared" si="111"/>
        <v>92.51</v>
      </c>
      <c r="T110" s="610">
        <f t="shared" si="119"/>
        <v>476.51</v>
      </c>
      <c r="U110" s="611"/>
      <c r="V110" s="612"/>
      <c r="W110" s="613"/>
      <c r="X110" s="614"/>
      <c r="Y110" s="614"/>
      <c r="Z110" s="581"/>
      <c r="AA110" s="581"/>
      <c r="AB110" s="615"/>
      <c r="AC110" s="615"/>
      <c r="AD110" s="615"/>
      <c r="AE110" s="615"/>
      <c r="AF110" s="615"/>
      <c r="AG110" s="615"/>
      <c r="AH110" s="615"/>
      <c r="AI110" s="615"/>
      <c r="AJ110" s="615"/>
      <c r="AK110" s="615"/>
      <c r="AL110" s="616"/>
      <c r="AM110" s="616"/>
      <c r="AN110" s="581"/>
      <c r="AO110" s="615"/>
      <c r="AP110" s="615"/>
      <c r="AQ110" s="615"/>
      <c r="AR110" s="615"/>
      <c r="AS110" s="615"/>
      <c r="AT110" s="615"/>
      <c r="AU110" s="615"/>
      <c r="AV110" s="615"/>
      <c r="AW110" s="615"/>
      <c r="AX110" s="615"/>
      <c r="AY110" s="616"/>
      <c r="AZ110" s="581"/>
      <c r="BA110" s="581"/>
      <c r="BB110" s="581"/>
    </row>
    <row r="111" spans="1:54" x14ac:dyDescent="0.25">
      <c r="A111" s="57" t="s">
        <v>309</v>
      </c>
      <c r="B111" s="394" t="s">
        <v>122</v>
      </c>
      <c r="C111" s="69" t="s">
        <v>295</v>
      </c>
      <c r="D111" s="394" t="s">
        <v>85</v>
      </c>
      <c r="E111" s="394" t="s">
        <v>69</v>
      </c>
      <c r="F111" s="318">
        <v>1190</v>
      </c>
      <c r="G111" s="71">
        <v>1042</v>
      </c>
      <c r="H111" s="357">
        <f t="shared" si="113"/>
        <v>104.2</v>
      </c>
      <c r="I111" s="403">
        <v>1</v>
      </c>
      <c r="J111" s="607">
        <f>ROUND(G111*(1+'29_01_H_2020'!$F$14),2)</f>
        <v>1146.2</v>
      </c>
      <c r="K111" s="608">
        <f t="shared" si="114"/>
        <v>1146.2</v>
      </c>
      <c r="L111" s="608">
        <f t="shared" si="115"/>
        <v>104.20000000000005</v>
      </c>
      <c r="M111" s="608">
        <f t="shared" si="116"/>
        <v>0</v>
      </c>
      <c r="N111" s="608">
        <f t="shared" si="117"/>
        <v>10.42</v>
      </c>
      <c r="O111" s="608">
        <f t="shared" si="118"/>
        <v>0</v>
      </c>
      <c r="P111" s="609">
        <f t="shared" si="108"/>
        <v>114.62000000000005</v>
      </c>
      <c r="Q111" s="609">
        <f t="shared" si="109"/>
        <v>114.62000000000005</v>
      </c>
      <c r="R111" s="609">
        <f t="shared" si="110"/>
        <v>1375.4400000000005</v>
      </c>
      <c r="S111" s="609">
        <f t="shared" si="111"/>
        <v>331.34</v>
      </c>
      <c r="T111" s="610">
        <f t="shared" si="119"/>
        <v>1706.7800000000004</v>
      </c>
      <c r="U111" s="611"/>
      <c r="V111" s="612"/>
      <c r="W111" s="613"/>
      <c r="X111" s="614"/>
      <c r="Y111" s="614"/>
      <c r="Z111" s="581"/>
      <c r="AA111" s="581"/>
      <c r="AB111" s="581"/>
      <c r="AC111" s="581"/>
      <c r="AD111" s="581"/>
      <c r="AE111" s="581"/>
      <c r="AF111" s="581"/>
      <c r="AG111" s="581"/>
      <c r="AH111" s="581"/>
      <c r="AI111" s="581"/>
      <c r="AJ111" s="581"/>
      <c r="AK111" s="581"/>
      <c r="AL111" s="581"/>
      <c r="AM111" s="581"/>
      <c r="AN111" s="581"/>
      <c r="AO111" s="581"/>
      <c r="AP111" s="581"/>
      <c r="AQ111" s="581"/>
      <c r="AR111" s="581"/>
      <c r="AS111" s="581"/>
      <c r="AT111" s="581"/>
      <c r="AU111" s="581"/>
      <c r="AV111" s="581"/>
      <c r="AW111" s="581"/>
      <c r="AX111" s="581"/>
      <c r="AY111" s="581"/>
      <c r="AZ111" s="581"/>
      <c r="BA111" s="581"/>
      <c r="BB111" s="581"/>
    </row>
    <row r="112" spans="1:54" x14ac:dyDescent="0.25">
      <c r="A112" s="617" t="s">
        <v>55</v>
      </c>
      <c r="B112" s="618" t="s">
        <v>52</v>
      </c>
      <c r="C112" s="619" t="s">
        <v>52</v>
      </c>
      <c r="D112" s="619" t="s">
        <v>52</v>
      </c>
      <c r="E112" s="619" t="s">
        <v>52</v>
      </c>
      <c r="F112" s="620" t="s">
        <v>52</v>
      </c>
      <c r="G112" s="620" t="s">
        <v>52</v>
      </c>
      <c r="H112" s="620" t="s">
        <v>52</v>
      </c>
      <c r="I112" s="406">
        <f>SUM(I100:I111)</f>
        <v>17</v>
      </c>
      <c r="J112" s="621"/>
      <c r="K112" s="622"/>
      <c r="L112" s="622"/>
      <c r="M112" s="622"/>
      <c r="N112" s="622"/>
      <c r="O112" s="622"/>
      <c r="P112" s="623"/>
      <c r="Q112" s="623"/>
      <c r="R112" s="623"/>
      <c r="S112" s="623"/>
      <c r="T112" s="624"/>
      <c r="U112" s="581"/>
      <c r="V112" s="581"/>
      <c r="W112" s="581"/>
      <c r="X112" s="581"/>
      <c r="Y112" s="581"/>
      <c r="Z112" s="581"/>
      <c r="AA112" s="581"/>
      <c r="AB112" s="581"/>
      <c r="AC112" s="581"/>
      <c r="AD112" s="581"/>
      <c r="AE112" s="581"/>
      <c r="AF112" s="581"/>
      <c r="AG112" s="581"/>
      <c r="AH112" s="581"/>
      <c r="AI112" s="581"/>
      <c r="AJ112" s="581"/>
      <c r="AK112" s="581"/>
      <c r="AL112" s="581"/>
      <c r="AM112" s="581"/>
      <c r="AN112" s="581"/>
      <c r="AO112" s="581"/>
      <c r="AP112" s="581"/>
      <c r="AQ112" s="581"/>
      <c r="AR112" s="581"/>
      <c r="AS112" s="581"/>
      <c r="AT112" s="581"/>
      <c r="AU112" s="581"/>
      <c r="AV112" s="581"/>
      <c r="AW112" s="581"/>
      <c r="AX112" s="581"/>
      <c r="AY112" s="581"/>
      <c r="AZ112" s="581"/>
      <c r="BA112" s="581"/>
      <c r="BB112" s="581"/>
    </row>
    <row r="113" spans="1:55" x14ac:dyDescent="0.25">
      <c r="A113" s="931" t="s">
        <v>27</v>
      </c>
      <c r="B113" s="932"/>
      <c r="C113" s="932"/>
      <c r="D113" s="932"/>
      <c r="E113" s="932"/>
      <c r="F113" s="932"/>
      <c r="G113" s="932"/>
      <c r="H113" s="932"/>
      <c r="I113" s="933"/>
      <c r="J113" s="625"/>
      <c r="K113" s="626"/>
      <c r="L113" s="626"/>
      <c r="M113" s="626"/>
      <c r="N113" s="626"/>
      <c r="O113" s="626"/>
      <c r="P113" s="603"/>
      <c r="Q113" s="603"/>
      <c r="R113" s="603"/>
      <c r="S113" s="603"/>
      <c r="T113" s="604"/>
      <c r="U113" s="581"/>
      <c r="V113" s="581"/>
      <c r="W113" s="581"/>
      <c r="X113" s="581"/>
      <c r="Y113" s="581"/>
      <c r="Z113" s="581"/>
      <c r="AA113" s="581"/>
      <c r="AB113" s="581"/>
      <c r="AC113" s="581"/>
      <c r="AD113" s="581"/>
      <c r="AE113" s="581"/>
      <c r="AF113" s="581"/>
      <c r="AG113" s="581"/>
      <c r="AH113" s="581"/>
      <c r="AI113" s="581"/>
      <c r="AJ113" s="581"/>
      <c r="AK113" s="581"/>
      <c r="AL113" s="581"/>
      <c r="AM113" s="581"/>
      <c r="AN113" s="581"/>
      <c r="AO113" s="581"/>
      <c r="AP113" s="581"/>
      <c r="AQ113" s="581"/>
      <c r="AR113" s="581"/>
      <c r="AS113" s="581"/>
      <c r="AT113" s="581"/>
      <c r="AU113" s="581"/>
      <c r="AV113" s="581"/>
      <c r="AW113" s="581"/>
      <c r="AX113" s="581"/>
      <c r="AY113" s="581"/>
      <c r="AZ113" s="581"/>
      <c r="BA113" s="581"/>
      <c r="BB113" s="581"/>
    </row>
    <row r="114" spans="1:55" x14ac:dyDescent="0.25">
      <c r="A114" s="530" t="s">
        <v>269</v>
      </c>
      <c r="B114" s="68" t="s">
        <v>306</v>
      </c>
      <c r="C114" s="70" t="s">
        <v>36</v>
      </c>
      <c r="D114" s="69" t="s">
        <v>296</v>
      </c>
      <c r="E114" s="69" t="s">
        <v>69</v>
      </c>
      <c r="F114" s="318">
        <v>1093</v>
      </c>
      <c r="G114" s="71">
        <v>918</v>
      </c>
      <c r="H114" s="357">
        <f t="shared" ref="H114:H123" si="120">G114*0.1</f>
        <v>91.800000000000011</v>
      </c>
      <c r="I114" s="403">
        <v>3</v>
      </c>
      <c r="J114" s="607">
        <f>ROUND(G114*(1+'29_01_H_2020'!$F$10),2)</f>
        <v>1009.8</v>
      </c>
      <c r="K114" s="608">
        <f t="shared" ref="K114" si="121">IF(J114&lt;=F114,J114,F114)</f>
        <v>1009.8</v>
      </c>
      <c r="L114" s="608">
        <f t="shared" ref="L114" si="122">K114-G114</f>
        <v>91.799999999999955</v>
      </c>
      <c r="M114" s="608">
        <f t="shared" ref="M114" si="123">J114-K114</f>
        <v>0</v>
      </c>
      <c r="N114" s="608">
        <f t="shared" ref="N114" si="124">ROUND(H114/G114*K114-H114,2)</f>
        <v>9.18</v>
      </c>
      <c r="O114" s="608">
        <f t="shared" ref="O114" si="125">ROUND(H114/G114*J114-H114-N114,2)</f>
        <v>0</v>
      </c>
      <c r="P114" s="609">
        <f t="shared" ref="P114:P123" si="126">L114+M114+N114+O114</f>
        <v>100.97999999999996</v>
      </c>
      <c r="Q114" s="609">
        <f t="shared" ref="Q114:Q123" si="127">P114*I114</f>
        <v>302.93999999999988</v>
      </c>
      <c r="R114" s="609">
        <f t="shared" ref="R114:R123" si="128">Q114*12</f>
        <v>3635.2799999999988</v>
      </c>
      <c r="S114" s="609">
        <f t="shared" ref="S114:S123" si="129">ROUND(R114*0.2409,2)</f>
        <v>875.74</v>
      </c>
      <c r="T114" s="610">
        <f t="shared" ref="T114" si="130">SUM(R114:S114)</f>
        <v>4511.0199999999986</v>
      </c>
      <c r="U114" s="611"/>
      <c r="V114" s="612"/>
      <c r="W114" s="613"/>
      <c r="X114" s="614"/>
      <c r="Y114" s="614"/>
      <c r="Z114" s="581"/>
      <c r="AA114" s="581"/>
      <c r="AB114" s="615"/>
      <c r="AC114" s="615"/>
      <c r="AD114" s="615"/>
      <c r="AE114" s="615"/>
      <c r="AF114" s="615"/>
      <c r="AG114" s="615"/>
      <c r="AH114" s="615"/>
      <c r="AI114" s="615"/>
      <c r="AJ114" s="615"/>
      <c r="AK114" s="615"/>
      <c r="AL114" s="616"/>
      <c r="AM114" s="581"/>
      <c r="AN114" s="581"/>
      <c r="AO114" s="615"/>
      <c r="AP114" s="615"/>
      <c r="AQ114" s="615"/>
      <c r="AR114" s="615"/>
      <c r="AS114" s="615"/>
      <c r="AT114" s="615"/>
      <c r="AU114" s="615"/>
      <c r="AV114" s="615"/>
      <c r="AW114" s="615"/>
      <c r="AX114" s="615"/>
      <c r="AY114" s="616"/>
      <c r="AZ114" s="581"/>
      <c r="BA114" s="581"/>
      <c r="BB114" s="581"/>
    </row>
    <row r="115" spans="1:55" x14ac:dyDescent="0.25">
      <c r="A115" s="530" t="s">
        <v>269</v>
      </c>
      <c r="B115" s="68" t="s">
        <v>306</v>
      </c>
      <c r="C115" s="69" t="s">
        <v>36</v>
      </c>
      <c r="D115" s="69" t="s">
        <v>296</v>
      </c>
      <c r="E115" s="69" t="s">
        <v>160</v>
      </c>
      <c r="F115" s="318">
        <v>745</v>
      </c>
      <c r="G115" s="71">
        <v>726</v>
      </c>
      <c r="H115" s="357">
        <f t="shared" si="120"/>
        <v>72.600000000000009</v>
      </c>
      <c r="I115" s="403">
        <v>1</v>
      </c>
      <c r="J115" s="607">
        <f>ROUND(G115*(1+'29_01_H_2020'!$F$10),2)</f>
        <v>798.6</v>
      </c>
      <c r="K115" s="608">
        <f t="shared" ref="K115:K123" si="131">IF(J115&lt;=F115,J115,F115)</f>
        <v>745</v>
      </c>
      <c r="L115" s="608">
        <f t="shared" ref="L115:L123" si="132">K115-G115</f>
        <v>19</v>
      </c>
      <c r="M115" s="608">
        <f t="shared" ref="M115:M123" si="133">J115-K115</f>
        <v>53.600000000000023</v>
      </c>
      <c r="N115" s="608">
        <f t="shared" ref="N115:N123" si="134">ROUND(H115/G115*K115-H115,2)</f>
        <v>1.9</v>
      </c>
      <c r="O115" s="608">
        <f t="shared" ref="O115:O123" si="135">ROUND(H115/G115*J115-H115-N115,2)</f>
        <v>5.36</v>
      </c>
      <c r="P115" s="609">
        <f t="shared" si="126"/>
        <v>79.860000000000028</v>
      </c>
      <c r="Q115" s="609">
        <f t="shared" si="127"/>
        <v>79.860000000000028</v>
      </c>
      <c r="R115" s="609">
        <f t="shared" si="128"/>
        <v>958.32000000000039</v>
      </c>
      <c r="S115" s="609">
        <f t="shared" si="129"/>
        <v>230.86</v>
      </c>
      <c r="T115" s="610">
        <f t="shared" ref="T115:T123" si="136">SUM(R115:S115)</f>
        <v>1189.1800000000003</v>
      </c>
      <c r="U115" s="611"/>
      <c r="V115" s="612"/>
      <c r="W115" s="613"/>
      <c r="X115" s="614"/>
      <c r="Y115" s="614"/>
      <c r="Z115" s="581"/>
      <c r="AA115" s="581"/>
      <c r="AB115" s="615"/>
      <c r="AC115" s="615"/>
      <c r="AD115" s="615"/>
      <c r="AE115" s="615"/>
      <c r="AF115" s="615"/>
      <c r="AG115" s="615"/>
      <c r="AH115" s="615"/>
      <c r="AI115" s="615"/>
      <c r="AJ115" s="615"/>
      <c r="AK115" s="615"/>
      <c r="AL115" s="616"/>
      <c r="AM115" s="581"/>
      <c r="AN115" s="581"/>
      <c r="AO115" s="615"/>
      <c r="AP115" s="615"/>
      <c r="AQ115" s="615"/>
      <c r="AR115" s="615"/>
      <c r="AS115" s="615"/>
      <c r="AT115" s="615"/>
      <c r="AU115" s="615"/>
      <c r="AV115" s="615"/>
      <c r="AW115" s="615"/>
      <c r="AX115" s="615"/>
      <c r="AY115" s="616"/>
      <c r="AZ115" s="581"/>
      <c r="BA115" s="581"/>
      <c r="BB115" s="581"/>
    </row>
    <row r="116" spans="1:55" x14ac:dyDescent="0.25">
      <c r="A116" s="530" t="s">
        <v>39</v>
      </c>
      <c r="B116" s="69" t="s">
        <v>158</v>
      </c>
      <c r="C116" s="69" t="s">
        <v>25</v>
      </c>
      <c r="D116" s="69" t="s">
        <v>298</v>
      </c>
      <c r="E116" s="69" t="s">
        <v>69</v>
      </c>
      <c r="F116" s="318">
        <v>996</v>
      </c>
      <c r="G116" s="71">
        <v>854</v>
      </c>
      <c r="H116" s="357">
        <f>G116*0.3</f>
        <v>256.2</v>
      </c>
      <c r="I116" s="403">
        <v>21</v>
      </c>
      <c r="J116" s="607">
        <f>ROUND(G116*(1+'29_01_H_2020'!$F$10),2)</f>
        <v>939.4</v>
      </c>
      <c r="K116" s="608">
        <f t="shared" si="131"/>
        <v>939.4</v>
      </c>
      <c r="L116" s="608">
        <f t="shared" si="132"/>
        <v>85.399999999999977</v>
      </c>
      <c r="M116" s="608">
        <f t="shared" si="133"/>
        <v>0</v>
      </c>
      <c r="N116" s="608">
        <f t="shared" si="134"/>
        <v>25.62</v>
      </c>
      <c r="O116" s="608">
        <f t="shared" si="135"/>
        <v>0</v>
      </c>
      <c r="P116" s="609">
        <f t="shared" si="126"/>
        <v>111.01999999999998</v>
      </c>
      <c r="Q116" s="609">
        <f t="shared" si="127"/>
        <v>2331.4199999999996</v>
      </c>
      <c r="R116" s="609">
        <f t="shared" si="128"/>
        <v>27977.039999999994</v>
      </c>
      <c r="S116" s="609">
        <f t="shared" si="129"/>
        <v>6739.67</v>
      </c>
      <c r="T116" s="610">
        <f t="shared" si="136"/>
        <v>34716.709999999992</v>
      </c>
      <c r="U116" s="611"/>
      <c r="V116" s="612"/>
      <c r="W116" s="613"/>
      <c r="X116" s="614"/>
      <c r="Y116" s="614"/>
      <c r="Z116" s="581"/>
      <c r="AA116" s="581"/>
      <c r="AB116" s="615"/>
      <c r="AC116" s="615"/>
      <c r="AD116" s="615"/>
      <c r="AE116" s="615"/>
      <c r="AF116" s="615"/>
      <c r="AG116" s="615"/>
      <c r="AH116" s="615"/>
      <c r="AI116" s="615"/>
      <c r="AJ116" s="615"/>
      <c r="AK116" s="615"/>
      <c r="AL116" s="616"/>
      <c r="AM116" s="581"/>
      <c r="AN116" s="581"/>
      <c r="AO116" s="615"/>
      <c r="AP116" s="615"/>
      <c r="AQ116" s="615"/>
      <c r="AR116" s="615"/>
      <c r="AS116" s="615"/>
      <c r="AT116" s="615"/>
      <c r="AU116" s="615"/>
      <c r="AV116" s="615"/>
      <c r="AW116" s="615"/>
      <c r="AX116" s="615"/>
      <c r="AY116" s="616"/>
      <c r="AZ116" s="581"/>
      <c r="BA116" s="581"/>
      <c r="BB116" s="581"/>
    </row>
    <row r="117" spans="1:55" x14ac:dyDescent="0.25">
      <c r="A117" s="530" t="s">
        <v>310</v>
      </c>
      <c r="B117" s="69" t="s">
        <v>158</v>
      </c>
      <c r="C117" s="69" t="s">
        <v>41</v>
      </c>
      <c r="D117" s="69" t="s">
        <v>300</v>
      </c>
      <c r="E117" s="69" t="s">
        <v>161</v>
      </c>
      <c r="F117" s="318">
        <v>740</v>
      </c>
      <c r="G117" s="71">
        <v>727</v>
      </c>
      <c r="H117" s="357">
        <f t="shared" si="120"/>
        <v>72.7</v>
      </c>
      <c r="I117" s="403">
        <v>1</v>
      </c>
      <c r="J117" s="607">
        <f>ROUND(G117*(1+'29_01_H_2020'!$F$10),2)</f>
        <v>799.7</v>
      </c>
      <c r="K117" s="608">
        <f t="shared" si="131"/>
        <v>740</v>
      </c>
      <c r="L117" s="608">
        <f t="shared" si="132"/>
        <v>13</v>
      </c>
      <c r="M117" s="608">
        <f t="shared" si="133"/>
        <v>59.700000000000045</v>
      </c>
      <c r="N117" s="608">
        <f t="shared" si="134"/>
        <v>1.3</v>
      </c>
      <c r="O117" s="608">
        <f t="shared" si="135"/>
        <v>5.97</v>
      </c>
      <c r="P117" s="609">
        <f t="shared" si="126"/>
        <v>79.970000000000041</v>
      </c>
      <c r="Q117" s="609">
        <f t="shared" si="127"/>
        <v>79.970000000000041</v>
      </c>
      <c r="R117" s="609">
        <f t="shared" si="128"/>
        <v>959.64000000000055</v>
      </c>
      <c r="S117" s="609">
        <f t="shared" si="129"/>
        <v>231.18</v>
      </c>
      <c r="T117" s="610">
        <f t="shared" si="136"/>
        <v>1190.8200000000006</v>
      </c>
      <c r="U117" s="611"/>
      <c r="V117" s="612"/>
      <c r="W117" s="613"/>
      <c r="X117" s="614"/>
      <c r="Y117" s="614"/>
      <c r="Z117" s="581"/>
      <c r="AA117" s="581"/>
      <c r="AB117" s="615"/>
      <c r="AC117" s="615"/>
      <c r="AD117" s="615"/>
      <c r="AE117" s="615"/>
      <c r="AF117" s="615"/>
      <c r="AG117" s="615"/>
      <c r="AH117" s="615"/>
      <c r="AI117" s="615"/>
      <c r="AJ117" s="615"/>
      <c r="AK117" s="615"/>
      <c r="AL117" s="616"/>
      <c r="AM117" s="581"/>
      <c r="AN117" s="581"/>
      <c r="AO117" s="615"/>
      <c r="AP117" s="615"/>
      <c r="AQ117" s="615"/>
      <c r="AR117" s="615"/>
      <c r="AS117" s="615"/>
      <c r="AT117" s="615"/>
      <c r="AU117" s="615"/>
      <c r="AV117" s="615"/>
      <c r="AW117" s="615"/>
      <c r="AX117" s="615"/>
      <c r="AY117" s="616"/>
      <c r="AZ117" s="581"/>
      <c r="BA117" s="581"/>
      <c r="BB117" s="581"/>
    </row>
    <row r="118" spans="1:55" x14ac:dyDescent="0.25">
      <c r="A118" s="530" t="s">
        <v>310</v>
      </c>
      <c r="B118" s="69" t="s">
        <v>158</v>
      </c>
      <c r="C118" s="69" t="s">
        <v>41</v>
      </c>
      <c r="D118" s="69" t="s">
        <v>300</v>
      </c>
      <c r="E118" s="69" t="s">
        <v>69</v>
      </c>
      <c r="F118" s="318">
        <v>899</v>
      </c>
      <c r="G118" s="71">
        <v>810</v>
      </c>
      <c r="H118" s="357">
        <f>G118*0.3</f>
        <v>243</v>
      </c>
      <c r="I118" s="403">
        <v>9</v>
      </c>
      <c r="J118" s="607">
        <f>ROUND(G118*(1+'29_01_H_2020'!$F$10),2)</f>
        <v>891</v>
      </c>
      <c r="K118" s="608">
        <f t="shared" si="131"/>
        <v>891</v>
      </c>
      <c r="L118" s="608">
        <f t="shared" si="132"/>
        <v>81</v>
      </c>
      <c r="M118" s="608">
        <f t="shared" si="133"/>
        <v>0</v>
      </c>
      <c r="N118" s="608">
        <f t="shared" si="134"/>
        <v>24.3</v>
      </c>
      <c r="O118" s="608">
        <f t="shared" si="135"/>
        <v>0</v>
      </c>
      <c r="P118" s="609">
        <f t="shared" si="126"/>
        <v>105.3</v>
      </c>
      <c r="Q118" s="609">
        <f t="shared" si="127"/>
        <v>947.69999999999993</v>
      </c>
      <c r="R118" s="609">
        <f t="shared" si="128"/>
        <v>11372.4</v>
      </c>
      <c r="S118" s="609">
        <f t="shared" si="129"/>
        <v>2739.61</v>
      </c>
      <c r="T118" s="610">
        <f t="shared" si="136"/>
        <v>14112.01</v>
      </c>
      <c r="U118" s="611"/>
      <c r="V118" s="612"/>
      <c r="W118" s="613"/>
      <c r="X118" s="614"/>
      <c r="Y118" s="614"/>
      <c r="Z118" s="581"/>
      <c r="AA118" s="581"/>
      <c r="AB118" s="615"/>
      <c r="AC118" s="615"/>
      <c r="AD118" s="615"/>
      <c r="AE118" s="615"/>
      <c r="AF118" s="615"/>
      <c r="AG118" s="615"/>
      <c r="AH118" s="615"/>
      <c r="AI118" s="615"/>
      <c r="AJ118" s="615"/>
      <c r="AK118" s="615"/>
      <c r="AL118" s="616"/>
      <c r="AM118" s="581"/>
      <c r="AN118" s="581"/>
      <c r="AO118" s="615"/>
      <c r="AP118" s="615"/>
      <c r="AQ118" s="615"/>
      <c r="AR118" s="615"/>
      <c r="AS118" s="615"/>
      <c r="AT118" s="615"/>
      <c r="AU118" s="615"/>
      <c r="AV118" s="615"/>
      <c r="AW118" s="615"/>
      <c r="AX118" s="615"/>
      <c r="AY118" s="616"/>
      <c r="AZ118" s="581"/>
      <c r="BA118" s="581"/>
      <c r="BB118" s="581"/>
    </row>
    <row r="119" spans="1:55" x14ac:dyDescent="0.25">
      <c r="A119" s="531" t="s">
        <v>311</v>
      </c>
      <c r="B119" s="69" t="s">
        <v>158</v>
      </c>
      <c r="C119" s="69" t="s">
        <v>25</v>
      </c>
      <c r="D119" s="69" t="s">
        <v>298</v>
      </c>
      <c r="E119" s="69" t="s">
        <v>69</v>
      </c>
      <c r="F119" s="318">
        <v>996</v>
      </c>
      <c r="G119" s="71">
        <v>854</v>
      </c>
      <c r="H119" s="357">
        <f t="shared" si="120"/>
        <v>85.4</v>
      </c>
      <c r="I119" s="403">
        <v>1</v>
      </c>
      <c r="J119" s="607">
        <f>ROUND(G119*(1+'29_01_H_2020'!$F$10),2)</f>
        <v>939.4</v>
      </c>
      <c r="K119" s="608">
        <f t="shared" si="131"/>
        <v>939.4</v>
      </c>
      <c r="L119" s="608">
        <f t="shared" si="132"/>
        <v>85.399999999999977</v>
      </c>
      <c r="M119" s="608">
        <f t="shared" si="133"/>
        <v>0</v>
      </c>
      <c r="N119" s="608">
        <f t="shared" si="134"/>
        <v>8.5399999999999991</v>
      </c>
      <c r="O119" s="608">
        <f t="shared" si="135"/>
        <v>0</v>
      </c>
      <c r="P119" s="609">
        <f t="shared" si="126"/>
        <v>93.939999999999969</v>
      </c>
      <c r="Q119" s="609">
        <f t="shared" si="127"/>
        <v>93.939999999999969</v>
      </c>
      <c r="R119" s="609">
        <f t="shared" si="128"/>
        <v>1127.2799999999997</v>
      </c>
      <c r="S119" s="609">
        <f t="shared" si="129"/>
        <v>271.56</v>
      </c>
      <c r="T119" s="610">
        <f t="shared" si="136"/>
        <v>1398.8399999999997</v>
      </c>
      <c r="U119" s="611"/>
      <c r="V119" s="612"/>
      <c r="W119" s="613"/>
      <c r="X119" s="614"/>
      <c r="Y119" s="614"/>
      <c r="Z119" s="581"/>
      <c r="AA119" s="581"/>
      <c r="AB119" s="615"/>
      <c r="AC119" s="615"/>
      <c r="AD119" s="615"/>
      <c r="AE119" s="615"/>
      <c r="AF119" s="615"/>
      <c r="AG119" s="615"/>
      <c r="AH119" s="615"/>
      <c r="AI119" s="615"/>
      <c r="AJ119" s="615"/>
      <c r="AK119" s="615"/>
      <c r="AL119" s="616"/>
      <c r="AM119" s="581"/>
      <c r="AN119" s="581"/>
      <c r="AO119" s="615"/>
      <c r="AP119" s="615"/>
      <c r="AQ119" s="615"/>
      <c r="AR119" s="615"/>
      <c r="AS119" s="615"/>
      <c r="AT119" s="615"/>
      <c r="AU119" s="615"/>
      <c r="AV119" s="615"/>
      <c r="AW119" s="615"/>
      <c r="AX119" s="615"/>
      <c r="AY119" s="616"/>
      <c r="AZ119" s="581"/>
      <c r="BA119" s="581"/>
      <c r="BB119" s="581"/>
    </row>
    <row r="120" spans="1:55" x14ac:dyDescent="0.25">
      <c r="A120" s="530" t="s">
        <v>312</v>
      </c>
      <c r="B120" s="70" t="s">
        <v>158</v>
      </c>
      <c r="C120" s="70" t="s">
        <v>25</v>
      </c>
      <c r="D120" s="69" t="s">
        <v>298</v>
      </c>
      <c r="E120" s="69" t="s">
        <v>69</v>
      </c>
      <c r="F120" s="318">
        <v>996</v>
      </c>
      <c r="G120" s="73">
        <v>776</v>
      </c>
      <c r="H120" s="678">
        <v>0</v>
      </c>
      <c r="I120" s="409">
        <v>1</v>
      </c>
      <c r="J120" s="607">
        <f>ROUND(G120*(1+'29_01_H_2020'!$F$10),2)</f>
        <v>853.6</v>
      </c>
      <c r="K120" s="608">
        <f t="shared" si="131"/>
        <v>853.6</v>
      </c>
      <c r="L120" s="608">
        <f t="shared" si="132"/>
        <v>77.600000000000023</v>
      </c>
      <c r="M120" s="608">
        <f t="shared" si="133"/>
        <v>0</v>
      </c>
      <c r="N120" s="608">
        <f t="shared" si="134"/>
        <v>0</v>
      </c>
      <c r="O120" s="608">
        <f t="shared" si="135"/>
        <v>0</v>
      </c>
      <c r="P120" s="609">
        <f t="shared" si="126"/>
        <v>77.600000000000023</v>
      </c>
      <c r="Q120" s="609">
        <f t="shared" si="127"/>
        <v>77.600000000000023</v>
      </c>
      <c r="R120" s="609">
        <f t="shared" si="128"/>
        <v>931.20000000000027</v>
      </c>
      <c r="S120" s="609">
        <f t="shared" si="129"/>
        <v>224.33</v>
      </c>
      <c r="T120" s="610">
        <f t="shared" si="136"/>
        <v>1155.5300000000002</v>
      </c>
      <c r="U120" s="611"/>
      <c r="V120" s="612"/>
      <c r="W120" s="613"/>
      <c r="X120" s="614"/>
      <c r="Y120" s="614"/>
      <c r="Z120" s="581"/>
      <c r="AA120" s="581"/>
      <c r="AB120" s="615"/>
      <c r="AC120" s="615"/>
      <c r="AD120" s="615"/>
      <c r="AE120" s="615"/>
      <c r="AF120" s="615"/>
      <c r="AG120" s="615"/>
      <c r="AH120" s="615"/>
      <c r="AI120" s="615"/>
      <c r="AJ120" s="615"/>
      <c r="AK120" s="615"/>
      <c r="AL120" s="616"/>
      <c r="AM120" s="616"/>
      <c r="AN120" s="581"/>
      <c r="AO120" s="615"/>
      <c r="AP120" s="615"/>
      <c r="AQ120" s="615"/>
      <c r="AR120" s="615"/>
      <c r="AS120" s="615"/>
      <c r="AT120" s="615"/>
      <c r="AU120" s="615"/>
      <c r="AV120" s="615"/>
      <c r="AW120" s="615"/>
      <c r="AX120" s="615"/>
      <c r="AY120" s="616"/>
      <c r="AZ120" s="581"/>
      <c r="BA120" s="581"/>
      <c r="BB120" s="581"/>
    </row>
    <row r="121" spans="1:55" x14ac:dyDescent="0.25">
      <c r="A121" s="531" t="s">
        <v>271</v>
      </c>
      <c r="B121" s="69" t="s">
        <v>158</v>
      </c>
      <c r="C121" s="69" t="s">
        <v>18</v>
      </c>
      <c r="D121" s="69" t="s">
        <v>296</v>
      </c>
      <c r="E121" s="69" t="s">
        <v>69</v>
      </c>
      <c r="F121" s="318">
        <v>1093</v>
      </c>
      <c r="G121" s="71">
        <v>942</v>
      </c>
      <c r="H121" s="357">
        <v>0</v>
      </c>
      <c r="I121" s="403">
        <v>2</v>
      </c>
      <c r="J121" s="607">
        <f>ROUND(G121*(1+'29_01_H_2020'!$F$10),2)</f>
        <v>1036.2</v>
      </c>
      <c r="K121" s="608">
        <f t="shared" si="131"/>
        <v>1036.2</v>
      </c>
      <c r="L121" s="608">
        <f t="shared" si="132"/>
        <v>94.200000000000045</v>
      </c>
      <c r="M121" s="608">
        <f t="shared" si="133"/>
        <v>0</v>
      </c>
      <c r="N121" s="608">
        <f t="shared" si="134"/>
        <v>0</v>
      </c>
      <c r="O121" s="608">
        <f t="shared" si="135"/>
        <v>0</v>
      </c>
      <c r="P121" s="609">
        <f t="shared" si="126"/>
        <v>94.200000000000045</v>
      </c>
      <c r="Q121" s="609">
        <f t="shared" si="127"/>
        <v>188.40000000000009</v>
      </c>
      <c r="R121" s="609">
        <f t="shared" si="128"/>
        <v>2260.8000000000011</v>
      </c>
      <c r="S121" s="609">
        <f t="shared" si="129"/>
        <v>544.63</v>
      </c>
      <c r="T121" s="610">
        <f t="shared" si="136"/>
        <v>2805.4300000000012</v>
      </c>
      <c r="U121" s="611"/>
      <c r="V121" s="612"/>
      <c r="W121" s="613"/>
      <c r="X121" s="614"/>
      <c r="Y121" s="614"/>
      <c r="Z121" s="581"/>
      <c r="AA121" s="581"/>
      <c r="AB121" s="615"/>
      <c r="AC121" s="615"/>
      <c r="AD121" s="615"/>
      <c r="AE121" s="615"/>
      <c r="AF121" s="615"/>
      <c r="AG121" s="615"/>
      <c r="AH121" s="615"/>
      <c r="AI121" s="615"/>
      <c r="AJ121" s="615"/>
      <c r="AK121" s="615"/>
      <c r="AL121" s="616"/>
      <c r="AM121" s="581"/>
      <c r="AN121" s="581"/>
      <c r="AO121" s="615"/>
      <c r="AP121" s="615"/>
      <c r="AQ121" s="615"/>
      <c r="AR121" s="615"/>
      <c r="AS121" s="615"/>
      <c r="AT121" s="615"/>
      <c r="AU121" s="615"/>
      <c r="AV121" s="615"/>
      <c r="AW121" s="615"/>
      <c r="AX121" s="615"/>
      <c r="AY121" s="616"/>
      <c r="AZ121" s="581"/>
      <c r="BA121" s="581"/>
      <c r="BB121" s="581"/>
    </row>
    <row r="122" spans="1:55" x14ac:dyDescent="0.25">
      <c r="A122" s="530" t="s">
        <v>271</v>
      </c>
      <c r="B122" s="69" t="s">
        <v>158</v>
      </c>
      <c r="C122" s="69" t="s">
        <v>18</v>
      </c>
      <c r="D122" s="69" t="s">
        <v>296</v>
      </c>
      <c r="E122" s="69" t="s">
        <v>69</v>
      </c>
      <c r="F122" s="318">
        <v>1093</v>
      </c>
      <c r="G122" s="71">
        <v>1048</v>
      </c>
      <c r="H122" s="357">
        <v>0</v>
      </c>
      <c r="I122" s="403">
        <v>3</v>
      </c>
      <c r="J122" s="607">
        <f>ROUND(G122*(1+'29_01_H_2020'!$F$10),2)</f>
        <v>1152.8</v>
      </c>
      <c r="K122" s="608">
        <f t="shared" si="131"/>
        <v>1093</v>
      </c>
      <c r="L122" s="608">
        <f t="shared" si="132"/>
        <v>45</v>
      </c>
      <c r="M122" s="608">
        <f t="shared" si="133"/>
        <v>59.799999999999955</v>
      </c>
      <c r="N122" s="608">
        <f t="shared" si="134"/>
        <v>0</v>
      </c>
      <c r="O122" s="608">
        <f t="shared" si="135"/>
        <v>0</v>
      </c>
      <c r="P122" s="609">
        <f t="shared" si="126"/>
        <v>104.79999999999995</v>
      </c>
      <c r="Q122" s="609">
        <f t="shared" si="127"/>
        <v>314.39999999999986</v>
      </c>
      <c r="R122" s="609">
        <f t="shared" si="128"/>
        <v>3772.7999999999984</v>
      </c>
      <c r="S122" s="609">
        <f t="shared" si="129"/>
        <v>908.87</v>
      </c>
      <c r="T122" s="610">
        <f t="shared" si="136"/>
        <v>4681.6699999999983</v>
      </c>
      <c r="U122" s="611"/>
      <c r="V122" s="612"/>
      <c r="W122" s="613"/>
      <c r="X122" s="614"/>
      <c r="Y122" s="614"/>
      <c r="Z122" s="581"/>
      <c r="AA122" s="581"/>
      <c r="AB122" s="615"/>
      <c r="AC122" s="615"/>
      <c r="AD122" s="615"/>
      <c r="AE122" s="615"/>
      <c r="AF122" s="615"/>
      <c r="AG122" s="615"/>
      <c r="AH122" s="615"/>
      <c r="AI122" s="615"/>
      <c r="AJ122" s="615"/>
      <c r="AK122" s="615"/>
      <c r="AL122" s="616"/>
      <c r="AM122" s="581"/>
      <c r="AN122" s="581"/>
      <c r="AO122" s="615"/>
      <c r="AP122" s="615"/>
      <c r="AQ122" s="615"/>
      <c r="AR122" s="615"/>
      <c r="AS122" s="615"/>
      <c r="AT122" s="615"/>
      <c r="AU122" s="615"/>
      <c r="AV122" s="615"/>
      <c r="AW122" s="615"/>
      <c r="AX122" s="615"/>
      <c r="AY122" s="616"/>
      <c r="AZ122" s="581"/>
      <c r="BA122" s="581"/>
      <c r="BB122" s="581"/>
    </row>
    <row r="123" spans="1:55" x14ac:dyDescent="0.25">
      <c r="A123" s="530" t="s">
        <v>313</v>
      </c>
      <c r="B123" s="69" t="s">
        <v>158</v>
      </c>
      <c r="C123" s="69" t="s">
        <v>25</v>
      </c>
      <c r="D123" s="69" t="s">
        <v>298</v>
      </c>
      <c r="E123" s="69" t="s">
        <v>69</v>
      </c>
      <c r="F123" s="318">
        <v>996</v>
      </c>
      <c r="G123" s="71">
        <v>918</v>
      </c>
      <c r="H123" s="357">
        <f t="shared" si="120"/>
        <v>91.800000000000011</v>
      </c>
      <c r="I123" s="403">
        <v>2</v>
      </c>
      <c r="J123" s="607">
        <f>ROUND(G123*(1+'29_01_H_2020'!$F$10),2)</f>
        <v>1009.8</v>
      </c>
      <c r="K123" s="608">
        <f t="shared" si="131"/>
        <v>996</v>
      </c>
      <c r="L123" s="608">
        <f t="shared" si="132"/>
        <v>78</v>
      </c>
      <c r="M123" s="608">
        <f t="shared" si="133"/>
        <v>13.799999999999955</v>
      </c>
      <c r="N123" s="608">
        <f t="shared" si="134"/>
        <v>7.8</v>
      </c>
      <c r="O123" s="608">
        <f t="shared" si="135"/>
        <v>1.38</v>
      </c>
      <c r="P123" s="609">
        <f t="shared" si="126"/>
        <v>100.97999999999995</v>
      </c>
      <c r="Q123" s="609">
        <f t="shared" si="127"/>
        <v>201.95999999999989</v>
      </c>
      <c r="R123" s="609">
        <f t="shared" si="128"/>
        <v>2423.5199999999986</v>
      </c>
      <c r="S123" s="609">
        <f t="shared" si="129"/>
        <v>583.83000000000004</v>
      </c>
      <c r="T123" s="610">
        <f t="shared" si="136"/>
        <v>3007.3499999999985</v>
      </c>
      <c r="U123" s="611"/>
      <c r="V123" s="612"/>
      <c r="W123" s="613"/>
      <c r="X123" s="614"/>
      <c r="Y123" s="614"/>
      <c r="Z123" s="581"/>
      <c r="AA123" s="581"/>
      <c r="AB123" s="615"/>
      <c r="AC123" s="615"/>
      <c r="AD123" s="615"/>
      <c r="AE123" s="615"/>
      <c r="AF123" s="615"/>
      <c r="AG123" s="615"/>
      <c r="AH123" s="615"/>
      <c r="AI123" s="615"/>
      <c r="AJ123" s="615"/>
      <c r="AK123" s="615"/>
      <c r="AL123" s="616"/>
      <c r="AM123" s="581"/>
      <c r="AN123" s="581"/>
      <c r="AO123" s="615"/>
      <c r="AP123" s="615"/>
      <c r="AQ123" s="615"/>
      <c r="AR123" s="615"/>
      <c r="AS123" s="615"/>
      <c r="AT123" s="615"/>
      <c r="AU123" s="615"/>
      <c r="AV123" s="615"/>
      <c r="AW123" s="615"/>
      <c r="AX123" s="615"/>
      <c r="AY123" s="616"/>
      <c r="AZ123" s="581"/>
      <c r="BA123" s="581"/>
      <c r="BB123" s="581"/>
    </row>
    <row r="124" spans="1:55" x14ac:dyDescent="0.25">
      <c r="A124" s="617" t="s">
        <v>55</v>
      </c>
      <c r="B124" s="618" t="s">
        <v>52</v>
      </c>
      <c r="C124" s="619" t="s">
        <v>52</v>
      </c>
      <c r="D124" s="619" t="s">
        <v>52</v>
      </c>
      <c r="E124" s="619" t="s">
        <v>52</v>
      </c>
      <c r="F124" s="620" t="s">
        <v>52</v>
      </c>
      <c r="G124" s="620" t="s">
        <v>52</v>
      </c>
      <c r="H124" s="620" t="s">
        <v>52</v>
      </c>
      <c r="I124" s="406">
        <f>SUM(I114:I123)</f>
        <v>44</v>
      </c>
      <c r="J124" s="621"/>
      <c r="K124" s="622"/>
      <c r="L124" s="622"/>
      <c r="M124" s="622"/>
      <c r="N124" s="622"/>
      <c r="O124" s="622"/>
      <c r="P124" s="623"/>
      <c r="Q124" s="623"/>
      <c r="R124" s="623"/>
      <c r="S124" s="623"/>
      <c r="T124" s="624"/>
      <c r="U124" s="581"/>
      <c r="V124" s="581"/>
      <c r="W124" s="581"/>
      <c r="X124" s="581"/>
      <c r="Y124" s="581"/>
      <c r="Z124" s="581"/>
      <c r="AA124" s="581"/>
      <c r="AB124" s="581"/>
      <c r="AC124" s="581"/>
      <c r="AD124" s="581"/>
      <c r="AE124" s="581"/>
      <c r="AF124" s="581"/>
      <c r="AG124" s="581"/>
      <c r="AH124" s="581"/>
      <c r="AI124" s="581"/>
      <c r="AJ124" s="581"/>
      <c r="AK124" s="581"/>
      <c r="AL124" s="581"/>
      <c r="AM124" s="581"/>
      <c r="AN124" s="581"/>
      <c r="AO124" s="581"/>
      <c r="AP124" s="581"/>
      <c r="AQ124" s="581"/>
      <c r="AR124" s="581"/>
      <c r="AS124" s="581"/>
      <c r="AT124" s="581"/>
      <c r="AU124" s="581"/>
      <c r="AV124" s="581"/>
      <c r="AW124" s="581"/>
      <c r="AX124" s="581"/>
      <c r="AY124" s="581"/>
      <c r="AZ124" s="581"/>
      <c r="BA124" s="581"/>
      <c r="BB124" s="581"/>
    </row>
    <row r="125" spans="1:55" x14ac:dyDescent="0.25">
      <c r="A125" s="672" t="s">
        <v>314</v>
      </c>
      <c r="B125" s="679" t="s">
        <v>52</v>
      </c>
      <c r="C125" s="679" t="s">
        <v>52</v>
      </c>
      <c r="D125" s="679" t="s">
        <v>52</v>
      </c>
      <c r="E125" s="679" t="s">
        <v>52</v>
      </c>
      <c r="F125" s="679" t="s">
        <v>52</v>
      </c>
      <c r="G125" s="679" t="s">
        <v>52</v>
      </c>
      <c r="H125" s="679" t="s">
        <v>52</v>
      </c>
      <c r="I125" s="408">
        <f>I112+I124</f>
        <v>61</v>
      </c>
      <c r="J125" s="674"/>
      <c r="K125" s="675"/>
      <c r="L125" s="675"/>
      <c r="M125" s="675"/>
      <c r="N125" s="675"/>
      <c r="O125" s="675"/>
      <c r="P125" s="676"/>
      <c r="Q125" s="676"/>
      <c r="R125" s="676"/>
      <c r="S125" s="676"/>
      <c r="T125" s="677"/>
      <c r="U125" s="581"/>
      <c r="V125" s="581"/>
      <c r="W125" s="581"/>
      <c r="X125" s="581"/>
      <c r="Y125" s="581"/>
      <c r="Z125" s="581"/>
      <c r="AA125" s="581"/>
      <c r="AB125" s="581"/>
      <c r="AC125" s="581"/>
      <c r="AD125" s="581"/>
      <c r="AE125" s="581"/>
      <c r="AF125" s="581"/>
      <c r="AG125" s="581"/>
      <c r="AH125" s="581"/>
      <c r="AI125" s="581"/>
      <c r="AJ125" s="581"/>
      <c r="AK125" s="581"/>
      <c r="AL125" s="581"/>
      <c r="AM125" s="581"/>
      <c r="AN125" s="581"/>
      <c r="AO125" s="581"/>
      <c r="AP125" s="581"/>
      <c r="AQ125" s="581"/>
      <c r="AR125" s="581"/>
      <c r="AS125" s="581"/>
      <c r="AT125" s="581"/>
      <c r="AU125" s="581"/>
      <c r="AV125" s="581"/>
      <c r="AW125" s="581"/>
      <c r="AX125" s="581"/>
      <c r="AY125" s="581"/>
      <c r="AZ125" s="581"/>
      <c r="BA125" s="581"/>
      <c r="BB125" s="581"/>
      <c r="BC125" s="581"/>
    </row>
    <row r="126" spans="1:55" x14ac:dyDescent="0.25">
      <c r="A126" s="926" t="s">
        <v>315</v>
      </c>
      <c r="B126" s="927"/>
      <c r="C126" s="927"/>
      <c r="D126" s="927"/>
      <c r="E126" s="927"/>
      <c r="F126" s="927"/>
      <c r="G126" s="927"/>
      <c r="H126" s="927"/>
      <c r="I126" s="928"/>
      <c r="J126" s="666"/>
      <c r="K126" s="667"/>
      <c r="L126" s="667"/>
      <c r="M126" s="667"/>
      <c r="N126" s="667"/>
      <c r="O126" s="667"/>
      <c r="P126" s="668"/>
      <c r="Q126" s="668"/>
      <c r="R126" s="668"/>
      <c r="S126" s="668"/>
      <c r="T126" s="669"/>
      <c r="U126" s="581"/>
      <c r="V126" s="581"/>
      <c r="W126" s="581"/>
      <c r="X126" s="581"/>
      <c r="Y126" s="581"/>
      <c r="Z126" s="581"/>
      <c r="AA126" s="581"/>
      <c r="AB126" s="581"/>
      <c r="AC126" s="581"/>
      <c r="AD126" s="581"/>
      <c r="AE126" s="581"/>
      <c r="AF126" s="581"/>
      <c r="AG126" s="581"/>
      <c r="AH126" s="581"/>
      <c r="AI126" s="581"/>
      <c r="AJ126" s="581"/>
      <c r="AK126" s="581"/>
      <c r="AL126" s="581"/>
      <c r="AM126" s="581"/>
      <c r="AN126" s="581"/>
      <c r="AO126" s="581"/>
      <c r="AP126" s="581"/>
      <c r="AQ126" s="581"/>
      <c r="AR126" s="581"/>
      <c r="AS126" s="581"/>
      <c r="AT126" s="581"/>
      <c r="AU126" s="581"/>
      <c r="AV126" s="581"/>
      <c r="AW126" s="581"/>
      <c r="AX126" s="581"/>
      <c r="AY126" s="581"/>
      <c r="AZ126" s="581"/>
      <c r="BA126" s="581"/>
      <c r="BB126" s="581"/>
      <c r="BC126" s="581"/>
    </row>
    <row r="127" spans="1:55" x14ac:dyDescent="0.25">
      <c r="A127" s="912" t="s">
        <v>10</v>
      </c>
      <c r="B127" s="913"/>
      <c r="C127" s="913"/>
      <c r="D127" s="913"/>
      <c r="E127" s="913"/>
      <c r="F127" s="913"/>
      <c r="G127" s="913"/>
      <c r="H127" s="913"/>
      <c r="I127" s="914"/>
      <c r="J127" s="625"/>
      <c r="K127" s="626"/>
      <c r="L127" s="626"/>
      <c r="M127" s="626"/>
      <c r="N127" s="626"/>
      <c r="O127" s="626"/>
      <c r="P127" s="603"/>
      <c r="Q127" s="603"/>
      <c r="R127" s="603"/>
      <c r="S127" s="603"/>
      <c r="T127" s="604"/>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1"/>
      <c r="AY127" s="581"/>
      <c r="AZ127" s="581"/>
      <c r="BA127" s="581"/>
      <c r="BB127" s="581"/>
      <c r="BC127" s="581"/>
    </row>
    <row r="128" spans="1:55" x14ac:dyDescent="0.25">
      <c r="A128" s="57" t="s">
        <v>307</v>
      </c>
      <c r="B128" s="46">
        <v>5.0999999999999996</v>
      </c>
      <c r="C128" s="605" t="s">
        <v>25</v>
      </c>
      <c r="D128" s="317">
        <v>10</v>
      </c>
      <c r="E128" s="317">
        <v>3</v>
      </c>
      <c r="F128" s="319">
        <v>1287</v>
      </c>
      <c r="G128" s="357">
        <v>1272</v>
      </c>
      <c r="H128" s="357">
        <f t="shared" ref="H128:H131" si="137">G128*0.1</f>
        <v>127.2</v>
      </c>
      <c r="I128" s="405">
        <v>0.5</v>
      </c>
      <c r="J128" s="607">
        <f>ROUND(G128*(1+'29_01_H_2020'!$F$14),2)</f>
        <v>1399.2</v>
      </c>
      <c r="K128" s="608">
        <f t="shared" ref="K128" si="138">IF(J128&lt;=F128,J128,F128)</f>
        <v>1287</v>
      </c>
      <c r="L128" s="608">
        <f t="shared" ref="L128" si="139">K128-G128</f>
        <v>15</v>
      </c>
      <c r="M128" s="608">
        <f t="shared" ref="M128" si="140">J128-K128</f>
        <v>112.20000000000005</v>
      </c>
      <c r="N128" s="608">
        <f t="shared" ref="N128" si="141">ROUND(H128/G128*K128-H128,2)</f>
        <v>1.5</v>
      </c>
      <c r="O128" s="608">
        <f t="shared" ref="O128" si="142">ROUND(H128/G128*J128-H128-N128,2)</f>
        <v>11.22</v>
      </c>
      <c r="P128" s="609">
        <f t="shared" ref="P128:P131" si="143">L128+M128+N128+O128</f>
        <v>139.92000000000004</v>
      </c>
      <c r="Q128" s="609">
        <f>P128*I128</f>
        <v>69.960000000000022</v>
      </c>
      <c r="R128" s="609">
        <f t="shared" ref="R128:R131" si="144">Q128*12</f>
        <v>839.52000000000021</v>
      </c>
      <c r="S128" s="609">
        <f t="shared" ref="S128:S131" si="145">ROUND(R128*0.2409,2)</f>
        <v>202.24</v>
      </c>
      <c r="T128" s="610">
        <f t="shared" ref="T128" si="146">SUM(R128:S128)</f>
        <v>1041.7600000000002</v>
      </c>
      <c r="U128" s="611"/>
      <c r="V128" s="612"/>
      <c r="W128" s="613"/>
      <c r="X128" s="614"/>
      <c r="Y128" s="614"/>
      <c r="Z128" s="581"/>
      <c r="AA128" s="581"/>
      <c r="AB128" s="615"/>
      <c r="AC128" s="615"/>
      <c r="AD128" s="615"/>
      <c r="AE128" s="615"/>
      <c r="AF128" s="615"/>
      <c r="AG128" s="615"/>
      <c r="AH128" s="615"/>
      <c r="AI128" s="615"/>
      <c r="AJ128" s="615"/>
      <c r="AK128" s="615"/>
      <c r="AL128" s="616"/>
      <c r="AM128" s="581"/>
      <c r="AN128" s="581"/>
      <c r="AO128" s="615"/>
      <c r="AP128" s="615"/>
      <c r="AQ128" s="615"/>
      <c r="AR128" s="615"/>
      <c r="AS128" s="615"/>
      <c r="AT128" s="615"/>
      <c r="AU128" s="615"/>
      <c r="AV128" s="615"/>
      <c r="AW128" s="615"/>
      <c r="AX128" s="615"/>
      <c r="AY128" s="616"/>
      <c r="AZ128" s="581"/>
      <c r="BA128" s="581"/>
      <c r="BB128" s="581"/>
      <c r="BC128" s="581"/>
    </row>
    <row r="129" spans="1:55" x14ac:dyDescent="0.25">
      <c r="A129" s="57" t="s">
        <v>291</v>
      </c>
      <c r="B129" s="46">
        <v>5.0999999999999996</v>
      </c>
      <c r="C129" s="605" t="s">
        <v>25</v>
      </c>
      <c r="D129" s="317">
        <v>10</v>
      </c>
      <c r="E129" s="317">
        <v>3</v>
      </c>
      <c r="F129" s="319">
        <v>1287</v>
      </c>
      <c r="G129" s="357">
        <v>1272</v>
      </c>
      <c r="H129" s="357">
        <f t="shared" si="137"/>
        <v>127.2</v>
      </c>
      <c r="I129" s="405">
        <v>3</v>
      </c>
      <c r="J129" s="607">
        <f>ROUND(G129*(1+'29_01_H_2020'!$F$14),2)</f>
        <v>1399.2</v>
      </c>
      <c r="K129" s="608">
        <f t="shared" ref="K129:K131" si="147">IF(J129&lt;=F129,J129,F129)</f>
        <v>1287</v>
      </c>
      <c r="L129" s="608">
        <f t="shared" ref="L129:L131" si="148">K129-G129</f>
        <v>15</v>
      </c>
      <c r="M129" s="608">
        <f t="shared" ref="M129:M131" si="149">J129-K129</f>
        <v>112.20000000000005</v>
      </c>
      <c r="N129" s="608">
        <f t="shared" ref="N129:N131" si="150">ROUND(H129/G129*K129-H129,2)</f>
        <v>1.5</v>
      </c>
      <c r="O129" s="608">
        <f t="shared" ref="O129:O131" si="151">ROUND(H129/G129*J129-H129-N129,2)</f>
        <v>11.22</v>
      </c>
      <c r="P129" s="609">
        <f t="shared" si="143"/>
        <v>139.92000000000004</v>
      </c>
      <c r="Q129" s="609">
        <f>P129*I129</f>
        <v>419.7600000000001</v>
      </c>
      <c r="R129" s="609">
        <f t="shared" si="144"/>
        <v>5037.1200000000008</v>
      </c>
      <c r="S129" s="609">
        <f t="shared" si="145"/>
        <v>1213.44</v>
      </c>
      <c r="T129" s="610">
        <f t="shared" ref="T129:T131" si="152">SUM(R129:S129)</f>
        <v>6250.5600000000013</v>
      </c>
      <c r="U129" s="611"/>
      <c r="V129" s="612"/>
      <c r="W129" s="613"/>
      <c r="X129" s="614"/>
      <c r="Y129" s="614"/>
      <c r="Z129" s="581"/>
      <c r="AA129" s="581"/>
      <c r="AB129" s="615"/>
      <c r="AC129" s="615"/>
      <c r="AD129" s="615"/>
      <c r="AE129" s="615"/>
      <c r="AF129" s="615"/>
      <c r="AG129" s="615"/>
      <c r="AH129" s="615"/>
      <c r="AI129" s="615"/>
      <c r="AJ129" s="615"/>
      <c r="AK129" s="615"/>
      <c r="AL129" s="616"/>
      <c r="AM129" s="581"/>
      <c r="AN129" s="581"/>
      <c r="AO129" s="615"/>
      <c r="AP129" s="615"/>
      <c r="AQ129" s="615"/>
      <c r="AR129" s="615"/>
      <c r="AS129" s="615"/>
      <c r="AT129" s="615"/>
      <c r="AU129" s="615"/>
      <c r="AV129" s="615"/>
      <c r="AW129" s="615"/>
      <c r="AX129" s="615"/>
      <c r="AY129" s="616"/>
      <c r="AZ129" s="581"/>
      <c r="BA129" s="581"/>
      <c r="BB129" s="581"/>
      <c r="BC129" s="581"/>
    </row>
    <row r="130" spans="1:55" x14ac:dyDescent="0.25">
      <c r="A130" s="57" t="s">
        <v>294</v>
      </c>
      <c r="B130" s="46">
        <v>5.0999999999999996</v>
      </c>
      <c r="C130" s="605" t="s">
        <v>295</v>
      </c>
      <c r="D130" s="317">
        <v>9</v>
      </c>
      <c r="E130" s="317">
        <v>3</v>
      </c>
      <c r="F130" s="319">
        <v>1190</v>
      </c>
      <c r="G130" s="357">
        <v>1078.8</v>
      </c>
      <c r="H130" s="357">
        <f t="shared" si="137"/>
        <v>107.88</v>
      </c>
      <c r="I130" s="405">
        <v>2.1</v>
      </c>
      <c r="J130" s="607">
        <f>ROUND(G130*(1+'29_01_H_2020'!$F$14),2)</f>
        <v>1186.68</v>
      </c>
      <c r="K130" s="608">
        <f t="shared" si="147"/>
        <v>1186.68</v>
      </c>
      <c r="L130" s="608">
        <f t="shared" si="148"/>
        <v>107.88000000000011</v>
      </c>
      <c r="M130" s="608">
        <f t="shared" si="149"/>
        <v>0</v>
      </c>
      <c r="N130" s="608">
        <f t="shared" si="150"/>
        <v>10.79</v>
      </c>
      <c r="O130" s="608">
        <f t="shared" si="151"/>
        <v>0</v>
      </c>
      <c r="P130" s="609">
        <f t="shared" si="143"/>
        <v>118.6700000000001</v>
      </c>
      <c r="Q130" s="609">
        <f>P130*I130</f>
        <v>249.20700000000022</v>
      </c>
      <c r="R130" s="609">
        <f t="shared" si="144"/>
        <v>2990.4840000000027</v>
      </c>
      <c r="S130" s="609">
        <f t="shared" si="145"/>
        <v>720.41</v>
      </c>
      <c r="T130" s="610">
        <f t="shared" si="152"/>
        <v>3710.8940000000025</v>
      </c>
      <c r="U130" s="611"/>
      <c r="V130" s="612"/>
      <c r="W130" s="613"/>
      <c r="X130" s="614"/>
      <c r="Y130" s="614"/>
      <c r="Z130" s="581"/>
      <c r="AA130" s="581"/>
      <c r="AB130" s="615"/>
      <c r="AC130" s="615"/>
      <c r="AD130" s="615"/>
      <c r="AE130" s="615"/>
      <c r="AF130" s="615"/>
      <c r="AG130" s="615"/>
      <c r="AH130" s="615"/>
      <c r="AI130" s="615"/>
      <c r="AJ130" s="615"/>
      <c r="AK130" s="615"/>
      <c r="AL130" s="616"/>
      <c r="AM130" s="581"/>
      <c r="AN130" s="581"/>
      <c r="AO130" s="615"/>
      <c r="AP130" s="615"/>
      <c r="AQ130" s="615"/>
      <c r="AR130" s="615"/>
      <c r="AS130" s="615"/>
      <c r="AT130" s="615"/>
      <c r="AU130" s="615"/>
      <c r="AV130" s="615"/>
      <c r="AW130" s="615"/>
      <c r="AX130" s="615"/>
      <c r="AY130" s="616"/>
      <c r="AZ130" s="581"/>
      <c r="BA130" s="581"/>
      <c r="BB130" s="581"/>
      <c r="BC130" s="581"/>
    </row>
    <row r="131" spans="1:55" x14ac:dyDescent="0.25">
      <c r="A131" s="57" t="s">
        <v>316</v>
      </c>
      <c r="B131" s="46">
        <v>5.0999999999999996</v>
      </c>
      <c r="C131" s="605" t="s">
        <v>295</v>
      </c>
      <c r="D131" s="317">
        <v>9</v>
      </c>
      <c r="E131" s="317">
        <v>3</v>
      </c>
      <c r="F131" s="319">
        <v>1190</v>
      </c>
      <c r="G131" s="357">
        <v>1078.8</v>
      </c>
      <c r="H131" s="357">
        <f t="shared" si="137"/>
        <v>107.88</v>
      </c>
      <c r="I131" s="405">
        <v>0.75</v>
      </c>
      <c r="J131" s="607">
        <f>ROUND(G131*(1+'29_01_H_2020'!$F$14),2)</f>
        <v>1186.68</v>
      </c>
      <c r="K131" s="608">
        <f t="shared" si="147"/>
        <v>1186.68</v>
      </c>
      <c r="L131" s="608">
        <f t="shared" si="148"/>
        <v>107.88000000000011</v>
      </c>
      <c r="M131" s="608">
        <f t="shared" si="149"/>
        <v>0</v>
      </c>
      <c r="N131" s="608">
        <f t="shared" si="150"/>
        <v>10.79</v>
      </c>
      <c r="O131" s="608">
        <f t="shared" si="151"/>
        <v>0</v>
      </c>
      <c r="P131" s="609">
        <f t="shared" si="143"/>
        <v>118.6700000000001</v>
      </c>
      <c r="Q131" s="609">
        <f>P131*I131</f>
        <v>89.002500000000083</v>
      </c>
      <c r="R131" s="609">
        <f t="shared" si="144"/>
        <v>1068.0300000000011</v>
      </c>
      <c r="S131" s="609">
        <f t="shared" si="145"/>
        <v>257.29000000000002</v>
      </c>
      <c r="T131" s="610">
        <f t="shared" si="152"/>
        <v>1325.3200000000011</v>
      </c>
      <c r="U131" s="611"/>
      <c r="V131" s="612"/>
      <c r="W131" s="613"/>
      <c r="X131" s="614"/>
      <c r="Y131" s="614"/>
      <c r="Z131" s="581"/>
      <c r="AA131" s="581"/>
      <c r="AB131" s="615"/>
      <c r="AC131" s="615"/>
      <c r="AD131" s="615"/>
      <c r="AE131" s="615"/>
      <c r="AF131" s="615"/>
      <c r="AG131" s="615"/>
      <c r="AH131" s="615"/>
      <c r="AI131" s="615"/>
      <c r="AJ131" s="615"/>
      <c r="AK131" s="615"/>
      <c r="AL131" s="616"/>
      <c r="AM131" s="581"/>
      <c r="AN131" s="581"/>
      <c r="AO131" s="615"/>
      <c r="AP131" s="615"/>
      <c r="AQ131" s="615"/>
      <c r="AR131" s="615"/>
      <c r="AS131" s="615"/>
      <c r="AT131" s="615"/>
      <c r="AU131" s="615"/>
      <c r="AV131" s="615"/>
      <c r="AW131" s="615"/>
      <c r="AX131" s="615"/>
      <c r="AY131" s="616"/>
      <c r="AZ131" s="581"/>
      <c r="BA131" s="581"/>
      <c r="BB131" s="581"/>
      <c r="BC131" s="581"/>
    </row>
    <row r="132" spans="1:55" x14ac:dyDescent="0.25">
      <c r="A132" s="617" t="s">
        <v>55</v>
      </c>
      <c r="B132" s="618" t="s">
        <v>52</v>
      </c>
      <c r="C132" s="619" t="s">
        <v>52</v>
      </c>
      <c r="D132" s="619" t="s">
        <v>52</v>
      </c>
      <c r="E132" s="619" t="s">
        <v>52</v>
      </c>
      <c r="F132" s="620" t="s">
        <v>52</v>
      </c>
      <c r="G132" s="620" t="s">
        <v>52</v>
      </c>
      <c r="H132" s="620" t="s">
        <v>52</v>
      </c>
      <c r="I132" s="406">
        <f>SUM(I128:I131)</f>
        <v>6.35</v>
      </c>
      <c r="J132" s="621"/>
      <c r="K132" s="622"/>
      <c r="L132" s="622"/>
      <c r="M132" s="622"/>
      <c r="N132" s="622"/>
      <c r="O132" s="622"/>
      <c r="P132" s="623"/>
      <c r="Q132" s="623"/>
      <c r="R132" s="623"/>
      <c r="S132" s="623"/>
      <c r="T132" s="624"/>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1"/>
      <c r="AY132" s="581"/>
      <c r="AZ132" s="581"/>
      <c r="BA132" s="581"/>
      <c r="BB132" s="581"/>
      <c r="BC132" s="581"/>
    </row>
    <row r="133" spans="1:55" x14ac:dyDescent="0.25">
      <c r="A133" s="931" t="s">
        <v>27</v>
      </c>
      <c r="B133" s="932"/>
      <c r="C133" s="932"/>
      <c r="D133" s="932"/>
      <c r="E133" s="932"/>
      <c r="F133" s="932"/>
      <c r="G133" s="932"/>
      <c r="H133" s="932"/>
      <c r="I133" s="933"/>
      <c r="J133" s="625"/>
      <c r="K133" s="626"/>
      <c r="L133" s="626"/>
      <c r="M133" s="626"/>
      <c r="N133" s="626"/>
      <c r="O133" s="626"/>
      <c r="P133" s="603"/>
      <c r="Q133" s="603"/>
      <c r="R133" s="603"/>
      <c r="S133" s="603"/>
      <c r="T133" s="604"/>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1"/>
      <c r="AY133" s="581"/>
      <c r="AZ133" s="581"/>
      <c r="BA133" s="581"/>
      <c r="BB133" s="581"/>
      <c r="BC133" s="581"/>
    </row>
    <row r="134" spans="1:55" x14ac:dyDescent="0.25">
      <c r="A134" s="489" t="s">
        <v>269</v>
      </c>
      <c r="B134" s="680">
        <v>5.0999999999999996</v>
      </c>
      <c r="C134" s="605" t="s">
        <v>36</v>
      </c>
      <c r="D134" s="317">
        <v>8</v>
      </c>
      <c r="E134" s="317">
        <v>3</v>
      </c>
      <c r="F134" s="319">
        <v>1093</v>
      </c>
      <c r="G134" s="357">
        <v>954</v>
      </c>
      <c r="H134" s="357">
        <f t="shared" ref="H134:H141" si="153">G134*0.1</f>
        <v>95.4</v>
      </c>
      <c r="I134" s="405">
        <v>3</v>
      </c>
      <c r="J134" s="607">
        <f>ROUND(G134*(1+'29_01_H_2020'!$F$10),2)</f>
        <v>1049.4000000000001</v>
      </c>
      <c r="K134" s="608">
        <f t="shared" ref="K134" si="154">IF(J134&lt;=F134,J134,F134)</f>
        <v>1049.4000000000001</v>
      </c>
      <c r="L134" s="608">
        <f t="shared" ref="L134" si="155">K134-G134</f>
        <v>95.400000000000091</v>
      </c>
      <c r="M134" s="608">
        <f t="shared" ref="M134" si="156">J134-K134</f>
        <v>0</v>
      </c>
      <c r="N134" s="608">
        <f t="shared" ref="N134" si="157">ROUND(H134/G134*K134-H134,2)</f>
        <v>9.5399999999999991</v>
      </c>
      <c r="O134" s="608">
        <f t="shared" ref="O134" si="158">ROUND(H134/G134*J134-H134-N134,2)</f>
        <v>0</v>
      </c>
      <c r="P134" s="609">
        <f t="shared" ref="P134:P141" si="159">L134+M134+N134+O134</f>
        <v>104.94000000000008</v>
      </c>
      <c r="Q134" s="609">
        <f t="shared" ref="Q134:Q141" si="160">P134*I134</f>
        <v>314.82000000000028</v>
      </c>
      <c r="R134" s="609">
        <f t="shared" ref="R134:R141" si="161">Q134*12</f>
        <v>3777.8400000000033</v>
      </c>
      <c r="S134" s="609">
        <f t="shared" ref="S134:S141" si="162">ROUND(R134*0.2409,2)</f>
        <v>910.08</v>
      </c>
      <c r="T134" s="610">
        <f t="shared" ref="T134" si="163">SUM(R134:S134)</f>
        <v>4687.9200000000037</v>
      </c>
      <c r="U134" s="611"/>
      <c r="V134" s="612"/>
      <c r="W134" s="613"/>
      <c r="X134" s="614"/>
      <c r="Y134" s="614"/>
      <c r="Z134" s="581"/>
      <c r="AA134" s="581"/>
      <c r="AB134" s="615"/>
      <c r="AC134" s="615"/>
      <c r="AD134" s="615"/>
      <c r="AE134" s="615"/>
      <c r="AF134" s="615"/>
      <c r="AG134" s="615"/>
      <c r="AH134" s="615"/>
      <c r="AI134" s="615"/>
      <c r="AJ134" s="615"/>
      <c r="AK134" s="615"/>
      <c r="AL134" s="616"/>
      <c r="AM134" s="581"/>
      <c r="AN134" s="581"/>
      <c r="AO134" s="615"/>
      <c r="AP134" s="615"/>
      <c r="AQ134" s="615"/>
      <c r="AR134" s="615"/>
      <c r="AS134" s="615"/>
      <c r="AT134" s="615"/>
      <c r="AU134" s="615"/>
      <c r="AV134" s="615"/>
      <c r="AW134" s="615"/>
      <c r="AX134" s="615"/>
      <c r="AY134" s="616"/>
      <c r="AZ134" s="581"/>
      <c r="BA134" s="581"/>
      <c r="BB134" s="581"/>
      <c r="BC134" s="581"/>
    </row>
    <row r="135" spans="1:55" x14ac:dyDescent="0.25">
      <c r="A135" s="489" t="s">
        <v>313</v>
      </c>
      <c r="B135" s="680">
        <v>5.0999999999999996</v>
      </c>
      <c r="C135" s="605" t="s">
        <v>36</v>
      </c>
      <c r="D135" s="317">
        <v>8</v>
      </c>
      <c r="E135" s="317">
        <v>3</v>
      </c>
      <c r="F135" s="319">
        <v>1093</v>
      </c>
      <c r="G135" s="357">
        <v>954</v>
      </c>
      <c r="H135" s="357">
        <f t="shared" si="153"/>
        <v>95.4</v>
      </c>
      <c r="I135" s="405">
        <v>1</v>
      </c>
      <c r="J135" s="607">
        <f>ROUND(G135*(1+'29_01_H_2020'!$F$10),2)</f>
        <v>1049.4000000000001</v>
      </c>
      <c r="K135" s="608">
        <f t="shared" ref="K135:K141" si="164">IF(J135&lt;=F135,J135,F135)</f>
        <v>1049.4000000000001</v>
      </c>
      <c r="L135" s="608">
        <f t="shared" ref="L135:L141" si="165">K135-G135</f>
        <v>95.400000000000091</v>
      </c>
      <c r="M135" s="608">
        <f t="shared" ref="M135:M141" si="166">J135-K135</f>
        <v>0</v>
      </c>
      <c r="N135" s="608">
        <f t="shared" ref="N135:N141" si="167">ROUND(H135/G135*K135-H135,2)</f>
        <v>9.5399999999999991</v>
      </c>
      <c r="O135" s="608">
        <f t="shared" ref="O135:O141" si="168">ROUND(H135/G135*J135-H135-N135,2)</f>
        <v>0</v>
      </c>
      <c r="P135" s="609">
        <f t="shared" si="159"/>
        <v>104.94000000000008</v>
      </c>
      <c r="Q135" s="609">
        <f t="shared" si="160"/>
        <v>104.94000000000008</v>
      </c>
      <c r="R135" s="609">
        <f t="shared" si="161"/>
        <v>1259.2800000000011</v>
      </c>
      <c r="S135" s="609">
        <f t="shared" si="162"/>
        <v>303.36</v>
      </c>
      <c r="T135" s="610">
        <f t="shared" ref="T135:T141" si="169">SUM(R135:S135)</f>
        <v>1562.6400000000012</v>
      </c>
      <c r="U135" s="611"/>
      <c r="V135" s="612"/>
      <c r="W135" s="613"/>
      <c r="X135" s="614"/>
      <c r="Y135" s="614"/>
      <c r="Z135" s="581"/>
      <c r="AA135" s="581"/>
      <c r="AB135" s="615"/>
      <c r="AC135" s="615"/>
      <c r="AD135" s="615"/>
      <c r="AE135" s="615"/>
      <c r="AF135" s="615"/>
      <c r="AG135" s="615"/>
      <c r="AH135" s="615"/>
      <c r="AI135" s="615"/>
      <c r="AJ135" s="615"/>
      <c r="AK135" s="615"/>
      <c r="AL135" s="616"/>
      <c r="AM135" s="581"/>
      <c r="AN135" s="581"/>
      <c r="AO135" s="615"/>
      <c r="AP135" s="615"/>
      <c r="AQ135" s="615"/>
      <c r="AR135" s="615"/>
      <c r="AS135" s="615"/>
      <c r="AT135" s="615"/>
      <c r="AU135" s="615"/>
      <c r="AV135" s="615"/>
      <c r="AW135" s="615"/>
      <c r="AX135" s="615"/>
      <c r="AY135" s="616"/>
      <c r="AZ135" s="581"/>
      <c r="BA135" s="581"/>
      <c r="BB135" s="581"/>
      <c r="BC135" s="581"/>
    </row>
    <row r="136" spans="1:55" x14ac:dyDescent="0.25">
      <c r="A136" s="489" t="s">
        <v>271</v>
      </c>
      <c r="B136" s="680">
        <v>5.2</v>
      </c>
      <c r="C136" s="605" t="s">
        <v>18</v>
      </c>
      <c r="D136" s="317">
        <v>8</v>
      </c>
      <c r="E136" s="317">
        <v>3</v>
      </c>
      <c r="F136" s="319">
        <v>1093</v>
      </c>
      <c r="G136" s="357">
        <v>954</v>
      </c>
      <c r="H136" s="357">
        <f t="shared" si="153"/>
        <v>95.4</v>
      </c>
      <c r="I136" s="405">
        <v>5</v>
      </c>
      <c r="J136" s="607">
        <f>ROUND(G136*(1+'29_01_H_2020'!$F$10),2)</f>
        <v>1049.4000000000001</v>
      </c>
      <c r="K136" s="608">
        <f t="shared" si="164"/>
        <v>1049.4000000000001</v>
      </c>
      <c r="L136" s="608">
        <f t="shared" si="165"/>
        <v>95.400000000000091</v>
      </c>
      <c r="M136" s="608">
        <f t="shared" si="166"/>
        <v>0</v>
      </c>
      <c r="N136" s="608">
        <f t="shared" si="167"/>
        <v>9.5399999999999991</v>
      </c>
      <c r="O136" s="608">
        <f t="shared" si="168"/>
        <v>0</v>
      </c>
      <c r="P136" s="609">
        <f t="shared" si="159"/>
        <v>104.94000000000008</v>
      </c>
      <c r="Q136" s="609">
        <f t="shared" si="160"/>
        <v>524.70000000000039</v>
      </c>
      <c r="R136" s="609">
        <f t="shared" si="161"/>
        <v>6296.4000000000051</v>
      </c>
      <c r="S136" s="609">
        <f t="shared" si="162"/>
        <v>1516.8</v>
      </c>
      <c r="T136" s="610">
        <f t="shared" si="169"/>
        <v>7813.2000000000053</v>
      </c>
      <c r="U136" s="611"/>
      <c r="V136" s="612"/>
      <c r="W136" s="613"/>
      <c r="X136" s="614"/>
      <c r="Y136" s="614"/>
      <c r="Z136" s="581"/>
      <c r="AA136" s="581"/>
      <c r="AB136" s="615"/>
      <c r="AC136" s="615"/>
      <c r="AD136" s="615"/>
      <c r="AE136" s="615"/>
      <c r="AF136" s="615"/>
      <c r="AG136" s="615"/>
      <c r="AH136" s="615"/>
      <c r="AI136" s="615"/>
      <c r="AJ136" s="615"/>
      <c r="AK136" s="615"/>
      <c r="AL136" s="616"/>
      <c r="AM136" s="581"/>
      <c r="AN136" s="581"/>
      <c r="AO136" s="615"/>
      <c r="AP136" s="615"/>
      <c r="AQ136" s="615"/>
      <c r="AR136" s="615"/>
      <c r="AS136" s="615"/>
      <c r="AT136" s="615"/>
      <c r="AU136" s="615"/>
      <c r="AV136" s="615"/>
      <c r="AW136" s="615"/>
      <c r="AX136" s="615"/>
      <c r="AY136" s="616"/>
      <c r="AZ136" s="581"/>
      <c r="BA136" s="581"/>
      <c r="BB136" s="581"/>
      <c r="BC136" s="581"/>
    </row>
    <row r="137" spans="1:55" x14ac:dyDescent="0.25">
      <c r="A137" s="489" t="s">
        <v>317</v>
      </c>
      <c r="B137" s="680">
        <v>5.2</v>
      </c>
      <c r="C137" s="605" t="s">
        <v>25</v>
      </c>
      <c r="D137" s="317">
        <v>7</v>
      </c>
      <c r="E137" s="317">
        <v>3</v>
      </c>
      <c r="F137" s="319">
        <v>996</v>
      </c>
      <c r="G137" s="357">
        <v>882</v>
      </c>
      <c r="H137" s="357">
        <f t="shared" si="153"/>
        <v>88.2</v>
      </c>
      <c r="I137" s="405">
        <v>6</v>
      </c>
      <c r="J137" s="607">
        <f>ROUND(G137*(1+'29_01_H_2020'!$F$10),2)</f>
        <v>970.2</v>
      </c>
      <c r="K137" s="608">
        <f t="shared" si="164"/>
        <v>970.2</v>
      </c>
      <c r="L137" s="608">
        <f t="shared" si="165"/>
        <v>88.200000000000045</v>
      </c>
      <c r="M137" s="608">
        <f t="shared" si="166"/>
        <v>0</v>
      </c>
      <c r="N137" s="608">
        <f t="shared" si="167"/>
        <v>8.82</v>
      </c>
      <c r="O137" s="608">
        <f t="shared" si="168"/>
        <v>0</v>
      </c>
      <c r="P137" s="609">
        <f t="shared" si="159"/>
        <v>97.020000000000039</v>
      </c>
      <c r="Q137" s="609">
        <f t="shared" si="160"/>
        <v>582.12000000000023</v>
      </c>
      <c r="R137" s="609">
        <f t="shared" si="161"/>
        <v>6985.4400000000023</v>
      </c>
      <c r="S137" s="609">
        <f t="shared" si="162"/>
        <v>1682.79</v>
      </c>
      <c r="T137" s="610">
        <f t="shared" si="169"/>
        <v>8668.2300000000032</v>
      </c>
      <c r="U137" s="611"/>
      <c r="V137" s="612"/>
      <c r="W137" s="613"/>
      <c r="X137" s="614"/>
      <c r="Y137" s="614"/>
      <c r="Z137" s="581"/>
      <c r="AA137" s="581"/>
      <c r="AB137" s="615"/>
      <c r="AC137" s="615"/>
      <c r="AD137" s="615"/>
      <c r="AE137" s="615"/>
      <c r="AF137" s="615"/>
      <c r="AG137" s="615"/>
      <c r="AH137" s="615"/>
      <c r="AI137" s="615"/>
      <c r="AJ137" s="615"/>
      <c r="AK137" s="615"/>
      <c r="AL137" s="616"/>
      <c r="AM137" s="581"/>
      <c r="AN137" s="581"/>
      <c r="AO137" s="615"/>
      <c r="AP137" s="615"/>
      <c r="AQ137" s="615"/>
      <c r="AR137" s="615"/>
      <c r="AS137" s="615"/>
      <c r="AT137" s="615"/>
      <c r="AU137" s="615"/>
      <c r="AV137" s="615"/>
      <c r="AW137" s="615"/>
      <c r="AX137" s="615"/>
      <c r="AY137" s="616"/>
      <c r="AZ137" s="581"/>
      <c r="BA137" s="581"/>
      <c r="BB137" s="581"/>
      <c r="BC137" s="581"/>
    </row>
    <row r="138" spans="1:55" x14ac:dyDescent="0.25">
      <c r="A138" s="489" t="s">
        <v>318</v>
      </c>
      <c r="B138" s="680">
        <v>5.2</v>
      </c>
      <c r="C138" s="605" t="s">
        <v>25</v>
      </c>
      <c r="D138" s="317">
        <v>7</v>
      </c>
      <c r="E138" s="317">
        <v>3</v>
      </c>
      <c r="F138" s="319">
        <v>996</v>
      </c>
      <c r="G138" s="357">
        <v>882</v>
      </c>
      <c r="H138" s="357">
        <f t="shared" si="153"/>
        <v>88.2</v>
      </c>
      <c r="I138" s="405">
        <v>11</v>
      </c>
      <c r="J138" s="607">
        <f>ROUND(G138*(1+'29_01_H_2020'!$F$10),2)</f>
        <v>970.2</v>
      </c>
      <c r="K138" s="608">
        <f t="shared" si="164"/>
        <v>970.2</v>
      </c>
      <c r="L138" s="608">
        <f t="shared" si="165"/>
        <v>88.200000000000045</v>
      </c>
      <c r="M138" s="608">
        <f t="shared" si="166"/>
        <v>0</v>
      </c>
      <c r="N138" s="608">
        <f t="shared" si="167"/>
        <v>8.82</v>
      </c>
      <c r="O138" s="608">
        <f t="shared" si="168"/>
        <v>0</v>
      </c>
      <c r="P138" s="609">
        <f t="shared" si="159"/>
        <v>97.020000000000039</v>
      </c>
      <c r="Q138" s="609">
        <f t="shared" si="160"/>
        <v>1067.2200000000005</v>
      </c>
      <c r="R138" s="609">
        <f t="shared" si="161"/>
        <v>12806.640000000007</v>
      </c>
      <c r="S138" s="609">
        <f t="shared" si="162"/>
        <v>3085.12</v>
      </c>
      <c r="T138" s="610">
        <f t="shared" si="169"/>
        <v>15891.760000000006</v>
      </c>
      <c r="U138" s="611"/>
      <c r="V138" s="612"/>
      <c r="W138" s="613"/>
      <c r="X138" s="614"/>
      <c r="Y138" s="614"/>
      <c r="Z138" s="581"/>
      <c r="AA138" s="581"/>
      <c r="AB138" s="615"/>
      <c r="AC138" s="615"/>
      <c r="AD138" s="615"/>
      <c r="AE138" s="615"/>
      <c r="AF138" s="615"/>
      <c r="AG138" s="615"/>
      <c r="AH138" s="615"/>
      <c r="AI138" s="615"/>
      <c r="AJ138" s="615"/>
      <c r="AK138" s="615"/>
      <c r="AL138" s="616"/>
      <c r="AM138" s="581"/>
      <c r="AN138" s="581"/>
      <c r="AO138" s="615"/>
      <c r="AP138" s="615"/>
      <c r="AQ138" s="615"/>
      <c r="AR138" s="615"/>
      <c r="AS138" s="615"/>
      <c r="AT138" s="615"/>
      <c r="AU138" s="615"/>
      <c r="AV138" s="615"/>
      <c r="AW138" s="615"/>
      <c r="AX138" s="615"/>
      <c r="AY138" s="616"/>
      <c r="AZ138" s="581"/>
      <c r="BA138" s="581"/>
      <c r="BB138" s="581"/>
      <c r="BC138" s="581"/>
    </row>
    <row r="139" spans="1:55" x14ac:dyDescent="0.25">
      <c r="A139" s="489" t="s">
        <v>39</v>
      </c>
      <c r="B139" s="680">
        <v>5.2</v>
      </c>
      <c r="C139" s="605" t="s">
        <v>41</v>
      </c>
      <c r="D139" s="317">
        <v>6</v>
      </c>
      <c r="E139" s="317">
        <v>3</v>
      </c>
      <c r="F139" s="319">
        <v>899</v>
      </c>
      <c r="G139" s="357">
        <v>784.8</v>
      </c>
      <c r="H139" s="357">
        <f t="shared" si="153"/>
        <v>78.48</v>
      </c>
      <c r="I139" s="405">
        <v>16.399999999999999</v>
      </c>
      <c r="J139" s="607">
        <f>ROUND(G139*(1+'29_01_H_2020'!$F$10),2)</f>
        <v>863.28</v>
      </c>
      <c r="K139" s="608">
        <f t="shared" si="164"/>
        <v>863.28</v>
      </c>
      <c r="L139" s="608">
        <f t="shared" si="165"/>
        <v>78.480000000000018</v>
      </c>
      <c r="M139" s="608">
        <f t="shared" si="166"/>
        <v>0</v>
      </c>
      <c r="N139" s="608">
        <f t="shared" si="167"/>
        <v>7.85</v>
      </c>
      <c r="O139" s="608">
        <f t="shared" si="168"/>
        <v>0</v>
      </c>
      <c r="P139" s="609">
        <f t="shared" si="159"/>
        <v>86.330000000000013</v>
      </c>
      <c r="Q139" s="609">
        <f t="shared" si="160"/>
        <v>1415.8120000000001</v>
      </c>
      <c r="R139" s="609">
        <f t="shared" si="161"/>
        <v>16989.744000000002</v>
      </c>
      <c r="S139" s="609">
        <f t="shared" si="162"/>
        <v>4092.83</v>
      </c>
      <c r="T139" s="610">
        <f t="shared" si="169"/>
        <v>21082.574000000001</v>
      </c>
      <c r="U139" s="611"/>
      <c r="V139" s="612"/>
      <c r="W139" s="613"/>
      <c r="X139" s="614"/>
      <c r="Y139" s="614"/>
      <c r="Z139" s="581"/>
      <c r="AA139" s="581"/>
      <c r="AB139" s="615"/>
      <c r="AC139" s="615"/>
      <c r="AD139" s="615"/>
      <c r="AE139" s="615"/>
      <c r="AF139" s="615"/>
      <c r="AG139" s="615"/>
      <c r="AH139" s="615"/>
      <c r="AI139" s="615"/>
      <c r="AJ139" s="615"/>
      <c r="AK139" s="615"/>
      <c r="AL139" s="616"/>
      <c r="AM139" s="581"/>
      <c r="AN139" s="581"/>
      <c r="AO139" s="615"/>
      <c r="AP139" s="615"/>
      <c r="AQ139" s="615"/>
      <c r="AR139" s="615"/>
      <c r="AS139" s="615"/>
      <c r="AT139" s="615"/>
      <c r="AU139" s="615"/>
      <c r="AV139" s="615"/>
      <c r="AW139" s="615"/>
      <c r="AX139" s="615"/>
      <c r="AY139" s="616"/>
      <c r="AZ139" s="581"/>
      <c r="BA139" s="581"/>
      <c r="BB139" s="581"/>
      <c r="BC139" s="581"/>
    </row>
    <row r="140" spans="1:55" x14ac:dyDescent="0.25">
      <c r="A140" s="489" t="s">
        <v>39</v>
      </c>
      <c r="B140" s="680">
        <v>5.2</v>
      </c>
      <c r="C140" s="605" t="s">
        <v>41</v>
      </c>
      <c r="D140" s="317">
        <v>6</v>
      </c>
      <c r="E140" s="317">
        <v>2</v>
      </c>
      <c r="F140" s="319">
        <v>740</v>
      </c>
      <c r="G140" s="357">
        <v>673.2</v>
      </c>
      <c r="H140" s="357">
        <f t="shared" si="153"/>
        <v>67.320000000000007</v>
      </c>
      <c r="I140" s="405">
        <v>2</v>
      </c>
      <c r="J140" s="607">
        <f>ROUND(G140*(1+'29_01_H_2020'!$F$10),2)</f>
        <v>740.52</v>
      </c>
      <c r="K140" s="608">
        <f t="shared" si="164"/>
        <v>740</v>
      </c>
      <c r="L140" s="608">
        <f t="shared" si="165"/>
        <v>66.799999999999955</v>
      </c>
      <c r="M140" s="608">
        <f t="shared" si="166"/>
        <v>0.51999999999998181</v>
      </c>
      <c r="N140" s="608">
        <f t="shared" si="167"/>
        <v>6.68</v>
      </c>
      <c r="O140" s="608">
        <f t="shared" si="168"/>
        <v>0.05</v>
      </c>
      <c r="P140" s="609">
        <f t="shared" si="159"/>
        <v>74.04999999999994</v>
      </c>
      <c r="Q140" s="609">
        <f t="shared" si="160"/>
        <v>148.09999999999988</v>
      </c>
      <c r="R140" s="609">
        <f t="shared" si="161"/>
        <v>1777.1999999999985</v>
      </c>
      <c r="S140" s="609">
        <f t="shared" si="162"/>
        <v>428.13</v>
      </c>
      <c r="T140" s="610">
        <f t="shared" si="169"/>
        <v>2205.3299999999986</v>
      </c>
      <c r="U140" s="611"/>
      <c r="V140" s="612"/>
      <c r="W140" s="613"/>
      <c r="X140" s="614"/>
      <c r="Y140" s="614"/>
      <c r="Z140" s="581"/>
      <c r="AA140" s="581"/>
      <c r="AB140" s="615"/>
      <c r="AC140" s="615"/>
      <c r="AD140" s="615"/>
      <c r="AE140" s="615"/>
      <c r="AF140" s="615"/>
      <c r="AG140" s="615"/>
      <c r="AH140" s="615"/>
      <c r="AI140" s="615"/>
      <c r="AJ140" s="615"/>
      <c r="AK140" s="615"/>
      <c r="AL140" s="616"/>
      <c r="AM140" s="581"/>
      <c r="AN140" s="581"/>
      <c r="AO140" s="615"/>
      <c r="AP140" s="615"/>
      <c r="AQ140" s="615"/>
      <c r="AR140" s="615"/>
      <c r="AS140" s="615"/>
      <c r="AT140" s="615"/>
      <c r="AU140" s="615"/>
      <c r="AV140" s="615"/>
      <c r="AW140" s="615"/>
      <c r="AX140" s="615"/>
      <c r="AY140" s="616"/>
      <c r="AZ140" s="581"/>
      <c r="BA140" s="581"/>
      <c r="BB140" s="581"/>
      <c r="BC140" s="581"/>
    </row>
    <row r="141" spans="1:55" x14ac:dyDescent="0.25">
      <c r="A141" s="489" t="s">
        <v>39</v>
      </c>
      <c r="B141" s="680">
        <v>5.2</v>
      </c>
      <c r="C141" s="605" t="s">
        <v>41</v>
      </c>
      <c r="D141" s="317">
        <v>6</v>
      </c>
      <c r="E141" s="317">
        <v>1</v>
      </c>
      <c r="F141" s="319">
        <v>601</v>
      </c>
      <c r="G141" s="357">
        <v>601</v>
      </c>
      <c r="H141" s="357">
        <f t="shared" si="153"/>
        <v>60.1</v>
      </c>
      <c r="I141" s="405">
        <v>1</v>
      </c>
      <c r="J141" s="607">
        <f>ROUND(G141*(1+'29_01_H_2020'!$F$10),2)</f>
        <v>661.1</v>
      </c>
      <c r="K141" s="608">
        <f t="shared" si="164"/>
        <v>601</v>
      </c>
      <c r="L141" s="608">
        <f t="shared" si="165"/>
        <v>0</v>
      </c>
      <c r="M141" s="608">
        <f t="shared" si="166"/>
        <v>60.100000000000023</v>
      </c>
      <c r="N141" s="608">
        <f t="shared" si="167"/>
        <v>0</v>
      </c>
      <c r="O141" s="608">
        <f t="shared" si="168"/>
        <v>6.01</v>
      </c>
      <c r="P141" s="609">
        <f t="shared" si="159"/>
        <v>66.110000000000028</v>
      </c>
      <c r="Q141" s="609">
        <f t="shared" si="160"/>
        <v>66.110000000000028</v>
      </c>
      <c r="R141" s="609">
        <f t="shared" si="161"/>
        <v>793.32000000000039</v>
      </c>
      <c r="S141" s="609">
        <f t="shared" si="162"/>
        <v>191.11</v>
      </c>
      <c r="T141" s="610">
        <f t="shared" si="169"/>
        <v>984.4300000000004</v>
      </c>
      <c r="U141" s="611"/>
      <c r="V141" s="612"/>
      <c r="W141" s="613"/>
      <c r="X141" s="614"/>
      <c r="Y141" s="614"/>
      <c r="Z141" s="581"/>
      <c r="AA141" s="581"/>
      <c r="AB141" s="615"/>
      <c r="AC141" s="615"/>
      <c r="AD141" s="615"/>
      <c r="AE141" s="615"/>
      <c r="AF141" s="615"/>
      <c r="AG141" s="615"/>
      <c r="AH141" s="615"/>
      <c r="AI141" s="615"/>
      <c r="AJ141" s="615"/>
      <c r="AK141" s="615"/>
      <c r="AL141" s="616"/>
      <c r="AM141" s="581"/>
      <c r="AN141" s="581"/>
      <c r="AO141" s="615"/>
      <c r="AP141" s="615"/>
      <c r="AQ141" s="615"/>
      <c r="AR141" s="615"/>
      <c r="AS141" s="615"/>
      <c r="AT141" s="615"/>
      <c r="AU141" s="615"/>
      <c r="AV141" s="615"/>
      <c r="AW141" s="615"/>
      <c r="AX141" s="615"/>
      <c r="AY141" s="616"/>
      <c r="AZ141" s="581"/>
      <c r="BA141" s="581"/>
      <c r="BB141" s="581"/>
      <c r="BC141" s="581"/>
    </row>
    <row r="142" spans="1:55" x14ac:dyDescent="0.25">
      <c r="A142" s="617" t="s">
        <v>55</v>
      </c>
      <c r="B142" s="618" t="s">
        <v>52</v>
      </c>
      <c r="C142" s="619" t="s">
        <v>52</v>
      </c>
      <c r="D142" s="619" t="s">
        <v>52</v>
      </c>
      <c r="E142" s="619" t="s">
        <v>52</v>
      </c>
      <c r="F142" s="620" t="s">
        <v>52</v>
      </c>
      <c r="G142" s="620" t="s">
        <v>52</v>
      </c>
      <c r="H142" s="620" t="s">
        <v>52</v>
      </c>
      <c r="I142" s="406">
        <f>SUM(I134:I141)</f>
        <v>45.4</v>
      </c>
      <c r="J142" s="621"/>
      <c r="K142" s="622"/>
      <c r="L142" s="622"/>
      <c r="M142" s="622"/>
      <c r="N142" s="622"/>
      <c r="O142" s="622"/>
      <c r="P142" s="623"/>
      <c r="Q142" s="623"/>
      <c r="R142" s="623"/>
      <c r="S142" s="623"/>
      <c r="T142" s="624"/>
      <c r="U142" s="581"/>
      <c r="V142" s="581"/>
      <c r="W142" s="581"/>
      <c r="X142" s="581"/>
      <c r="Y142" s="581"/>
      <c r="Z142" s="581"/>
      <c r="AA142" s="581"/>
      <c r="AB142" s="581"/>
      <c r="AC142" s="581"/>
      <c r="AD142" s="581"/>
      <c r="AE142" s="581"/>
      <c r="AF142" s="581"/>
      <c r="AG142" s="581"/>
      <c r="AH142" s="581"/>
      <c r="AI142" s="581"/>
      <c r="AJ142" s="581"/>
      <c r="AK142" s="581"/>
      <c r="AL142" s="581"/>
      <c r="AM142" s="581"/>
      <c r="AN142" s="581"/>
      <c r="AO142" s="581"/>
      <c r="AP142" s="581"/>
      <c r="AQ142" s="581"/>
      <c r="AR142" s="581"/>
      <c r="AS142" s="581"/>
      <c r="AT142" s="581"/>
      <c r="AU142" s="581"/>
      <c r="AV142" s="581"/>
      <c r="AW142" s="581"/>
      <c r="AX142" s="581"/>
      <c r="AY142" s="581"/>
      <c r="AZ142" s="581"/>
      <c r="BA142" s="581"/>
      <c r="BB142" s="581"/>
      <c r="BC142" s="581"/>
    </row>
    <row r="143" spans="1:55" x14ac:dyDescent="0.25">
      <c r="A143" s="931" t="s">
        <v>46</v>
      </c>
      <c r="B143" s="932"/>
      <c r="C143" s="932"/>
      <c r="D143" s="932"/>
      <c r="E143" s="932"/>
      <c r="F143" s="932"/>
      <c r="G143" s="932"/>
      <c r="H143" s="932"/>
      <c r="I143" s="933"/>
      <c r="J143" s="625"/>
      <c r="K143" s="626"/>
      <c r="L143" s="626"/>
      <c r="M143" s="626"/>
      <c r="N143" s="626"/>
      <c r="O143" s="626"/>
      <c r="P143" s="603"/>
      <c r="Q143" s="603"/>
      <c r="R143" s="603"/>
      <c r="S143" s="603"/>
      <c r="T143" s="604"/>
      <c r="U143" s="581"/>
      <c r="V143" s="581"/>
      <c r="W143" s="581"/>
      <c r="X143" s="581"/>
      <c r="Y143" s="581"/>
      <c r="Z143" s="581"/>
      <c r="AA143" s="581"/>
      <c r="AB143" s="581"/>
      <c r="AC143" s="581"/>
      <c r="AD143" s="581"/>
      <c r="AE143" s="581"/>
      <c r="AF143" s="581"/>
      <c r="AG143" s="581"/>
      <c r="AH143" s="581"/>
      <c r="AI143" s="581"/>
      <c r="AJ143" s="581"/>
      <c r="AK143" s="581"/>
      <c r="AL143" s="581"/>
      <c r="AM143" s="581"/>
      <c r="AN143" s="581"/>
      <c r="AO143" s="581"/>
      <c r="AP143" s="581"/>
      <c r="AQ143" s="581"/>
      <c r="AR143" s="581"/>
      <c r="AS143" s="581"/>
      <c r="AT143" s="581"/>
      <c r="AU143" s="581"/>
      <c r="AV143" s="581"/>
      <c r="AW143" s="581"/>
      <c r="AX143" s="581"/>
      <c r="AY143" s="581"/>
      <c r="AZ143" s="581"/>
      <c r="BA143" s="581"/>
      <c r="BB143" s="581"/>
      <c r="BC143" s="581"/>
    </row>
    <row r="144" spans="1:55" x14ac:dyDescent="0.25">
      <c r="A144" s="57" t="s">
        <v>301</v>
      </c>
      <c r="B144" s="680">
        <v>5.2</v>
      </c>
      <c r="C144" s="605" t="s">
        <v>36</v>
      </c>
      <c r="D144" s="317">
        <v>3</v>
      </c>
      <c r="E144" s="317">
        <v>3</v>
      </c>
      <c r="F144" s="319">
        <v>608</v>
      </c>
      <c r="G144" s="357">
        <v>516</v>
      </c>
      <c r="H144" s="357">
        <v>0.1</v>
      </c>
      <c r="I144" s="405">
        <v>1</v>
      </c>
      <c r="J144" s="607">
        <f>ROUND(G144*(1+'29_01_H_2020'!$F$14),2)</f>
        <v>567.6</v>
      </c>
      <c r="K144" s="608">
        <f t="shared" ref="K144" si="170">IF(J144&lt;=F144,J144,F144)</f>
        <v>567.6</v>
      </c>
      <c r="L144" s="608">
        <f t="shared" ref="L144" si="171">K144-G144</f>
        <v>51.600000000000023</v>
      </c>
      <c r="M144" s="608">
        <f t="shared" ref="M144" si="172">J144-K144</f>
        <v>0</v>
      </c>
      <c r="N144" s="608">
        <f t="shared" ref="N144" si="173">ROUND(H144/G144*K144-H144,2)</f>
        <v>0.01</v>
      </c>
      <c r="O144" s="608">
        <f t="shared" ref="O144" si="174">ROUND(H144/G144*J144-H144-N144,2)</f>
        <v>0</v>
      </c>
      <c r="P144" s="609">
        <f t="shared" ref="P144" si="175">L144+M144+N144+O144</f>
        <v>51.610000000000021</v>
      </c>
      <c r="Q144" s="609">
        <f>P144*I144</f>
        <v>51.610000000000021</v>
      </c>
      <c r="R144" s="609">
        <f t="shared" ref="R144" si="176">Q144*12</f>
        <v>619.32000000000028</v>
      </c>
      <c r="S144" s="609">
        <f t="shared" ref="S144" si="177">ROUND(R144*0.2409,2)</f>
        <v>149.19</v>
      </c>
      <c r="T144" s="610">
        <f t="shared" ref="T144" si="178">SUM(R144:S144)</f>
        <v>768.51000000000022</v>
      </c>
      <c r="U144" s="611"/>
      <c r="V144" s="612"/>
      <c r="W144" s="613"/>
      <c r="X144" s="614"/>
      <c r="Y144" s="614"/>
      <c r="Z144" s="581"/>
      <c r="AA144" s="581"/>
      <c r="AB144" s="615"/>
      <c r="AC144" s="615"/>
      <c r="AD144" s="615"/>
      <c r="AE144" s="615"/>
      <c r="AF144" s="615"/>
      <c r="AG144" s="615"/>
      <c r="AH144" s="615"/>
      <c r="AI144" s="615"/>
      <c r="AJ144" s="615"/>
      <c r="AK144" s="615"/>
      <c r="AL144" s="616"/>
      <c r="AM144" s="581"/>
      <c r="AN144" s="581"/>
      <c r="AO144" s="615"/>
      <c r="AP144" s="615"/>
      <c r="AQ144" s="615"/>
      <c r="AR144" s="615"/>
      <c r="AS144" s="615"/>
      <c r="AT144" s="615"/>
      <c r="AU144" s="615"/>
      <c r="AV144" s="615"/>
      <c r="AW144" s="615"/>
      <c r="AX144" s="615"/>
      <c r="AY144" s="616"/>
      <c r="AZ144" s="581"/>
      <c r="BA144" s="581"/>
      <c r="BB144" s="581"/>
      <c r="BC144" s="581"/>
    </row>
    <row r="145" spans="1:55" x14ac:dyDescent="0.25">
      <c r="A145" s="617" t="s">
        <v>55</v>
      </c>
      <c r="B145" s="618" t="s">
        <v>52</v>
      </c>
      <c r="C145" s="619" t="s">
        <v>52</v>
      </c>
      <c r="D145" s="619" t="s">
        <v>52</v>
      </c>
      <c r="E145" s="619" t="s">
        <v>52</v>
      </c>
      <c r="F145" s="620" t="s">
        <v>52</v>
      </c>
      <c r="G145" s="620" t="s">
        <v>52</v>
      </c>
      <c r="H145" s="620" t="s">
        <v>52</v>
      </c>
      <c r="I145" s="406">
        <f>I144</f>
        <v>1</v>
      </c>
      <c r="J145" s="621"/>
      <c r="K145" s="622"/>
      <c r="L145" s="622"/>
      <c r="M145" s="622"/>
      <c r="N145" s="622"/>
      <c r="O145" s="622"/>
      <c r="P145" s="623"/>
      <c r="Q145" s="623"/>
      <c r="R145" s="623"/>
      <c r="S145" s="623"/>
      <c r="T145" s="624"/>
      <c r="U145" s="581"/>
      <c r="V145" s="581"/>
      <c r="W145" s="581"/>
      <c r="X145" s="581"/>
      <c r="Y145" s="581"/>
      <c r="Z145" s="581"/>
      <c r="AA145" s="581"/>
      <c r="AB145" s="581"/>
      <c r="AC145" s="581"/>
      <c r="AD145" s="581"/>
      <c r="AE145" s="581"/>
      <c r="AF145" s="581"/>
      <c r="AG145" s="581"/>
      <c r="AH145" s="581"/>
      <c r="AI145" s="581"/>
      <c r="AJ145" s="581"/>
      <c r="AK145" s="581"/>
      <c r="AL145" s="581"/>
      <c r="AM145" s="581"/>
      <c r="AN145" s="581"/>
      <c r="AO145" s="581"/>
      <c r="AP145" s="581"/>
      <c r="AQ145" s="581"/>
      <c r="AR145" s="581"/>
      <c r="AS145" s="581"/>
      <c r="AT145" s="581"/>
      <c r="AU145" s="581"/>
      <c r="AV145" s="581"/>
      <c r="AW145" s="581"/>
      <c r="AX145" s="581"/>
      <c r="AY145" s="581"/>
      <c r="AZ145" s="581"/>
      <c r="BA145" s="581"/>
      <c r="BB145" s="581"/>
      <c r="BC145" s="581"/>
    </row>
    <row r="146" spans="1:55" x14ac:dyDescent="0.25">
      <c r="A146" s="672" t="s">
        <v>319</v>
      </c>
      <c r="B146" s="679" t="s">
        <v>52</v>
      </c>
      <c r="C146" s="679" t="s">
        <v>52</v>
      </c>
      <c r="D146" s="679" t="s">
        <v>52</v>
      </c>
      <c r="E146" s="679" t="s">
        <v>52</v>
      </c>
      <c r="F146" s="679" t="s">
        <v>52</v>
      </c>
      <c r="G146" s="679" t="s">
        <v>52</v>
      </c>
      <c r="H146" s="679" t="s">
        <v>52</v>
      </c>
      <c r="I146" s="408">
        <f>I132+I142+I145</f>
        <v>52.75</v>
      </c>
      <c r="J146" s="674"/>
      <c r="K146" s="675"/>
      <c r="L146" s="675"/>
      <c r="M146" s="675"/>
      <c r="N146" s="675"/>
      <c r="O146" s="675"/>
      <c r="P146" s="676"/>
      <c r="Q146" s="676"/>
      <c r="R146" s="676"/>
      <c r="S146" s="676"/>
      <c r="T146" s="677"/>
      <c r="U146" s="581"/>
      <c r="V146" s="581"/>
      <c r="W146" s="581"/>
      <c r="X146" s="581"/>
      <c r="Y146" s="581"/>
      <c r="Z146" s="581"/>
      <c r="AA146" s="581"/>
      <c r="AB146" s="581"/>
      <c r="AC146" s="581"/>
      <c r="AD146" s="581"/>
      <c r="AE146" s="581"/>
      <c r="AF146" s="581"/>
      <c r="AG146" s="581"/>
      <c r="AH146" s="581"/>
      <c r="AI146" s="581"/>
      <c r="AJ146" s="581"/>
      <c r="AK146" s="581"/>
      <c r="AL146" s="581"/>
      <c r="AM146" s="581"/>
      <c r="AN146" s="581"/>
      <c r="AO146" s="581"/>
      <c r="AP146" s="581"/>
      <c r="AQ146" s="581"/>
      <c r="AR146" s="581"/>
      <c r="AS146" s="581"/>
      <c r="AT146" s="581"/>
      <c r="AU146" s="581"/>
      <c r="AV146" s="581"/>
      <c r="AW146" s="581"/>
      <c r="AX146" s="581"/>
      <c r="AY146" s="581"/>
      <c r="AZ146" s="581"/>
      <c r="BA146" s="581"/>
      <c r="BB146" s="581"/>
      <c r="BC146" s="581"/>
    </row>
    <row r="147" spans="1:55" x14ac:dyDescent="0.25">
      <c r="A147" s="909" t="s">
        <v>320</v>
      </c>
      <c r="B147" s="910"/>
      <c r="C147" s="910"/>
      <c r="D147" s="910"/>
      <c r="E147" s="910"/>
      <c r="F147" s="910"/>
      <c r="G147" s="910"/>
      <c r="H147" s="910"/>
      <c r="I147" s="911"/>
      <c r="J147" s="666"/>
      <c r="K147" s="667"/>
      <c r="L147" s="667"/>
      <c r="M147" s="667"/>
      <c r="N147" s="667"/>
      <c r="O147" s="667"/>
      <c r="P147" s="668"/>
      <c r="Q147" s="668"/>
      <c r="R147" s="668"/>
      <c r="S147" s="668"/>
      <c r="T147" s="669"/>
      <c r="U147" s="581"/>
      <c r="V147" s="581"/>
      <c r="W147" s="581"/>
      <c r="X147" s="581"/>
      <c r="Y147" s="581"/>
      <c r="Z147" s="581"/>
      <c r="AA147" s="581"/>
      <c r="AB147" s="581"/>
      <c r="AC147" s="581"/>
      <c r="AD147" s="581"/>
      <c r="AE147" s="581"/>
      <c r="AF147" s="581"/>
      <c r="AG147" s="581"/>
      <c r="AH147" s="581"/>
      <c r="AI147" s="581"/>
      <c r="AJ147" s="581"/>
      <c r="AK147" s="581"/>
      <c r="AL147" s="581"/>
      <c r="AM147" s="581"/>
      <c r="AN147" s="581"/>
      <c r="AO147" s="581"/>
      <c r="AP147" s="581"/>
      <c r="AQ147" s="581"/>
      <c r="AR147" s="581"/>
      <c r="AS147" s="581"/>
      <c r="AT147" s="581"/>
      <c r="AU147" s="581"/>
      <c r="AV147" s="581"/>
      <c r="AW147" s="581"/>
      <c r="AX147" s="581"/>
      <c r="AY147" s="581"/>
      <c r="AZ147" s="581"/>
      <c r="BA147" s="581"/>
      <c r="BB147" s="581"/>
      <c r="BC147" s="581"/>
    </row>
    <row r="148" spans="1:55" x14ac:dyDescent="0.25">
      <c r="A148" s="912" t="s">
        <v>10</v>
      </c>
      <c r="B148" s="913"/>
      <c r="C148" s="913"/>
      <c r="D148" s="913"/>
      <c r="E148" s="913"/>
      <c r="F148" s="913"/>
      <c r="G148" s="913"/>
      <c r="H148" s="913"/>
      <c r="I148" s="914"/>
      <c r="J148" s="625"/>
      <c r="K148" s="626"/>
      <c r="L148" s="626"/>
      <c r="M148" s="626"/>
      <c r="N148" s="626"/>
      <c r="O148" s="626"/>
      <c r="P148" s="603"/>
      <c r="Q148" s="603"/>
      <c r="R148" s="603"/>
      <c r="S148" s="603"/>
      <c r="T148" s="604"/>
      <c r="U148" s="581"/>
      <c r="V148" s="581"/>
      <c r="W148" s="581"/>
      <c r="X148" s="581"/>
      <c r="Y148" s="581"/>
      <c r="Z148" s="581"/>
      <c r="AA148" s="581"/>
      <c r="AB148" s="581"/>
      <c r="AC148" s="581"/>
      <c r="AD148" s="581"/>
      <c r="AE148" s="581"/>
      <c r="AF148" s="581"/>
      <c r="AG148" s="581"/>
      <c r="AH148" s="581"/>
      <c r="AI148" s="581"/>
      <c r="AJ148" s="581"/>
      <c r="AK148" s="581"/>
      <c r="AL148" s="581"/>
      <c r="AM148" s="581"/>
      <c r="AN148" s="581"/>
      <c r="AO148" s="581"/>
      <c r="AP148" s="581"/>
      <c r="AQ148" s="581"/>
      <c r="AR148" s="581"/>
      <c r="AS148" s="581"/>
      <c r="AT148" s="581"/>
      <c r="AU148" s="581"/>
      <c r="AV148" s="581"/>
      <c r="AW148" s="581"/>
      <c r="AX148" s="581"/>
      <c r="AY148" s="581"/>
      <c r="AZ148" s="581"/>
      <c r="BA148" s="581"/>
      <c r="BB148" s="581"/>
      <c r="BC148" s="581"/>
    </row>
    <row r="149" spans="1:55" x14ac:dyDescent="0.25">
      <c r="A149" s="681" t="s">
        <v>321</v>
      </c>
      <c r="B149" s="682" t="s">
        <v>122</v>
      </c>
      <c r="C149" s="605" t="s">
        <v>25</v>
      </c>
      <c r="D149" s="317">
        <v>10</v>
      </c>
      <c r="E149" s="317">
        <v>3</v>
      </c>
      <c r="F149" s="319">
        <v>1287</v>
      </c>
      <c r="G149" s="683">
        <v>1270</v>
      </c>
      <c r="H149" s="357">
        <f>G149*0.1</f>
        <v>127</v>
      </c>
      <c r="I149" s="410">
        <v>1</v>
      </c>
      <c r="J149" s="607">
        <f>ROUND(G149*(1+'29_01_H_2020'!$F$14),2)</f>
        <v>1397</v>
      </c>
      <c r="K149" s="608">
        <f t="shared" ref="K149" si="179">IF(J149&lt;=F149,J149,F149)</f>
        <v>1287</v>
      </c>
      <c r="L149" s="608">
        <f t="shared" ref="L149" si="180">K149-G149</f>
        <v>17</v>
      </c>
      <c r="M149" s="608">
        <f t="shared" ref="M149" si="181">J149-K149</f>
        <v>110</v>
      </c>
      <c r="N149" s="608">
        <f t="shared" ref="N149" si="182">ROUND(H149/G149*K149-H149,2)</f>
        <v>1.7</v>
      </c>
      <c r="O149" s="608">
        <f t="shared" ref="O149" si="183">ROUND(H149/G149*J149-H149-N149,2)</f>
        <v>11</v>
      </c>
      <c r="P149" s="609">
        <f t="shared" ref="P149:P163" si="184">L149+M149+N149+O149</f>
        <v>139.69999999999999</v>
      </c>
      <c r="Q149" s="609">
        <f t="shared" ref="Q149:Q163" si="185">P149*I149</f>
        <v>139.69999999999999</v>
      </c>
      <c r="R149" s="609">
        <f t="shared" ref="R149:R163" si="186">Q149*12</f>
        <v>1676.3999999999999</v>
      </c>
      <c r="S149" s="609">
        <f t="shared" ref="S149:S163" si="187">ROUND(R149*0.2409,2)</f>
        <v>403.84</v>
      </c>
      <c r="T149" s="610">
        <f t="shared" ref="T149" si="188">SUM(R149:S149)</f>
        <v>2080.2399999999998</v>
      </c>
      <c r="U149" s="611"/>
      <c r="V149" s="612"/>
      <c r="W149" s="613"/>
      <c r="X149" s="614"/>
      <c r="Y149" s="614"/>
      <c r="Z149" s="581"/>
      <c r="AA149" s="581"/>
      <c r="AB149" s="615"/>
      <c r="AC149" s="615"/>
      <c r="AD149" s="615"/>
      <c r="AE149" s="615"/>
      <c r="AF149" s="615"/>
      <c r="AG149" s="615"/>
      <c r="AH149" s="615"/>
      <c r="AI149" s="615"/>
      <c r="AJ149" s="615"/>
      <c r="AK149" s="615"/>
      <c r="AL149" s="616"/>
      <c r="AM149" s="581"/>
      <c r="AN149" s="581"/>
      <c r="AO149" s="615"/>
      <c r="AP149" s="615"/>
      <c r="AQ149" s="615"/>
      <c r="AR149" s="615"/>
      <c r="AS149" s="615"/>
      <c r="AT149" s="615"/>
      <c r="AU149" s="615"/>
      <c r="AV149" s="615"/>
      <c r="AW149" s="615"/>
      <c r="AX149" s="615"/>
      <c r="AY149" s="616"/>
      <c r="AZ149" s="581"/>
      <c r="BA149" s="581"/>
      <c r="BB149" s="581"/>
      <c r="BC149" s="581"/>
    </row>
    <row r="150" spans="1:55" x14ac:dyDescent="0.25">
      <c r="A150" s="528" t="s">
        <v>322</v>
      </c>
      <c r="B150" s="684" t="s">
        <v>122</v>
      </c>
      <c r="C150" s="605" t="s">
        <v>25</v>
      </c>
      <c r="D150" s="317">
        <v>10</v>
      </c>
      <c r="E150" s="317">
        <v>3</v>
      </c>
      <c r="F150" s="319">
        <v>1287</v>
      </c>
      <c r="G150" s="683">
        <v>1270</v>
      </c>
      <c r="H150" s="357">
        <f t="shared" ref="H150:H163" si="189">G150*0.1</f>
        <v>127</v>
      </c>
      <c r="I150" s="410">
        <v>5.75</v>
      </c>
      <c r="J150" s="607">
        <f>ROUND(G150*(1+'29_01_H_2020'!$F$14),2)</f>
        <v>1397</v>
      </c>
      <c r="K150" s="608">
        <f t="shared" ref="K150:K163" si="190">IF(J150&lt;=F150,J150,F150)</f>
        <v>1287</v>
      </c>
      <c r="L150" s="608">
        <f t="shared" ref="L150:L163" si="191">K150-G150</f>
        <v>17</v>
      </c>
      <c r="M150" s="608">
        <f t="shared" ref="M150:M163" si="192">J150-K150</f>
        <v>110</v>
      </c>
      <c r="N150" s="608">
        <f t="shared" ref="N150:N163" si="193">ROUND(H150/G150*K150-H150,2)</f>
        <v>1.7</v>
      </c>
      <c r="O150" s="608">
        <f t="shared" ref="O150:O163" si="194">ROUND(H150/G150*J150-H150-N150,2)</f>
        <v>11</v>
      </c>
      <c r="P150" s="609">
        <f t="shared" si="184"/>
        <v>139.69999999999999</v>
      </c>
      <c r="Q150" s="609">
        <f t="shared" si="185"/>
        <v>803.27499999999998</v>
      </c>
      <c r="R150" s="609">
        <f t="shared" si="186"/>
        <v>9639.2999999999993</v>
      </c>
      <c r="S150" s="609">
        <f t="shared" si="187"/>
        <v>2322.11</v>
      </c>
      <c r="T150" s="610">
        <f t="shared" ref="T150:T163" si="195">SUM(R150:S150)</f>
        <v>11961.41</v>
      </c>
      <c r="U150" s="611"/>
      <c r="V150" s="612"/>
      <c r="W150" s="613"/>
      <c r="X150" s="614"/>
      <c r="Y150" s="614"/>
      <c r="Z150" s="581"/>
      <c r="AA150" s="581"/>
      <c r="AB150" s="615"/>
      <c r="AC150" s="615"/>
      <c r="AD150" s="615"/>
      <c r="AE150" s="615"/>
      <c r="AF150" s="615"/>
      <c r="AG150" s="615"/>
      <c r="AH150" s="615"/>
      <c r="AI150" s="615"/>
      <c r="AJ150" s="615"/>
      <c r="AK150" s="615"/>
      <c r="AL150" s="616"/>
      <c r="AM150" s="581"/>
      <c r="AN150" s="581"/>
      <c r="AO150" s="615"/>
      <c r="AP150" s="615"/>
      <c r="AQ150" s="615"/>
      <c r="AR150" s="615"/>
      <c r="AS150" s="615"/>
      <c r="AT150" s="615"/>
      <c r="AU150" s="615"/>
      <c r="AV150" s="615"/>
      <c r="AW150" s="615"/>
      <c r="AX150" s="615"/>
      <c r="AY150" s="616"/>
      <c r="AZ150" s="581"/>
      <c r="BA150" s="581"/>
      <c r="BB150" s="581"/>
      <c r="BC150" s="581"/>
    </row>
    <row r="151" spans="1:55" x14ac:dyDescent="0.25">
      <c r="A151" s="528" t="s">
        <v>323</v>
      </c>
      <c r="B151" s="684" t="s">
        <v>122</v>
      </c>
      <c r="C151" s="605" t="s">
        <v>25</v>
      </c>
      <c r="D151" s="317">
        <v>10</v>
      </c>
      <c r="E151" s="317">
        <v>3</v>
      </c>
      <c r="F151" s="319">
        <v>1287</v>
      </c>
      <c r="G151" s="683">
        <v>1270</v>
      </c>
      <c r="H151" s="357">
        <f t="shared" si="189"/>
        <v>127</v>
      </c>
      <c r="I151" s="410">
        <v>1.5</v>
      </c>
      <c r="J151" s="607">
        <f>ROUND(G151*(1+'29_01_H_2020'!$F$14),2)</f>
        <v>1397</v>
      </c>
      <c r="K151" s="608">
        <f t="shared" si="190"/>
        <v>1287</v>
      </c>
      <c r="L151" s="608">
        <f t="shared" si="191"/>
        <v>17</v>
      </c>
      <c r="M151" s="608">
        <f t="shared" si="192"/>
        <v>110</v>
      </c>
      <c r="N151" s="608">
        <f t="shared" si="193"/>
        <v>1.7</v>
      </c>
      <c r="O151" s="608">
        <f t="shared" si="194"/>
        <v>11</v>
      </c>
      <c r="P151" s="609">
        <f t="shared" si="184"/>
        <v>139.69999999999999</v>
      </c>
      <c r="Q151" s="609">
        <f t="shared" si="185"/>
        <v>209.54999999999998</v>
      </c>
      <c r="R151" s="609">
        <f t="shared" si="186"/>
        <v>2514.6</v>
      </c>
      <c r="S151" s="609">
        <f t="shared" si="187"/>
        <v>605.77</v>
      </c>
      <c r="T151" s="610">
        <f t="shared" si="195"/>
        <v>3120.37</v>
      </c>
      <c r="U151" s="611"/>
      <c r="V151" s="612"/>
      <c r="W151" s="613"/>
      <c r="X151" s="614"/>
      <c r="Y151" s="614"/>
      <c r="Z151" s="581"/>
      <c r="AA151" s="581"/>
      <c r="AB151" s="615"/>
      <c r="AC151" s="615"/>
      <c r="AD151" s="615"/>
      <c r="AE151" s="615"/>
      <c r="AF151" s="615"/>
      <c r="AG151" s="615"/>
      <c r="AH151" s="615"/>
      <c r="AI151" s="615"/>
      <c r="AJ151" s="615"/>
      <c r="AK151" s="615"/>
      <c r="AL151" s="616"/>
      <c r="AM151" s="581"/>
      <c r="AN151" s="581"/>
      <c r="AO151" s="615"/>
      <c r="AP151" s="615"/>
      <c r="AQ151" s="615"/>
      <c r="AR151" s="615"/>
      <c r="AS151" s="615"/>
      <c r="AT151" s="615"/>
      <c r="AU151" s="615"/>
      <c r="AV151" s="615"/>
      <c r="AW151" s="615"/>
      <c r="AX151" s="615"/>
      <c r="AY151" s="616"/>
      <c r="AZ151" s="581"/>
      <c r="BA151" s="581"/>
      <c r="BB151" s="581"/>
      <c r="BC151" s="581"/>
    </row>
    <row r="152" spans="1:55" x14ac:dyDescent="0.25">
      <c r="A152" s="528" t="s">
        <v>324</v>
      </c>
      <c r="B152" s="684" t="s">
        <v>122</v>
      </c>
      <c r="C152" s="605" t="s">
        <v>25</v>
      </c>
      <c r="D152" s="317">
        <v>10</v>
      </c>
      <c r="E152" s="317">
        <v>3</v>
      </c>
      <c r="F152" s="319">
        <v>1287</v>
      </c>
      <c r="G152" s="683">
        <v>1270</v>
      </c>
      <c r="H152" s="357">
        <f t="shared" si="189"/>
        <v>127</v>
      </c>
      <c r="I152" s="410">
        <v>0.75</v>
      </c>
      <c r="J152" s="607">
        <f>ROUND(G152*(1+'29_01_H_2020'!$F$14),2)</f>
        <v>1397</v>
      </c>
      <c r="K152" s="608">
        <f t="shared" si="190"/>
        <v>1287</v>
      </c>
      <c r="L152" s="608">
        <f t="shared" si="191"/>
        <v>17</v>
      </c>
      <c r="M152" s="608">
        <f t="shared" si="192"/>
        <v>110</v>
      </c>
      <c r="N152" s="608">
        <f t="shared" si="193"/>
        <v>1.7</v>
      </c>
      <c r="O152" s="608">
        <f t="shared" si="194"/>
        <v>11</v>
      </c>
      <c r="P152" s="609">
        <f t="shared" si="184"/>
        <v>139.69999999999999</v>
      </c>
      <c r="Q152" s="609">
        <f t="shared" si="185"/>
        <v>104.77499999999999</v>
      </c>
      <c r="R152" s="609">
        <f t="shared" si="186"/>
        <v>1257.3</v>
      </c>
      <c r="S152" s="609">
        <f t="shared" si="187"/>
        <v>302.88</v>
      </c>
      <c r="T152" s="610">
        <f t="shared" si="195"/>
        <v>1560.1799999999998</v>
      </c>
      <c r="U152" s="611"/>
      <c r="V152" s="612"/>
      <c r="W152" s="613"/>
      <c r="X152" s="614"/>
      <c r="Y152" s="614"/>
      <c r="Z152" s="581"/>
      <c r="AA152" s="581"/>
      <c r="AB152" s="615"/>
      <c r="AC152" s="615"/>
      <c r="AD152" s="615"/>
      <c r="AE152" s="615"/>
      <c r="AF152" s="615"/>
      <c r="AG152" s="615"/>
      <c r="AH152" s="615"/>
      <c r="AI152" s="615"/>
      <c r="AJ152" s="615"/>
      <c r="AK152" s="615"/>
      <c r="AL152" s="616"/>
      <c r="AM152" s="581"/>
      <c r="AN152" s="581"/>
      <c r="AO152" s="615"/>
      <c r="AP152" s="615"/>
      <c r="AQ152" s="615"/>
      <c r="AR152" s="615"/>
      <c r="AS152" s="615"/>
      <c r="AT152" s="615"/>
      <c r="AU152" s="615"/>
      <c r="AV152" s="615"/>
      <c r="AW152" s="615"/>
      <c r="AX152" s="615"/>
      <c r="AY152" s="616"/>
      <c r="AZ152" s="581"/>
      <c r="BA152" s="581"/>
      <c r="BB152" s="581"/>
      <c r="BC152" s="581"/>
    </row>
    <row r="153" spans="1:55" x14ac:dyDescent="0.25">
      <c r="A153" s="528" t="s">
        <v>325</v>
      </c>
      <c r="B153" s="684" t="s">
        <v>122</v>
      </c>
      <c r="C153" s="605" t="s">
        <v>25</v>
      </c>
      <c r="D153" s="317">
        <v>10</v>
      </c>
      <c r="E153" s="317">
        <v>3</v>
      </c>
      <c r="F153" s="319">
        <v>1287</v>
      </c>
      <c r="G153" s="683">
        <v>1270</v>
      </c>
      <c r="H153" s="357">
        <f t="shared" si="189"/>
        <v>127</v>
      </c>
      <c r="I153" s="410">
        <v>2</v>
      </c>
      <c r="J153" s="607">
        <f>ROUND(G153*(1+'29_01_H_2020'!$F$14),2)</f>
        <v>1397</v>
      </c>
      <c r="K153" s="608">
        <f t="shared" si="190"/>
        <v>1287</v>
      </c>
      <c r="L153" s="608">
        <f t="shared" si="191"/>
        <v>17</v>
      </c>
      <c r="M153" s="608">
        <f t="shared" si="192"/>
        <v>110</v>
      </c>
      <c r="N153" s="608">
        <f t="shared" si="193"/>
        <v>1.7</v>
      </c>
      <c r="O153" s="608">
        <f t="shared" si="194"/>
        <v>11</v>
      </c>
      <c r="P153" s="609">
        <f t="shared" si="184"/>
        <v>139.69999999999999</v>
      </c>
      <c r="Q153" s="609">
        <f t="shared" si="185"/>
        <v>279.39999999999998</v>
      </c>
      <c r="R153" s="609">
        <f t="shared" si="186"/>
        <v>3352.7999999999997</v>
      </c>
      <c r="S153" s="609">
        <f t="shared" si="187"/>
        <v>807.69</v>
      </c>
      <c r="T153" s="610">
        <f t="shared" si="195"/>
        <v>4160.49</v>
      </c>
      <c r="U153" s="611"/>
      <c r="V153" s="612"/>
      <c r="W153" s="613"/>
      <c r="X153" s="614"/>
      <c r="Y153" s="614"/>
      <c r="Z153" s="581"/>
      <c r="AA153" s="581"/>
      <c r="AB153" s="615"/>
      <c r="AC153" s="615"/>
      <c r="AD153" s="615"/>
      <c r="AE153" s="615"/>
      <c r="AF153" s="615"/>
      <c r="AG153" s="615"/>
      <c r="AH153" s="615"/>
      <c r="AI153" s="615"/>
      <c r="AJ153" s="615"/>
      <c r="AK153" s="615"/>
      <c r="AL153" s="616"/>
      <c r="AM153" s="581"/>
      <c r="AN153" s="581"/>
      <c r="AO153" s="615"/>
      <c r="AP153" s="615"/>
      <c r="AQ153" s="615"/>
      <c r="AR153" s="615"/>
      <c r="AS153" s="615"/>
      <c r="AT153" s="615"/>
      <c r="AU153" s="615"/>
      <c r="AV153" s="615"/>
      <c r="AW153" s="615"/>
      <c r="AX153" s="615"/>
      <c r="AY153" s="616"/>
      <c r="AZ153" s="581"/>
      <c r="BA153" s="581"/>
      <c r="BB153" s="581"/>
      <c r="BC153" s="581"/>
    </row>
    <row r="154" spans="1:55" x14ac:dyDescent="0.25">
      <c r="A154" s="528" t="s">
        <v>326</v>
      </c>
      <c r="B154" s="684" t="s">
        <v>122</v>
      </c>
      <c r="C154" s="605" t="s">
        <v>25</v>
      </c>
      <c r="D154" s="317">
        <v>10</v>
      </c>
      <c r="E154" s="317">
        <v>3</v>
      </c>
      <c r="F154" s="319">
        <v>1287</v>
      </c>
      <c r="G154" s="683">
        <v>1270</v>
      </c>
      <c r="H154" s="357">
        <f t="shared" si="189"/>
        <v>127</v>
      </c>
      <c r="I154" s="410">
        <v>0.25</v>
      </c>
      <c r="J154" s="607">
        <f>ROUND(G154*(1+'29_01_H_2020'!$F$14),2)</f>
        <v>1397</v>
      </c>
      <c r="K154" s="608">
        <f t="shared" si="190"/>
        <v>1287</v>
      </c>
      <c r="L154" s="608">
        <f t="shared" si="191"/>
        <v>17</v>
      </c>
      <c r="M154" s="608">
        <f t="shared" si="192"/>
        <v>110</v>
      </c>
      <c r="N154" s="608">
        <f t="shared" si="193"/>
        <v>1.7</v>
      </c>
      <c r="O154" s="608">
        <f t="shared" si="194"/>
        <v>11</v>
      </c>
      <c r="P154" s="609">
        <f t="shared" si="184"/>
        <v>139.69999999999999</v>
      </c>
      <c r="Q154" s="609">
        <f t="shared" si="185"/>
        <v>34.924999999999997</v>
      </c>
      <c r="R154" s="609">
        <f t="shared" si="186"/>
        <v>419.09999999999997</v>
      </c>
      <c r="S154" s="609">
        <f t="shared" si="187"/>
        <v>100.96</v>
      </c>
      <c r="T154" s="610">
        <f t="shared" si="195"/>
        <v>520.05999999999995</v>
      </c>
      <c r="U154" s="611"/>
      <c r="V154" s="612"/>
      <c r="W154" s="613"/>
      <c r="X154" s="614"/>
      <c r="Y154" s="614"/>
      <c r="Z154" s="581"/>
      <c r="AA154" s="581"/>
      <c r="AB154" s="615"/>
      <c r="AC154" s="615"/>
      <c r="AD154" s="615"/>
      <c r="AE154" s="615"/>
      <c r="AF154" s="615"/>
      <c r="AG154" s="615"/>
      <c r="AH154" s="615"/>
      <c r="AI154" s="615"/>
      <c r="AJ154" s="615"/>
      <c r="AK154" s="615"/>
      <c r="AL154" s="616"/>
      <c r="AM154" s="581"/>
      <c r="AN154" s="581"/>
      <c r="AO154" s="615"/>
      <c r="AP154" s="615"/>
      <c r="AQ154" s="615"/>
      <c r="AR154" s="615"/>
      <c r="AS154" s="615"/>
      <c r="AT154" s="615"/>
      <c r="AU154" s="615"/>
      <c r="AV154" s="615"/>
      <c r="AW154" s="615"/>
      <c r="AX154" s="615"/>
      <c r="AY154" s="616"/>
      <c r="AZ154" s="581"/>
      <c r="BA154" s="581"/>
      <c r="BB154" s="581"/>
      <c r="BC154" s="581"/>
    </row>
    <row r="155" spans="1:55" x14ac:dyDescent="0.25">
      <c r="A155" s="88" t="s">
        <v>327</v>
      </c>
      <c r="B155" s="684" t="s">
        <v>122</v>
      </c>
      <c r="C155" s="605" t="s">
        <v>295</v>
      </c>
      <c r="D155" s="317">
        <v>9</v>
      </c>
      <c r="E155" s="317">
        <v>3</v>
      </c>
      <c r="F155" s="319">
        <v>1190</v>
      </c>
      <c r="G155" s="683">
        <v>1030</v>
      </c>
      <c r="H155" s="357">
        <f t="shared" si="189"/>
        <v>103</v>
      </c>
      <c r="I155" s="410">
        <v>6</v>
      </c>
      <c r="J155" s="607">
        <f>ROUND(G155*(1+'29_01_H_2020'!$F$14),2)</f>
        <v>1133</v>
      </c>
      <c r="K155" s="608">
        <f t="shared" si="190"/>
        <v>1133</v>
      </c>
      <c r="L155" s="608">
        <f t="shared" si="191"/>
        <v>103</v>
      </c>
      <c r="M155" s="608">
        <f t="shared" si="192"/>
        <v>0</v>
      </c>
      <c r="N155" s="608">
        <f t="shared" si="193"/>
        <v>10.3</v>
      </c>
      <c r="O155" s="608">
        <f t="shared" si="194"/>
        <v>0</v>
      </c>
      <c r="P155" s="609">
        <f t="shared" si="184"/>
        <v>113.3</v>
      </c>
      <c r="Q155" s="609">
        <f t="shared" si="185"/>
        <v>679.8</v>
      </c>
      <c r="R155" s="609">
        <f t="shared" si="186"/>
        <v>8157.5999999999995</v>
      </c>
      <c r="S155" s="609">
        <f t="shared" si="187"/>
        <v>1965.17</v>
      </c>
      <c r="T155" s="610">
        <f t="shared" si="195"/>
        <v>10122.77</v>
      </c>
      <c r="U155" s="611"/>
      <c r="V155" s="612"/>
      <c r="W155" s="613"/>
      <c r="X155" s="614"/>
      <c r="Y155" s="614"/>
      <c r="Z155" s="581"/>
      <c r="AA155" s="581"/>
      <c r="AB155" s="615"/>
      <c r="AC155" s="615"/>
      <c r="AD155" s="615"/>
      <c r="AE155" s="615"/>
      <c r="AF155" s="615"/>
      <c r="AG155" s="615"/>
      <c r="AH155" s="615"/>
      <c r="AI155" s="615"/>
      <c r="AJ155" s="615"/>
      <c r="AK155" s="615"/>
      <c r="AL155" s="616"/>
      <c r="AM155" s="581"/>
      <c r="AN155" s="581"/>
      <c r="AO155" s="615"/>
      <c r="AP155" s="615"/>
      <c r="AQ155" s="615"/>
      <c r="AR155" s="615"/>
      <c r="AS155" s="615"/>
      <c r="AT155" s="615"/>
      <c r="AU155" s="615"/>
      <c r="AV155" s="615"/>
      <c r="AW155" s="615"/>
      <c r="AX155" s="615"/>
      <c r="AY155" s="616"/>
      <c r="AZ155" s="581"/>
      <c r="BA155" s="581"/>
      <c r="BB155" s="581"/>
      <c r="BC155" s="581"/>
    </row>
    <row r="156" spans="1:55" x14ac:dyDescent="0.25">
      <c r="A156" s="88" t="s">
        <v>327</v>
      </c>
      <c r="B156" s="684" t="s">
        <v>122</v>
      </c>
      <c r="C156" s="605" t="s">
        <v>295</v>
      </c>
      <c r="D156" s="317">
        <v>9</v>
      </c>
      <c r="E156" s="317">
        <v>2</v>
      </c>
      <c r="F156" s="319">
        <v>1015</v>
      </c>
      <c r="G156" s="683">
        <v>930</v>
      </c>
      <c r="H156" s="357">
        <f t="shared" si="189"/>
        <v>93</v>
      </c>
      <c r="I156" s="410">
        <v>4.5</v>
      </c>
      <c r="J156" s="607">
        <f>ROUND(G156*(1+'29_01_H_2020'!$F$14),2)</f>
        <v>1023</v>
      </c>
      <c r="K156" s="608">
        <f t="shared" si="190"/>
        <v>1015</v>
      </c>
      <c r="L156" s="608">
        <f t="shared" si="191"/>
        <v>85</v>
      </c>
      <c r="M156" s="608">
        <f t="shared" si="192"/>
        <v>8</v>
      </c>
      <c r="N156" s="608">
        <f t="shared" si="193"/>
        <v>8.5</v>
      </c>
      <c r="O156" s="608">
        <f t="shared" si="194"/>
        <v>0.8</v>
      </c>
      <c r="P156" s="609">
        <f t="shared" si="184"/>
        <v>102.3</v>
      </c>
      <c r="Q156" s="609">
        <f t="shared" si="185"/>
        <v>460.34999999999997</v>
      </c>
      <c r="R156" s="609">
        <f t="shared" si="186"/>
        <v>5524.2</v>
      </c>
      <c r="S156" s="609">
        <f t="shared" si="187"/>
        <v>1330.78</v>
      </c>
      <c r="T156" s="610">
        <f t="shared" si="195"/>
        <v>6854.98</v>
      </c>
      <c r="U156" s="611"/>
      <c r="V156" s="612"/>
      <c r="W156" s="613"/>
      <c r="X156" s="614"/>
      <c r="Y156" s="614"/>
      <c r="Z156" s="581"/>
      <c r="AA156" s="581"/>
      <c r="AB156" s="615"/>
      <c r="AC156" s="615"/>
      <c r="AD156" s="615"/>
      <c r="AE156" s="615"/>
      <c r="AF156" s="615"/>
      <c r="AG156" s="615"/>
      <c r="AH156" s="615"/>
      <c r="AI156" s="615"/>
      <c r="AJ156" s="615"/>
      <c r="AK156" s="615"/>
      <c r="AL156" s="616"/>
      <c r="AM156" s="581"/>
      <c r="AN156" s="581"/>
      <c r="AO156" s="615"/>
      <c r="AP156" s="615"/>
      <c r="AQ156" s="615"/>
      <c r="AR156" s="615"/>
      <c r="AS156" s="615"/>
      <c r="AT156" s="615"/>
      <c r="AU156" s="615"/>
      <c r="AV156" s="615"/>
      <c r="AW156" s="615"/>
      <c r="AX156" s="615"/>
      <c r="AY156" s="616"/>
      <c r="AZ156" s="581"/>
      <c r="BA156" s="581"/>
      <c r="BB156" s="581"/>
      <c r="BC156" s="581"/>
    </row>
    <row r="157" spans="1:55" x14ac:dyDescent="0.25">
      <c r="A157" s="77" t="s">
        <v>328</v>
      </c>
      <c r="B157" s="684" t="s">
        <v>158</v>
      </c>
      <c r="C157" s="605" t="s">
        <v>25</v>
      </c>
      <c r="D157" s="317">
        <v>7</v>
      </c>
      <c r="E157" s="317">
        <v>3</v>
      </c>
      <c r="F157" s="319">
        <v>996</v>
      </c>
      <c r="G157" s="683">
        <v>870</v>
      </c>
      <c r="H157" s="357">
        <f t="shared" si="189"/>
        <v>87</v>
      </c>
      <c r="I157" s="410">
        <v>1.5</v>
      </c>
      <c r="J157" s="607">
        <f>ROUND(G157*(1+'29_01_H_2020'!$F$14),2)</f>
        <v>957</v>
      </c>
      <c r="K157" s="608">
        <f t="shared" si="190"/>
        <v>957</v>
      </c>
      <c r="L157" s="608">
        <f t="shared" si="191"/>
        <v>87</v>
      </c>
      <c r="M157" s="608">
        <f t="shared" si="192"/>
        <v>0</v>
      </c>
      <c r="N157" s="608">
        <f t="shared" si="193"/>
        <v>8.6999999999999993</v>
      </c>
      <c r="O157" s="608">
        <f t="shared" si="194"/>
        <v>0</v>
      </c>
      <c r="P157" s="609">
        <f t="shared" si="184"/>
        <v>95.7</v>
      </c>
      <c r="Q157" s="609">
        <f t="shared" si="185"/>
        <v>143.55000000000001</v>
      </c>
      <c r="R157" s="609">
        <f t="shared" si="186"/>
        <v>1722.6000000000001</v>
      </c>
      <c r="S157" s="609">
        <f t="shared" si="187"/>
        <v>414.97</v>
      </c>
      <c r="T157" s="610">
        <f t="shared" si="195"/>
        <v>2137.5700000000002</v>
      </c>
      <c r="U157" s="611"/>
      <c r="V157" s="612"/>
      <c r="W157" s="613"/>
      <c r="X157" s="614"/>
      <c r="Y157" s="614"/>
      <c r="Z157" s="581"/>
      <c r="AA157" s="581"/>
      <c r="AB157" s="615"/>
      <c r="AC157" s="615"/>
      <c r="AD157" s="615"/>
      <c r="AE157" s="615"/>
      <c r="AF157" s="615"/>
      <c r="AG157" s="615"/>
      <c r="AH157" s="615"/>
      <c r="AI157" s="615"/>
      <c r="AJ157" s="615"/>
      <c r="AK157" s="615"/>
      <c r="AL157" s="616"/>
      <c r="AM157" s="581"/>
      <c r="AN157" s="581"/>
      <c r="AO157" s="615"/>
      <c r="AP157" s="615"/>
      <c r="AQ157" s="615"/>
      <c r="AR157" s="615"/>
      <c r="AS157" s="615"/>
      <c r="AT157" s="615"/>
      <c r="AU157" s="615"/>
      <c r="AV157" s="615"/>
      <c r="AW157" s="615"/>
      <c r="AX157" s="615"/>
      <c r="AY157" s="616"/>
      <c r="AZ157" s="581"/>
      <c r="BA157" s="581"/>
      <c r="BB157" s="581"/>
      <c r="BC157" s="581"/>
    </row>
    <row r="158" spans="1:55" x14ac:dyDescent="0.25">
      <c r="A158" s="77" t="s">
        <v>328</v>
      </c>
      <c r="B158" s="684" t="s">
        <v>158</v>
      </c>
      <c r="C158" s="605" t="s">
        <v>25</v>
      </c>
      <c r="D158" s="317">
        <v>7</v>
      </c>
      <c r="E158" s="317">
        <v>2</v>
      </c>
      <c r="F158" s="319">
        <v>835</v>
      </c>
      <c r="G158" s="683">
        <v>830</v>
      </c>
      <c r="H158" s="357">
        <f t="shared" si="189"/>
        <v>83</v>
      </c>
      <c r="I158" s="410">
        <v>1.25</v>
      </c>
      <c r="J158" s="607">
        <f>ROUND(G158*(1+'29_01_H_2020'!$F$14),2)</f>
        <v>913</v>
      </c>
      <c r="K158" s="608">
        <f t="shared" si="190"/>
        <v>835</v>
      </c>
      <c r="L158" s="608">
        <f t="shared" si="191"/>
        <v>5</v>
      </c>
      <c r="M158" s="608">
        <f t="shared" si="192"/>
        <v>78</v>
      </c>
      <c r="N158" s="608">
        <f t="shared" si="193"/>
        <v>0.5</v>
      </c>
      <c r="O158" s="608">
        <f t="shared" si="194"/>
        <v>7.8</v>
      </c>
      <c r="P158" s="609">
        <f t="shared" si="184"/>
        <v>91.3</v>
      </c>
      <c r="Q158" s="609">
        <f t="shared" si="185"/>
        <v>114.125</v>
      </c>
      <c r="R158" s="609">
        <f t="shared" si="186"/>
        <v>1369.5</v>
      </c>
      <c r="S158" s="609">
        <f t="shared" si="187"/>
        <v>329.91</v>
      </c>
      <c r="T158" s="610">
        <f t="shared" si="195"/>
        <v>1699.41</v>
      </c>
      <c r="U158" s="611"/>
      <c r="V158" s="612"/>
      <c r="W158" s="613"/>
      <c r="X158" s="614"/>
      <c r="Y158" s="614"/>
      <c r="Z158" s="581"/>
      <c r="AA158" s="581"/>
      <c r="AB158" s="615"/>
      <c r="AC158" s="615"/>
      <c r="AD158" s="615"/>
      <c r="AE158" s="615"/>
      <c r="AF158" s="615"/>
      <c r="AG158" s="615"/>
      <c r="AH158" s="615"/>
      <c r="AI158" s="615"/>
      <c r="AJ158" s="615"/>
      <c r="AK158" s="615"/>
      <c r="AL158" s="616"/>
      <c r="AM158" s="581"/>
      <c r="AN158" s="581"/>
      <c r="AO158" s="615"/>
      <c r="AP158" s="615"/>
      <c r="AQ158" s="615"/>
      <c r="AR158" s="615"/>
      <c r="AS158" s="615"/>
      <c r="AT158" s="615"/>
      <c r="AU158" s="615"/>
      <c r="AV158" s="615"/>
      <c r="AW158" s="615"/>
      <c r="AX158" s="615"/>
      <c r="AY158" s="616"/>
      <c r="AZ158" s="581"/>
      <c r="BA158" s="581"/>
      <c r="BB158" s="581"/>
      <c r="BC158" s="581"/>
    </row>
    <row r="159" spans="1:55" x14ac:dyDescent="0.25">
      <c r="A159" s="77" t="s">
        <v>328</v>
      </c>
      <c r="B159" s="682" t="s">
        <v>158</v>
      </c>
      <c r="C159" s="605" t="s">
        <v>25</v>
      </c>
      <c r="D159" s="317">
        <v>7</v>
      </c>
      <c r="E159" s="317">
        <v>1</v>
      </c>
      <c r="F159" s="319">
        <v>675</v>
      </c>
      <c r="G159" s="683">
        <v>675</v>
      </c>
      <c r="H159" s="357">
        <f t="shared" si="189"/>
        <v>67.5</v>
      </c>
      <c r="I159" s="410">
        <v>1</v>
      </c>
      <c r="J159" s="607">
        <f>ROUND(G159*(1+'29_01_H_2020'!$F$14),2)</f>
        <v>742.5</v>
      </c>
      <c r="K159" s="608">
        <f t="shared" si="190"/>
        <v>675</v>
      </c>
      <c r="L159" s="608">
        <f t="shared" si="191"/>
        <v>0</v>
      </c>
      <c r="M159" s="608">
        <f t="shared" si="192"/>
        <v>67.5</v>
      </c>
      <c r="N159" s="608">
        <f t="shared" si="193"/>
        <v>0</v>
      </c>
      <c r="O159" s="608">
        <f t="shared" si="194"/>
        <v>6.75</v>
      </c>
      <c r="P159" s="609">
        <f t="shared" si="184"/>
        <v>74.25</v>
      </c>
      <c r="Q159" s="609">
        <f t="shared" si="185"/>
        <v>74.25</v>
      </c>
      <c r="R159" s="609">
        <f t="shared" si="186"/>
        <v>891</v>
      </c>
      <c r="S159" s="609">
        <f t="shared" si="187"/>
        <v>214.64</v>
      </c>
      <c r="T159" s="610">
        <f t="shared" si="195"/>
        <v>1105.6399999999999</v>
      </c>
      <c r="U159" s="611"/>
      <c r="V159" s="612"/>
      <c r="W159" s="613"/>
      <c r="X159" s="614"/>
      <c r="Y159" s="614"/>
      <c r="Z159" s="581"/>
      <c r="AA159" s="581"/>
      <c r="AB159" s="615"/>
      <c r="AC159" s="615"/>
      <c r="AD159" s="615"/>
      <c r="AE159" s="615"/>
      <c r="AF159" s="615"/>
      <c r="AG159" s="615"/>
      <c r="AH159" s="615"/>
      <c r="AI159" s="615"/>
      <c r="AJ159" s="615"/>
      <c r="AK159" s="615"/>
      <c r="AL159" s="616"/>
      <c r="AM159" s="581"/>
      <c r="AN159" s="581"/>
      <c r="AO159" s="615"/>
      <c r="AP159" s="615"/>
      <c r="AQ159" s="615"/>
      <c r="AR159" s="615"/>
      <c r="AS159" s="615"/>
      <c r="AT159" s="615"/>
      <c r="AU159" s="615"/>
      <c r="AV159" s="615"/>
      <c r="AW159" s="615"/>
      <c r="AX159" s="615"/>
      <c r="AY159" s="616"/>
      <c r="AZ159" s="581"/>
      <c r="BA159" s="581"/>
      <c r="BB159" s="581"/>
      <c r="BC159" s="581"/>
    </row>
    <row r="160" spans="1:55" x14ac:dyDescent="0.25">
      <c r="A160" s="77" t="s">
        <v>329</v>
      </c>
      <c r="B160" s="684" t="s">
        <v>122</v>
      </c>
      <c r="C160" s="605" t="s">
        <v>295</v>
      </c>
      <c r="D160" s="317">
        <v>9</v>
      </c>
      <c r="E160" s="317">
        <v>3</v>
      </c>
      <c r="F160" s="319">
        <v>1190</v>
      </c>
      <c r="G160" s="683">
        <v>1030</v>
      </c>
      <c r="H160" s="357">
        <f t="shared" si="189"/>
        <v>103</v>
      </c>
      <c r="I160" s="410">
        <v>4.75</v>
      </c>
      <c r="J160" s="607">
        <f>ROUND(G160*(1+'29_01_H_2020'!$F$14),2)</f>
        <v>1133</v>
      </c>
      <c r="K160" s="608">
        <f t="shared" si="190"/>
        <v>1133</v>
      </c>
      <c r="L160" s="608">
        <f t="shared" si="191"/>
        <v>103</v>
      </c>
      <c r="M160" s="608">
        <f t="shared" si="192"/>
        <v>0</v>
      </c>
      <c r="N160" s="608">
        <f t="shared" si="193"/>
        <v>10.3</v>
      </c>
      <c r="O160" s="608">
        <f t="shared" si="194"/>
        <v>0</v>
      </c>
      <c r="P160" s="609">
        <f t="shared" si="184"/>
        <v>113.3</v>
      </c>
      <c r="Q160" s="609">
        <f t="shared" si="185"/>
        <v>538.17499999999995</v>
      </c>
      <c r="R160" s="609">
        <f t="shared" si="186"/>
        <v>6458.0999999999995</v>
      </c>
      <c r="S160" s="609">
        <f t="shared" si="187"/>
        <v>1555.76</v>
      </c>
      <c r="T160" s="610">
        <f t="shared" si="195"/>
        <v>8013.86</v>
      </c>
      <c r="U160" s="611"/>
      <c r="V160" s="612"/>
      <c r="W160" s="613"/>
      <c r="X160" s="614"/>
      <c r="Y160" s="614"/>
      <c r="Z160" s="581"/>
      <c r="AA160" s="581"/>
      <c r="AB160" s="615"/>
      <c r="AC160" s="615"/>
      <c r="AD160" s="615"/>
      <c r="AE160" s="615"/>
      <c r="AF160" s="615"/>
      <c r="AG160" s="615"/>
      <c r="AH160" s="615"/>
      <c r="AI160" s="615"/>
      <c r="AJ160" s="615"/>
      <c r="AK160" s="615"/>
      <c r="AL160" s="616"/>
      <c r="AM160" s="581"/>
      <c r="AN160" s="581"/>
      <c r="AO160" s="615"/>
      <c r="AP160" s="615"/>
      <c r="AQ160" s="615"/>
      <c r="AR160" s="615"/>
      <c r="AS160" s="615"/>
      <c r="AT160" s="615"/>
      <c r="AU160" s="615"/>
      <c r="AV160" s="615"/>
      <c r="AW160" s="615"/>
      <c r="AX160" s="615"/>
      <c r="AY160" s="616"/>
      <c r="AZ160" s="581"/>
      <c r="BA160" s="581"/>
      <c r="BB160" s="581"/>
      <c r="BC160" s="581"/>
    </row>
    <row r="161" spans="1:55" x14ac:dyDescent="0.25">
      <c r="A161" s="77" t="s">
        <v>329</v>
      </c>
      <c r="B161" s="684" t="s">
        <v>122</v>
      </c>
      <c r="C161" s="605" t="s">
        <v>295</v>
      </c>
      <c r="D161" s="317">
        <v>9</v>
      </c>
      <c r="E161" s="317">
        <v>2</v>
      </c>
      <c r="F161" s="319">
        <v>1015</v>
      </c>
      <c r="G161" s="683">
        <v>930</v>
      </c>
      <c r="H161" s="357">
        <f t="shared" si="189"/>
        <v>93</v>
      </c>
      <c r="I161" s="410">
        <v>0.5</v>
      </c>
      <c r="J161" s="607">
        <f>ROUND(G161*(1+'29_01_H_2020'!$F$14),2)</f>
        <v>1023</v>
      </c>
      <c r="K161" s="608">
        <f t="shared" si="190"/>
        <v>1015</v>
      </c>
      <c r="L161" s="608">
        <f t="shared" si="191"/>
        <v>85</v>
      </c>
      <c r="M161" s="608">
        <f t="shared" si="192"/>
        <v>8</v>
      </c>
      <c r="N161" s="608">
        <f t="shared" si="193"/>
        <v>8.5</v>
      </c>
      <c r="O161" s="608">
        <f t="shared" si="194"/>
        <v>0.8</v>
      </c>
      <c r="P161" s="609">
        <f t="shared" si="184"/>
        <v>102.3</v>
      </c>
      <c r="Q161" s="609">
        <f t="shared" si="185"/>
        <v>51.15</v>
      </c>
      <c r="R161" s="609">
        <f t="shared" si="186"/>
        <v>613.79999999999995</v>
      </c>
      <c r="S161" s="609">
        <f t="shared" si="187"/>
        <v>147.86000000000001</v>
      </c>
      <c r="T161" s="610">
        <f t="shared" si="195"/>
        <v>761.66</v>
      </c>
      <c r="U161" s="611"/>
      <c r="V161" s="612"/>
      <c r="W161" s="613"/>
      <c r="X161" s="614"/>
      <c r="Y161" s="614"/>
      <c r="Z161" s="581"/>
      <c r="AA161" s="581"/>
      <c r="AB161" s="615"/>
      <c r="AC161" s="615"/>
      <c r="AD161" s="615"/>
      <c r="AE161" s="615"/>
      <c r="AF161" s="615"/>
      <c r="AG161" s="615"/>
      <c r="AH161" s="615"/>
      <c r="AI161" s="615"/>
      <c r="AJ161" s="615"/>
      <c r="AK161" s="615"/>
      <c r="AL161" s="616"/>
      <c r="AM161" s="581"/>
      <c r="AN161" s="581"/>
      <c r="AO161" s="615"/>
      <c r="AP161" s="615"/>
      <c r="AQ161" s="615"/>
      <c r="AR161" s="615"/>
      <c r="AS161" s="615"/>
      <c r="AT161" s="615"/>
      <c r="AU161" s="615"/>
      <c r="AV161" s="615"/>
      <c r="AW161" s="615"/>
      <c r="AX161" s="615"/>
      <c r="AY161" s="616"/>
      <c r="AZ161" s="581"/>
      <c r="BA161" s="581"/>
      <c r="BB161" s="581"/>
      <c r="BC161" s="581"/>
    </row>
    <row r="162" spans="1:55" x14ac:dyDescent="0.25">
      <c r="A162" s="77" t="s">
        <v>330</v>
      </c>
      <c r="B162" s="684" t="s">
        <v>122</v>
      </c>
      <c r="C162" s="605" t="s">
        <v>295</v>
      </c>
      <c r="D162" s="317">
        <v>9</v>
      </c>
      <c r="E162" s="317">
        <v>3</v>
      </c>
      <c r="F162" s="319">
        <v>1190</v>
      </c>
      <c r="G162" s="683">
        <v>1030</v>
      </c>
      <c r="H162" s="357">
        <f t="shared" si="189"/>
        <v>103</v>
      </c>
      <c r="I162" s="410">
        <v>3.25</v>
      </c>
      <c r="J162" s="607">
        <f>ROUND(G162*(1+'29_01_H_2020'!$F$14),2)</f>
        <v>1133</v>
      </c>
      <c r="K162" s="608">
        <f t="shared" si="190"/>
        <v>1133</v>
      </c>
      <c r="L162" s="608">
        <f t="shared" si="191"/>
        <v>103</v>
      </c>
      <c r="M162" s="608">
        <f t="shared" si="192"/>
        <v>0</v>
      </c>
      <c r="N162" s="608">
        <f t="shared" si="193"/>
        <v>10.3</v>
      </c>
      <c r="O162" s="608">
        <f t="shared" si="194"/>
        <v>0</v>
      </c>
      <c r="P162" s="609">
        <f t="shared" si="184"/>
        <v>113.3</v>
      </c>
      <c r="Q162" s="609">
        <f t="shared" si="185"/>
        <v>368.22499999999997</v>
      </c>
      <c r="R162" s="609">
        <f t="shared" si="186"/>
        <v>4418.7</v>
      </c>
      <c r="S162" s="609">
        <f t="shared" si="187"/>
        <v>1064.46</v>
      </c>
      <c r="T162" s="610">
        <f t="shared" si="195"/>
        <v>5483.16</v>
      </c>
      <c r="U162" s="611"/>
      <c r="V162" s="612"/>
      <c r="W162" s="613"/>
      <c r="X162" s="614"/>
      <c r="Y162" s="614"/>
      <c r="Z162" s="581"/>
      <c r="AA162" s="581"/>
      <c r="AB162" s="615"/>
      <c r="AC162" s="615"/>
      <c r="AD162" s="615"/>
      <c r="AE162" s="615"/>
      <c r="AF162" s="615"/>
      <c r="AG162" s="615"/>
      <c r="AH162" s="615"/>
      <c r="AI162" s="615"/>
      <c r="AJ162" s="615"/>
      <c r="AK162" s="615"/>
      <c r="AL162" s="616"/>
      <c r="AM162" s="581"/>
      <c r="AN162" s="581"/>
      <c r="AO162" s="615"/>
      <c r="AP162" s="615"/>
      <c r="AQ162" s="615"/>
      <c r="AR162" s="615"/>
      <c r="AS162" s="615"/>
      <c r="AT162" s="615"/>
      <c r="AU162" s="615"/>
      <c r="AV162" s="615"/>
      <c r="AW162" s="615"/>
      <c r="AX162" s="615"/>
      <c r="AY162" s="616"/>
      <c r="AZ162" s="581"/>
      <c r="BA162" s="581"/>
      <c r="BB162" s="581"/>
      <c r="BC162" s="581"/>
    </row>
    <row r="163" spans="1:55" x14ac:dyDescent="0.25">
      <c r="A163" s="681" t="s">
        <v>331</v>
      </c>
      <c r="B163" s="680" t="s">
        <v>15</v>
      </c>
      <c r="C163" s="605" t="s">
        <v>295</v>
      </c>
      <c r="D163" s="317">
        <v>9</v>
      </c>
      <c r="E163" s="317">
        <v>3</v>
      </c>
      <c r="F163" s="319">
        <v>1190</v>
      </c>
      <c r="G163" s="683">
        <v>1030</v>
      </c>
      <c r="H163" s="357">
        <f t="shared" si="189"/>
        <v>103</v>
      </c>
      <c r="I163" s="410">
        <v>1</v>
      </c>
      <c r="J163" s="607">
        <f>ROUND(G163*(1+'29_01_H_2020'!$F$14),2)</f>
        <v>1133</v>
      </c>
      <c r="K163" s="608">
        <f t="shared" si="190"/>
        <v>1133</v>
      </c>
      <c r="L163" s="608">
        <f t="shared" si="191"/>
        <v>103</v>
      </c>
      <c r="M163" s="608">
        <f t="shared" si="192"/>
        <v>0</v>
      </c>
      <c r="N163" s="608">
        <f t="shared" si="193"/>
        <v>10.3</v>
      </c>
      <c r="O163" s="608">
        <f t="shared" si="194"/>
        <v>0</v>
      </c>
      <c r="P163" s="609">
        <f t="shared" si="184"/>
        <v>113.3</v>
      </c>
      <c r="Q163" s="609">
        <f t="shared" si="185"/>
        <v>113.3</v>
      </c>
      <c r="R163" s="609">
        <f t="shared" si="186"/>
        <v>1359.6</v>
      </c>
      <c r="S163" s="609">
        <f t="shared" si="187"/>
        <v>327.52999999999997</v>
      </c>
      <c r="T163" s="610">
        <f t="shared" si="195"/>
        <v>1687.1299999999999</v>
      </c>
      <c r="U163" s="611"/>
      <c r="V163" s="612"/>
      <c r="W163" s="613"/>
      <c r="X163" s="614"/>
      <c r="Y163" s="614"/>
      <c r="Z163" s="581"/>
      <c r="AA163" s="581"/>
      <c r="AB163" s="615"/>
      <c r="AC163" s="615"/>
      <c r="AD163" s="615"/>
      <c r="AE163" s="615"/>
      <c r="AF163" s="615"/>
      <c r="AG163" s="615"/>
      <c r="AH163" s="615"/>
      <c r="AI163" s="615"/>
      <c r="AJ163" s="615"/>
      <c r="AK163" s="615"/>
      <c r="AL163" s="616"/>
      <c r="AM163" s="581"/>
      <c r="AN163" s="581"/>
      <c r="AO163" s="615"/>
      <c r="AP163" s="615"/>
      <c r="AQ163" s="615"/>
      <c r="AR163" s="615"/>
      <c r="AS163" s="615"/>
      <c r="AT163" s="615"/>
      <c r="AU163" s="615"/>
      <c r="AV163" s="615"/>
      <c r="AW163" s="615"/>
      <c r="AX163" s="615"/>
      <c r="AY163" s="616"/>
      <c r="AZ163" s="581"/>
      <c r="BA163" s="581"/>
      <c r="BB163" s="581"/>
      <c r="BC163" s="581"/>
    </row>
    <row r="164" spans="1:55" x14ac:dyDescent="0.25">
      <c r="A164" s="617" t="s">
        <v>55</v>
      </c>
      <c r="B164" s="618" t="s">
        <v>52</v>
      </c>
      <c r="C164" s="619" t="s">
        <v>52</v>
      </c>
      <c r="D164" s="619" t="s">
        <v>52</v>
      </c>
      <c r="E164" s="619" t="s">
        <v>52</v>
      </c>
      <c r="F164" s="620" t="s">
        <v>52</v>
      </c>
      <c r="G164" s="620" t="s">
        <v>52</v>
      </c>
      <c r="H164" s="620" t="s">
        <v>52</v>
      </c>
      <c r="I164" s="406">
        <f>SUM(I149:I163)</f>
        <v>35</v>
      </c>
      <c r="J164" s="621"/>
      <c r="K164" s="622"/>
      <c r="L164" s="622"/>
      <c r="M164" s="622"/>
      <c r="N164" s="622"/>
      <c r="O164" s="622"/>
      <c r="P164" s="623"/>
      <c r="Q164" s="623"/>
      <c r="R164" s="623"/>
      <c r="S164" s="623"/>
      <c r="T164" s="624"/>
      <c r="U164" s="581"/>
      <c r="V164" s="581"/>
      <c r="W164" s="581"/>
      <c r="X164" s="581"/>
      <c r="Y164" s="581"/>
      <c r="Z164" s="581"/>
      <c r="AA164" s="581"/>
      <c r="AB164" s="581"/>
      <c r="AC164" s="581"/>
      <c r="AD164" s="581"/>
      <c r="AE164" s="581"/>
      <c r="AF164" s="581"/>
      <c r="AG164" s="581"/>
      <c r="AH164" s="581"/>
      <c r="AI164" s="581"/>
      <c r="AJ164" s="581"/>
      <c r="AK164" s="581"/>
      <c r="AL164" s="581"/>
      <c r="AM164" s="581"/>
      <c r="AN164" s="581"/>
      <c r="AO164" s="581"/>
      <c r="AP164" s="581"/>
      <c r="AQ164" s="581"/>
      <c r="AR164" s="581"/>
      <c r="AS164" s="581"/>
      <c r="AT164" s="581"/>
      <c r="AU164" s="581"/>
      <c r="AV164" s="581"/>
      <c r="AW164" s="581"/>
      <c r="AX164" s="581"/>
      <c r="AY164" s="581"/>
      <c r="AZ164" s="581"/>
      <c r="BA164" s="581"/>
      <c r="BB164" s="581"/>
      <c r="BC164" s="581"/>
    </row>
    <row r="165" spans="1:55" x14ac:dyDescent="0.25">
      <c r="A165" s="931" t="s">
        <v>27</v>
      </c>
      <c r="B165" s="932"/>
      <c r="C165" s="932"/>
      <c r="D165" s="932"/>
      <c r="E165" s="932"/>
      <c r="F165" s="932"/>
      <c r="G165" s="932"/>
      <c r="H165" s="932"/>
      <c r="I165" s="933"/>
      <c r="J165" s="625"/>
      <c r="K165" s="626"/>
      <c r="L165" s="626"/>
      <c r="M165" s="626"/>
      <c r="N165" s="626"/>
      <c r="O165" s="626"/>
      <c r="P165" s="603"/>
      <c r="Q165" s="603"/>
      <c r="R165" s="603"/>
      <c r="S165" s="603"/>
      <c r="T165" s="604"/>
      <c r="U165" s="581"/>
      <c r="V165" s="581"/>
      <c r="W165" s="581"/>
      <c r="X165" s="581"/>
      <c r="Y165" s="581"/>
      <c r="Z165" s="581"/>
      <c r="AA165" s="581"/>
      <c r="AB165" s="581"/>
      <c r="AC165" s="581"/>
      <c r="AD165" s="581"/>
      <c r="AE165" s="581"/>
      <c r="AF165" s="581"/>
      <c r="AG165" s="581"/>
      <c r="AH165" s="581"/>
      <c r="AI165" s="581"/>
      <c r="AJ165" s="581"/>
      <c r="AK165" s="581"/>
      <c r="AL165" s="581"/>
      <c r="AM165" s="581"/>
      <c r="AN165" s="581"/>
      <c r="AO165" s="581"/>
      <c r="AP165" s="581"/>
      <c r="AQ165" s="581"/>
      <c r="AR165" s="581"/>
      <c r="AS165" s="581"/>
      <c r="AT165" s="581"/>
      <c r="AU165" s="581"/>
      <c r="AV165" s="581"/>
      <c r="AW165" s="581"/>
      <c r="AX165" s="581"/>
      <c r="AY165" s="581"/>
      <c r="AZ165" s="581"/>
      <c r="BA165" s="581"/>
      <c r="BB165" s="581"/>
      <c r="BC165" s="581"/>
    </row>
    <row r="166" spans="1:55" x14ac:dyDescent="0.25">
      <c r="A166" s="685" t="s">
        <v>332</v>
      </c>
      <c r="B166" s="684" t="s">
        <v>158</v>
      </c>
      <c r="C166" s="605" t="s">
        <v>25</v>
      </c>
      <c r="D166" s="317">
        <v>7</v>
      </c>
      <c r="E166" s="317">
        <v>3</v>
      </c>
      <c r="F166" s="319">
        <v>996</v>
      </c>
      <c r="G166" s="683">
        <v>850</v>
      </c>
      <c r="H166" s="678">
        <f>G166*0.2</f>
        <v>170</v>
      </c>
      <c r="I166" s="410">
        <v>64.25</v>
      </c>
      <c r="J166" s="607">
        <f>ROUND(G166*(1+'29_01_H_2020'!$F$10),2)</f>
        <v>935</v>
      </c>
      <c r="K166" s="608">
        <f t="shared" ref="K166" si="196">IF(J166&lt;=F166,J166,F166)</f>
        <v>935</v>
      </c>
      <c r="L166" s="608">
        <f t="shared" ref="L166" si="197">K166-G166</f>
        <v>85</v>
      </c>
      <c r="M166" s="608">
        <f t="shared" ref="M166" si="198">J166-K166</f>
        <v>0</v>
      </c>
      <c r="N166" s="608">
        <f t="shared" ref="N166" si="199">ROUND(H166/G166*K166-H166,2)</f>
        <v>17</v>
      </c>
      <c r="O166" s="608">
        <f t="shared" ref="O166" si="200">ROUND(H166/G166*J166-H166-N166,2)</f>
        <v>0</v>
      </c>
      <c r="P166" s="609">
        <f t="shared" ref="P166:P177" si="201">L166+M166+N166+O166</f>
        <v>102</v>
      </c>
      <c r="Q166" s="609">
        <f t="shared" ref="Q166:Q177" si="202">P166*I166</f>
        <v>6553.5</v>
      </c>
      <c r="R166" s="609">
        <f t="shared" ref="R166:R177" si="203">Q166*12</f>
        <v>78642</v>
      </c>
      <c r="S166" s="609">
        <f t="shared" ref="S166:S177" si="204">ROUND(R166*0.2409,2)</f>
        <v>18944.86</v>
      </c>
      <c r="T166" s="610">
        <f t="shared" ref="T166" si="205">SUM(R166:S166)</f>
        <v>97586.86</v>
      </c>
      <c r="U166" s="611"/>
      <c r="V166" s="612"/>
      <c r="W166" s="613"/>
      <c r="X166" s="614"/>
      <c r="Y166" s="614"/>
      <c r="Z166" s="581"/>
      <c r="AA166" s="581"/>
      <c r="AB166" s="615"/>
      <c r="AC166" s="615"/>
      <c r="AD166" s="615"/>
      <c r="AE166" s="615"/>
      <c r="AF166" s="615"/>
      <c r="AG166" s="615"/>
      <c r="AH166" s="615"/>
      <c r="AI166" s="615"/>
      <c r="AJ166" s="615"/>
      <c r="AK166" s="615"/>
      <c r="AL166" s="616"/>
      <c r="AM166" s="581"/>
      <c r="AN166" s="581"/>
      <c r="AO166" s="615"/>
      <c r="AP166" s="615"/>
      <c r="AQ166" s="615"/>
      <c r="AR166" s="615"/>
      <c r="AS166" s="615"/>
      <c r="AT166" s="615"/>
      <c r="AU166" s="615"/>
      <c r="AV166" s="615"/>
      <c r="AW166" s="615"/>
      <c r="AX166" s="615"/>
      <c r="AY166" s="616"/>
      <c r="AZ166" s="581"/>
      <c r="BA166" s="581"/>
      <c r="BB166" s="581"/>
      <c r="BC166" s="581"/>
    </row>
    <row r="167" spans="1:55" x14ac:dyDescent="0.25">
      <c r="A167" s="685" t="s">
        <v>333</v>
      </c>
      <c r="B167" s="680" t="s">
        <v>158</v>
      </c>
      <c r="C167" s="605" t="s">
        <v>41</v>
      </c>
      <c r="D167" s="317">
        <v>6</v>
      </c>
      <c r="E167" s="317">
        <v>3</v>
      </c>
      <c r="F167" s="319">
        <v>899</v>
      </c>
      <c r="G167" s="683">
        <v>760</v>
      </c>
      <c r="H167" s="678">
        <f>G167*0.2</f>
        <v>152</v>
      </c>
      <c r="I167" s="410">
        <v>5.5</v>
      </c>
      <c r="J167" s="607">
        <f>ROUND(G167*(1+'29_01_H_2020'!$F$10),2)</f>
        <v>836</v>
      </c>
      <c r="K167" s="608">
        <f t="shared" ref="K167:K177" si="206">IF(J167&lt;=F167,J167,F167)</f>
        <v>836</v>
      </c>
      <c r="L167" s="608">
        <f t="shared" ref="L167:L177" si="207">K167-G167</f>
        <v>76</v>
      </c>
      <c r="M167" s="608">
        <f t="shared" ref="M167:M177" si="208">J167-K167</f>
        <v>0</v>
      </c>
      <c r="N167" s="608">
        <f t="shared" ref="N167:N177" si="209">ROUND(H167/G167*K167-H167,2)</f>
        <v>15.2</v>
      </c>
      <c r="O167" s="608">
        <f t="shared" ref="O167:O177" si="210">ROUND(H167/G167*J167-H167-N167,2)</f>
        <v>0</v>
      </c>
      <c r="P167" s="609">
        <f t="shared" si="201"/>
        <v>91.2</v>
      </c>
      <c r="Q167" s="609">
        <f t="shared" si="202"/>
        <v>501.6</v>
      </c>
      <c r="R167" s="609">
        <f t="shared" si="203"/>
        <v>6019.2000000000007</v>
      </c>
      <c r="S167" s="609">
        <f t="shared" si="204"/>
        <v>1450.03</v>
      </c>
      <c r="T167" s="610">
        <f t="shared" ref="T167:T177" si="211">SUM(R167:S167)</f>
        <v>7469.2300000000005</v>
      </c>
      <c r="U167" s="611"/>
      <c r="V167" s="612"/>
      <c r="W167" s="613"/>
      <c r="X167" s="614"/>
      <c r="Y167" s="614"/>
      <c r="Z167" s="581"/>
      <c r="AA167" s="581"/>
      <c r="AB167" s="615"/>
      <c r="AC167" s="615"/>
      <c r="AD167" s="615"/>
      <c r="AE167" s="615"/>
      <c r="AF167" s="615"/>
      <c r="AG167" s="615"/>
      <c r="AH167" s="615"/>
      <c r="AI167" s="615"/>
      <c r="AJ167" s="615"/>
      <c r="AK167" s="615"/>
      <c r="AL167" s="616"/>
      <c r="AM167" s="581"/>
      <c r="AN167" s="581"/>
      <c r="AO167" s="615"/>
      <c r="AP167" s="615"/>
      <c r="AQ167" s="615"/>
      <c r="AR167" s="615"/>
      <c r="AS167" s="615"/>
      <c r="AT167" s="615"/>
      <c r="AU167" s="615"/>
      <c r="AV167" s="615"/>
      <c r="AW167" s="615"/>
      <c r="AX167" s="615"/>
      <c r="AY167" s="616"/>
      <c r="AZ167" s="581"/>
      <c r="BA167" s="581"/>
      <c r="BB167" s="581"/>
      <c r="BC167" s="581"/>
    </row>
    <row r="168" spans="1:55" x14ac:dyDescent="0.25">
      <c r="A168" s="685" t="s">
        <v>333</v>
      </c>
      <c r="B168" s="680" t="s">
        <v>158</v>
      </c>
      <c r="C168" s="605" t="s">
        <v>41</v>
      </c>
      <c r="D168" s="317">
        <v>6</v>
      </c>
      <c r="E168" s="317">
        <v>3</v>
      </c>
      <c r="F168" s="319">
        <v>899</v>
      </c>
      <c r="G168" s="683">
        <v>677</v>
      </c>
      <c r="H168" s="678">
        <f t="shared" ref="H168" si="212">G168*0.2</f>
        <v>135.4</v>
      </c>
      <c r="I168" s="410">
        <v>2</v>
      </c>
      <c r="J168" s="607">
        <f>ROUND(G168*(1+'29_01_H_2020'!$F$10),2)</f>
        <v>744.7</v>
      </c>
      <c r="K168" s="608">
        <f t="shared" si="206"/>
        <v>744.7</v>
      </c>
      <c r="L168" s="608">
        <f t="shared" si="207"/>
        <v>67.700000000000045</v>
      </c>
      <c r="M168" s="608">
        <f t="shared" si="208"/>
        <v>0</v>
      </c>
      <c r="N168" s="608">
        <f t="shared" si="209"/>
        <v>13.54</v>
      </c>
      <c r="O168" s="608">
        <f t="shared" si="210"/>
        <v>0</v>
      </c>
      <c r="P168" s="609">
        <f t="shared" si="201"/>
        <v>81.240000000000038</v>
      </c>
      <c r="Q168" s="609">
        <f t="shared" si="202"/>
        <v>162.48000000000008</v>
      </c>
      <c r="R168" s="609">
        <f t="shared" si="203"/>
        <v>1949.7600000000009</v>
      </c>
      <c r="S168" s="609">
        <f t="shared" si="204"/>
        <v>469.7</v>
      </c>
      <c r="T168" s="610">
        <f t="shared" si="211"/>
        <v>2419.4600000000009</v>
      </c>
      <c r="U168" s="611"/>
      <c r="V168" s="612"/>
      <c r="W168" s="613"/>
      <c r="X168" s="614"/>
      <c r="Y168" s="614"/>
      <c r="Z168" s="581"/>
      <c r="AA168" s="581"/>
      <c r="AB168" s="615"/>
      <c r="AC168" s="615"/>
      <c r="AD168" s="615"/>
      <c r="AE168" s="615"/>
      <c r="AF168" s="615"/>
      <c r="AG168" s="615"/>
      <c r="AH168" s="615"/>
      <c r="AI168" s="615"/>
      <c r="AJ168" s="615"/>
      <c r="AK168" s="615"/>
      <c r="AL168" s="616"/>
      <c r="AM168" s="616"/>
      <c r="AN168" s="581"/>
      <c r="AO168" s="615"/>
      <c r="AP168" s="615"/>
      <c r="AQ168" s="615"/>
      <c r="AR168" s="615"/>
      <c r="AS168" s="615"/>
      <c r="AT168" s="615"/>
      <c r="AU168" s="615"/>
      <c r="AV168" s="615"/>
      <c r="AW168" s="615"/>
      <c r="AX168" s="615"/>
      <c r="AY168" s="616"/>
      <c r="AZ168" s="581"/>
      <c r="BA168" s="581"/>
      <c r="BB168" s="581"/>
      <c r="BC168" s="581"/>
    </row>
    <row r="169" spans="1:55" x14ac:dyDescent="0.25">
      <c r="A169" s="685" t="s">
        <v>334</v>
      </c>
      <c r="B169" s="684" t="s">
        <v>158</v>
      </c>
      <c r="C169" s="605" t="s">
        <v>18</v>
      </c>
      <c r="D169" s="317">
        <v>8</v>
      </c>
      <c r="E169" s="317">
        <v>3</v>
      </c>
      <c r="F169" s="319">
        <v>1093</v>
      </c>
      <c r="G169" s="683">
        <v>900</v>
      </c>
      <c r="H169" s="357">
        <f t="shared" ref="H169:H177" si="213">G169*0.1</f>
        <v>90</v>
      </c>
      <c r="I169" s="410">
        <v>4</v>
      </c>
      <c r="J169" s="607">
        <f>ROUND(G169*(1+'29_01_H_2020'!$F$10),2)</f>
        <v>990</v>
      </c>
      <c r="K169" s="608">
        <f t="shared" si="206"/>
        <v>990</v>
      </c>
      <c r="L169" s="608">
        <f t="shared" si="207"/>
        <v>90</v>
      </c>
      <c r="M169" s="608">
        <f t="shared" si="208"/>
        <v>0</v>
      </c>
      <c r="N169" s="608">
        <f t="shared" si="209"/>
        <v>9</v>
      </c>
      <c r="O169" s="608">
        <f t="shared" si="210"/>
        <v>0</v>
      </c>
      <c r="P169" s="609">
        <f t="shared" si="201"/>
        <v>99</v>
      </c>
      <c r="Q169" s="609">
        <f t="shared" si="202"/>
        <v>396</v>
      </c>
      <c r="R169" s="609">
        <f t="shared" si="203"/>
        <v>4752</v>
      </c>
      <c r="S169" s="609">
        <f t="shared" si="204"/>
        <v>1144.76</v>
      </c>
      <c r="T169" s="610">
        <f t="shared" si="211"/>
        <v>5896.76</v>
      </c>
      <c r="U169" s="611"/>
      <c r="V169" s="612"/>
      <c r="W169" s="613"/>
      <c r="X169" s="614"/>
      <c r="Y169" s="614"/>
      <c r="Z169" s="581"/>
      <c r="AA169" s="581"/>
      <c r="AB169" s="615"/>
      <c r="AC169" s="615"/>
      <c r="AD169" s="615"/>
      <c r="AE169" s="615"/>
      <c r="AF169" s="615"/>
      <c r="AG169" s="615"/>
      <c r="AH169" s="615"/>
      <c r="AI169" s="615"/>
      <c r="AJ169" s="615"/>
      <c r="AK169" s="615"/>
      <c r="AL169" s="616"/>
      <c r="AM169" s="616"/>
      <c r="AN169" s="581"/>
      <c r="AO169" s="615"/>
      <c r="AP169" s="615"/>
      <c r="AQ169" s="615"/>
      <c r="AR169" s="615"/>
      <c r="AS169" s="615"/>
      <c r="AT169" s="615"/>
      <c r="AU169" s="615"/>
      <c r="AV169" s="615"/>
      <c r="AW169" s="615"/>
      <c r="AX169" s="615"/>
      <c r="AY169" s="616"/>
      <c r="AZ169" s="581"/>
      <c r="BA169" s="581"/>
      <c r="BB169" s="581"/>
      <c r="BC169" s="581"/>
    </row>
    <row r="170" spans="1:55" x14ac:dyDescent="0.25">
      <c r="A170" s="685" t="s">
        <v>335</v>
      </c>
      <c r="B170" s="684" t="s">
        <v>158</v>
      </c>
      <c r="C170" s="605" t="s">
        <v>25</v>
      </c>
      <c r="D170" s="317">
        <v>7</v>
      </c>
      <c r="E170" s="317">
        <v>3</v>
      </c>
      <c r="F170" s="319">
        <v>996</v>
      </c>
      <c r="G170" s="683">
        <v>850</v>
      </c>
      <c r="H170" s="357">
        <f t="shared" si="213"/>
        <v>85</v>
      </c>
      <c r="I170" s="410">
        <v>3.25</v>
      </c>
      <c r="J170" s="607">
        <f>ROUND(G170*(1+'29_01_H_2020'!$F$10),2)</f>
        <v>935</v>
      </c>
      <c r="K170" s="608">
        <f t="shared" si="206"/>
        <v>935</v>
      </c>
      <c r="L170" s="608">
        <f t="shared" si="207"/>
        <v>85</v>
      </c>
      <c r="M170" s="608">
        <f t="shared" si="208"/>
        <v>0</v>
      </c>
      <c r="N170" s="608">
        <f t="shared" si="209"/>
        <v>8.5</v>
      </c>
      <c r="O170" s="608">
        <f t="shared" si="210"/>
        <v>0</v>
      </c>
      <c r="P170" s="609">
        <f t="shared" si="201"/>
        <v>93.5</v>
      </c>
      <c r="Q170" s="609">
        <f t="shared" si="202"/>
        <v>303.875</v>
      </c>
      <c r="R170" s="609">
        <f t="shared" si="203"/>
        <v>3646.5</v>
      </c>
      <c r="S170" s="609">
        <f t="shared" si="204"/>
        <v>878.44</v>
      </c>
      <c r="T170" s="610">
        <f t="shared" si="211"/>
        <v>4524.9400000000005</v>
      </c>
      <c r="U170" s="611"/>
      <c r="V170" s="612"/>
      <c r="W170" s="613"/>
      <c r="X170" s="614"/>
      <c r="Y170" s="614"/>
      <c r="Z170" s="581"/>
      <c r="AA170" s="581"/>
      <c r="AB170" s="615"/>
      <c r="AC170" s="615"/>
      <c r="AD170" s="615"/>
      <c r="AE170" s="615"/>
      <c r="AF170" s="615"/>
      <c r="AG170" s="615"/>
      <c r="AH170" s="615"/>
      <c r="AI170" s="615"/>
      <c r="AJ170" s="615"/>
      <c r="AK170" s="615"/>
      <c r="AL170" s="616"/>
      <c r="AM170" s="581"/>
      <c r="AN170" s="581"/>
      <c r="AO170" s="615"/>
      <c r="AP170" s="615"/>
      <c r="AQ170" s="615"/>
      <c r="AR170" s="615"/>
      <c r="AS170" s="615"/>
      <c r="AT170" s="615"/>
      <c r="AU170" s="615"/>
      <c r="AV170" s="615"/>
      <c r="AW170" s="615"/>
      <c r="AX170" s="615"/>
      <c r="AY170" s="616"/>
      <c r="AZ170" s="581"/>
      <c r="BA170" s="581"/>
      <c r="BB170" s="581"/>
      <c r="BC170" s="581"/>
    </row>
    <row r="171" spans="1:55" x14ac:dyDescent="0.25">
      <c r="A171" s="685" t="s">
        <v>336</v>
      </c>
      <c r="B171" s="684" t="s">
        <v>158</v>
      </c>
      <c r="C171" s="605" t="s">
        <v>25</v>
      </c>
      <c r="D171" s="317">
        <v>7</v>
      </c>
      <c r="E171" s="317">
        <v>3</v>
      </c>
      <c r="F171" s="319">
        <v>996</v>
      </c>
      <c r="G171" s="683">
        <v>850</v>
      </c>
      <c r="H171" s="357">
        <f t="shared" si="213"/>
        <v>85</v>
      </c>
      <c r="I171" s="410">
        <v>1</v>
      </c>
      <c r="J171" s="607">
        <f>ROUND(G171*(1+'29_01_H_2020'!$F$10),2)</f>
        <v>935</v>
      </c>
      <c r="K171" s="608">
        <f t="shared" si="206"/>
        <v>935</v>
      </c>
      <c r="L171" s="608">
        <f t="shared" si="207"/>
        <v>85</v>
      </c>
      <c r="M171" s="608">
        <f t="shared" si="208"/>
        <v>0</v>
      </c>
      <c r="N171" s="608">
        <f t="shared" si="209"/>
        <v>8.5</v>
      </c>
      <c r="O171" s="608">
        <f t="shared" si="210"/>
        <v>0</v>
      </c>
      <c r="P171" s="609">
        <f t="shared" si="201"/>
        <v>93.5</v>
      </c>
      <c r="Q171" s="609">
        <f t="shared" si="202"/>
        <v>93.5</v>
      </c>
      <c r="R171" s="609">
        <f t="shared" si="203"/>
        <v>1122</v>
      </c>
      <c r="S171" s="609">
        <f t="shared" si="204"/>
        <v>270.29000000000002</v>
      </c>
      <c r="T171" s="610">
        <f t="shared" si="211"/>
        <v>1392.29</v>
      </c>
      <c r="U171" s="611"/>
      <c r="V171" s="612"/>
      <c r="W171" s="613"/>
      <c r="X171" s="614"/>
      <c r="Y171" s="614"/>
      <c r="Z171" s="581"/>
      <c r="AA171" s="581"/>
      <c r="AB171" s="615"/>
      <c r="AC171" s="615"/>
      <c r="AD171" s="615"/>
      <c r="AE171" s="615"/>
      <c r="AF171" s="615"/>
      <c r="AG171" s="615"/>
      <c r="AH171" s="615"/>
      <c r="AI171" s="615"/>
      <c r="AJ171" s="615"/>
      <c r="AK171" s="615"/>
      <c r="AL171" s="616"/>
      <c r="AM171" s="581"/>
      <c r="AN171" s="581"/>
      <c r="AO171" s="615"/>
      <c r="AP171" s="615"/>
      <c r="AQ171" s="615"/>
      <c r="AR171" s="615"/>
      <c r="AS171" s="615"/>
      <c r="AT171" s="615"/>
      <c r="AU171" s="615"/>
      <c r="AV171" s="615"/>
      <c r="AW171" s="615"/>
      <c r="AX171" s="615"/>
      <c r="AY171" s="616"/>
      <c r="AZ171" s="581"/>
      <c r="BA171" s="581"/>
      <c r="BB171" s="581"/>
      <c r="BC171" s="581"/>
    </row>
    <row r="172" spans="1:55" x14ac:dyDescent="0.25">
      <c r="A172" s="685" t="s">
        <v>337</v>
      </c>
      <c r="B172" s="684" t="s">
        <v>122</v>
      </c>
      <c r="C172" s="605" t="s">
        <v>36</v>
      </c>
      <c r="D172" s="317">
        <v>8</v>
      </c>
      <c r="E172" s="317">
        <v>3</v>
      </c>
      <c r="F172" s="319">
        <v>1093</v>
      </c>
      <c r="G172" s="683">
        <v>900</v>
      </c>
      <c r="H172" s="357">
        <f t="shared" si="213"/>
        <v>90</v>
      </c>
      <c r="I172" s="410">
        <v>6.5</v>
      </c>
      <c r="J172" s="607">
        <f>ROUND(G172*(1+'29_01_H_2020'!$F$10),2)</f>
        <v>990</v>
      </c>
      <c r="K172" s="608">
        <f t="shared" si="206"/>
        <v>990</v>
      </c>
      <c r="L172" s="608">
        <f t="shared" si="207"/>
        <v>90</v>
      </c>
      <c r="M172" s="608">
        <f t="shared" si="208"/>
        <v>0</v>
      </c>
      <c r="N172" s="608">
        <f t="shared" si="209"/>
        <v>9</v>
      </c>
      <c r="O172" s="608">
        <f t="shared" si="210"/>
        <v>0</v>
      </c>
      <c r="P172" s="609">
        <f t="shared" si="201"/>
        <v>99</v>
      </c>
      <c r="Q172" s="609">
        <f t="shared" si="202"/>
        <v>643.5</v>
      </c>
      <c r="R172" s="609">
        <f t="shared" si="203"/>
        <v>7722</v>
      </c>
      <c r="S172" s="609">
        <f t="shared" si="204"/>
        <v>1860.23</v>
      </c>
      <c r="T172" s="610">
        <f t="shared" si="211"/>
        <v>9582.23</v>
      </c>
      <c r="U172" s="611"/>
      <c r="V172" s="612"/>
      <c r="W172" s="613"/>
      <c r="X172" s="614"/>
      <c r="Y172" s="614"/>
      <c r="Z172" s="581"/>
      <c r="AA172" s="581"/>
      <c r="AB172" s="615"/>
      <c r="AC172" s="615"/>
      <c r="AD172" s="615"/>
      <c r="AE172" s="615"/>
      <c r="AF172" s="615"/>
      <c r="AG172" s="615"/>
      <c r="AH172" s="615"/>
      <c r="AI172" s="615"/>
      <c r="AJ172" s="615"/>
      <c r="AK172" s="615"/>
      <c r="AL172" s="616"/>
      <c r="AM172" s="616"/>
      <c r="AN172" s="581"/>
      <c r="AO172" s="615"/>
      <c r="AP172" s="615"/>
      <c r="AQ172" s="615"/>
      <c r="AR172" s="615"/>
      <c r="AS172" s="615"/>
      <c r="AT172" s="615"/>
      <c r="AU172" s="615"/>
      <c r="AV172" s="615"/>
      <c r="AW172" s="615"/>
      <c r="AX172" s="615"/>
      <c r="AY172" s="616"/>
      <c r="AZ172" s="581"/>
      <c r="BA172" s="581"/>
      <c r="BB172" s="581"/>
      <c r="BC172" s="581"/>
    </row>
    <row r="173" spans="1:55" ht="26.25" customHeight="1" x14ac:dyDescent="0.25">
      <c r="A173" s="686" t="s">
        <v>338</v>
      </c>
      <c r="B173" s="687" t="s">
        <v>158</v>
      </c>
      <c r="C173" s="317" t="s">
        <v>12</v>
      </c>
      <c r="D173" s="317">
        <v>11</v>
      </c>
      <c r="E173" s="317">
        <v>3</v>
      </c>
      <c r="F173" s="319">
        <v>1382</v>
      </c>
      <c r="G173" s="683">
        <v>1380</v>
      </c>
      <c r="H173" s="357">
        <f t="shared" si="213"/>
        <v>138</v>
      </c>
      <c r="I173" s="410">
        <v>8</v>
      </c>
      <c r="J173" s="607">
        <f>ROUND(G173*(1+'29_01_H_2020'!$F$10),2)</f>
        <v>1518</v>
      </c>
      <c r="K173" s="608">
        <f t="shared" si="206"/>
        <v>1382</v>
      </c>
      <c r="L173" s="608">
        <f t="shared" si="207"/>
        <v>2</v>
      </c>
      <c r="M173" s="608">
        <f t="shared" si="208"/>
        <v>136</v>
      </c>
      <c r="N173" s="608">
        <f t="shared" si="209"/>
        <v>0.2</v>
      </c>
      <c r="O173" s="608">
        <f t="shared" si="210"/>
        <v>13.6</v>
      </c>
      <c r="P173" s="609">
        <f t="shared" si="201"/>
        <v>151.79999999999998</v>
      </c>
      <c r="Q173" s="609">
        <f t="shared" si="202"/>
        <v>1214.3999999999999</v>
      </c>
      <c r="R173" s="609">
        <f t="shared" si="203"/>
        <v>14572.8</v>
      </c>
      <c r="S173" s="609">
        <f t="shared" si="204"/>
        <v>3510.59</v>
      </c>
      <c r="T173" s="610">
        <f t="shared" si="211"/>
        <v>18083.39</v>
      </c>
      <c r="U173" s="611"/>
      <c r="V173" s="612"/>
      <c r="W173" s="613"/>
      <c r="X173" s="614"/>
      <c r="Y173" s="614"/>
      <c r="Z173" s="581"/>
      <c r="AA173" s="581"/>
      <c r="AB173" s="615"/>
      <c r="AC173" s="615"/>
      <c r="AD173" s="615"/>
      <c r="AE173" s="615"/>
      <c r="AF173" s="615"/>
      <c r="AG173" s="615"/>
      <c r="AH173" s="615"/>
      <c r="AI173" s="615"/>
      <c r="AJ173" s="615"/>
      <c r="AK173" s="615"/>
      <c r="AL173" s="616"/>
      <c r="AM173" s="581"/>
      <c r="AN173" s="581"/>
      <c r="AO173" s="615"/>
      <c r="AP173" s="615"/>
      <c r="AQ173" s="615"/>
      <c r="AR173" s="615"/>
      <c r="AS173" s="615"/>
      <c r="AT173" s="615"/>
      <c r="AU173" s="615"/>
      <c r="AV173" s="615"/>
      <c r="AW173" s="615"/>
      <c r="AX173" s="615"/>
      <c r="AY173" s="616"/>
      <c r="AZ173" s="581"/>
      <c r="BA173" s="581"/>
      <c r="BB173" s="581"/>
      <c r="BC173" s="581"/>
    </row>
    <row r="174" spans="1:55" x14ac:dyDescent="0.25">
      <c r="A174" s="686" t="s">
        <v>339</v>
      </c>
      <c r="B174" s="687" t="s">
        <v>122</v>
      </c>
      <c r="C174" s="605" t="s">
        <v>274</v>
      </c>
      <c r="D174" s="317">
        <v>8</v>
      </c>
      <c r="E174" s="317">
        <v>3</v>
      </c>
      <c r="F174" s="319">
        <v>1093</v>
      </c>
      <c r="G174" s="683">
        <v>900</v>
      </c>
      <c r="H174" s="357">
        <f t="shared" si="213"/>
        <v>90</v>
      </c>
      <c r="I174" s="410">
        <v>0.5</v>
      </c>
      <c r="J174" s="607">
        <f>ROUND(G174*(1+'29_01_H_2020'!$F$10),2)</f>
        <v>990</v>
      </c>
      <c r="K174" s="608">
        <f t="shared" si="206"/>
        <v>990</v>
      </c>
      <c r="L174" s="608">
        <f t="shared" si="207"/>
        <v>90</v>
      </c>
      <c r="M174" s="608">
        <f t="shared" si="208"/>
        <v>0</v>
      </c>
      <c r="N174" s="608">
        <f t="shared" si="209"/>
        <v>9</v>
      </c>
      <c r="O174" s="608">
        <f t="shared" si="210"/>
        <v>0</v>
      </c>
      <c r="P174" s="609">
        <f t="shared" si="201"/>
        <v>99</v>
      </c>
      <c r="Q174" s="609">
        <f t="shared" si="202"/>
        <v>49.5</v>
      </c>
      <c r="R174" s="609">
        <f t="shared" si="203"/>
        <v>594</v>
      </c>
      <c r="S174" s="609">
        <f t="shared" si="204"/>
        <v>143.09</v>
      </c>
      <c r="T174" s="610">
        <f t="shared" si="211"/>
        <v>737.09</v>
      </c>
      <c r="U174" s="611"/>
      <c r="V174" s="612"/>
      <c r="W174" s="613"/>
      <c r="X174" s="614"/>
      <c r="Y174" s="614"/>
      <c r="Z174" s="581"/>
      <c r="AA174" s="581"/>
      <c r="AB174" s="615"/>
      <c r="AC174" s="615"/>
      <c r="AD174" s="615"/>
      <c r="AE174" s="615"/>
      <c r="AF174" s="615"/>
      <c r="AG174" s="615"/>
      <c r="AH174" s="615"/>
      <c r="AI174" s="615"/>
      <c r="AJ174" s="615"/>
      <c r="AK174" s="615"/>
      <c r="AL174" s="616"/>
      <c r="AM174" s="616"/>
      <c r="AN174" s="581"/>
      <c r="AO174" s="615"/>
      <c r="AP174" s="615"/>
      <c r="AQ174" s="615"/>
      <c r="AR174" s="615"/>
      <c r="AS174" s="615"/>
      <c r="AT174" s="615"/>
      <c r="AU174" s="615"/>
      <c r="AV174" s="615"/>
      <c r="AW174" s="615"/>
      <c r="AX174" s="615"/>
      <c r="AY174" s="616"/>
      <c r="AZ174" s="581"/>
      <c r="BA174" s="581"/>
      <c r="BB174" s="581"/>
      <c r="BC174" s="581"/>
    </row>
    <row r="175" spans="1:55" x14ac:dyDescent="0.25">
      <c r="A175" s="686" t="s">
        <v>339</v>
      </c>
      <c r="B175" s="684" t="s">
        <v>122</v>
      </c>
      <c r="C175" s="605" t="s">
        <v>274</v>
      </c>
      <c r="D175" s="317">
        <v>8</v>
      </c>
      <c r="E175" s="317">
        <v>2</v>
      </c>
      <c r="F175" s="319">
        <v>920</v>
      </c>
      <c r="G175" s="683">
        <v>800</v>
      </c>
      <c r="H175" s="357">
        <f t="shared" si="213"/>
        <v>80</v>
      </c>
      <c r="I175" s="410">
        <v>0.5</v>
      </c>
      <c r="J175" s="607">
        <f>ROUND(G175*(1+'29_01_H_2020'!$F$10),2)</f>
        <v>880</v>
      </c>
      <c r="K175" s="608">
        <f t="shared" si="206"/>
        <v>880</v>
      </c>
      <c r="L175" s="608">
        <f t="shared" si="207"/>
        <v>80</v>
      </c>
      <c r="M175" s="608">
        <f t="shared" si="208"/>
        <v>0</v>
      </c>
      <c r="N175" s="608">
        <f t="shared" si="209"/>
        <v>8</v>
      </c>
      <c r="O175" s="608">
        <f t="shared" si="210"/>
        <v>0</v>
      </c>
      <c r="P175" s="609">
        <f t="shared" si="201"/>
        <v>88</v>
      </c>
      <c r="Q175" s="609">
        <f t="shared" si="202"/>
        <v>44</v>
      </c>
      <c r="R175" s="609">
        <f t="shared" si="203"/>
        <v>528</v>
      </c>
      <c r="S175" s="609">
        <f t="shared" si="204"/>
        <v>127.2</v>
      </c>
      <c r="T175" s="610">
        <f t="shared" si="211"/>
        <v>655.20000000000005</v>
      </c>
      <c r="U175" s="611"/>
      <c r="V175" s="612"/>
      <c r="W175" s="613"/>
      <c r="X175" s="614"/>
      <c r="Y175" s="614"/>
      <c r="Z175" s="581"/>
      <c r="AA175" s="581"/>
      <c r="AB175" s="615"/>
      <c r="AC175" s="615"/>
      <c r="AD175" s="615"/>
      <c r="AE175" s="615"/>
      <c r="AF175" s="615"/>
      <c r="AG175" s="615"/>
      <c r="AH175" s="615"/>
      <c r="AI175" s="615"/>
      <c r="AJ175" s="615"/>
      <c r="AK175" s="615"/>
      <c r="AL175" s="616"/>
      <c r="AM175" s="581"/>
      <c r="AN175" s="581"/>
      <c r="AO175" s="615"/>
      <c r="AP175" s="615"/>
      <c r="AQ175" s="615"/>
      <c r="AR175" s="615"/>
      <c r="AS175" s="615"/>
      <c r="AT175" s="615"/>
      <c r="AU175" s="615"/>
      <c r="AV175" s="615"/>
      <c r="AW175" s="615"/>
      <c r="AX175" s="615"/>
      <c r="AY175" s="616"/>
      <c r="AZ175" s="581"/>
      <c r="BA175" s="581"/>
      <c r="BB175" s="581"/>
      <c r="BC175" s="581"/>
    </row>
    <row r="176" spans="1:55" x14ac:dyDescent="0.25">
      <c r="A176" s="686" t="s">
        <v>340</v>
      </c>
      <c r="B176" s="684" t="s">
        <v>122</v>
      </c>
      <c r="C176" s="605" t="s">
        <v>274</v>
      </c>
      <c r="D176" s="317">
        <v>8</v>
      </c>
      <c r="E176" s="317">
        <v>2</v>
      </c>
      <c r="F176" s="319">
        <v>920</v>
      </c>
      <c r="G176" s="683">
        <v>800</v>
      </c>
      <c r="H176" s="357">
        <f t="shared" si="213"/>
        <v>80</v>
      </c>
      <c r="I176" s="410">
        <v>1.75</v>
      </c>
      <c r="J176" s="607">
        <f>ROUND(G176*(1+'29_01_H_2020'!$F$10),2)</f>
        <v>880</v>
      </c>
      <c r="K176" s="608">
        <f t="shared" si="206"/>
        <v>880</v>
      </c>
      <c r="L176" s="608">
        <f t="shared" si="207"/>
        <v>80</v>
      </c>
      <c r="M176" s="608">
        <f t="shared" si="208"/>
        <v>0</v>
      </c>
      <c r="N176" s="608">
        <f t="shared" si="209"/>
        <v>8</v>
      </c>
      <c r="O176" s="608">
        <f t="shared" si="210"/>
        <v>0</v>
      </c>
      <c r="P176" s="609">
        <f t="shared" si="201"/>
        <v>88</v>
      </c>
      <c r="Q176" s="609">
        <f t="shared" si="202"/>
        <v>154</v>
      </c>
      <c r="R176" s="609">
        <f t="shared" si="203"/>
        <v>1848</v>
      </c>
      <c r="S176" s="609">
        <f t="shared" si="204"/>
        <v>445.18</v>
      </c>
      <c r="T176" s="610">
        <f t="shared" si="211"/>
        <v>2293.1799999999998</v>
      </c>
      <c r="U176" s="611"/>
      <c r="V176" s="612"/>
      <c r="W176" s="613"/>
      <c r="X176" s="614"/>
      <c r="Y176" s="614"/>
      <c r="Z176" s="581"/>
      <c r="AA176" s="581"/>
      <c r="AB176" s="615"/>
      <c r="AC176" s="615"/>
      <c r="AD176" s="615"/>
      <c r="AE176" s="615"/>
      <c r="AF176" s="615"/>
      <c r="AG176" s="615"/>
      <c r="AH176" s="615"/>
      <c r="AI176" s="615"/>
      <c r="AJ176" s="615"/>
      <c r="AK176" s="615"/>
      <c r="AL176" s="616"/>
      <c r="AM176" s="581"/>
      <c r="AN176" s="581"/>
      <c r="AO176" s="615"/>
      <c r="AP176" s="615"/>
      <c r="AQ176" s="615"/>
      <c r="AR176" s="615"/>
      <c r="AS176" s="615"/>
      <c r="AT176" s="615"/>
      <c r="AU176" s="615"/>
      <c r="AV176" s="615"/>
      <c r="AW176" s="615"/>
      <c r="AX176" s="615"/>
      <c r="AY176" s="616"/>
      <c r="AZ176" s="581"/>
      <c r="BA176" s="581"/>
      <c r="BB176" s="581"/>
      <c r="BC176" s="581"/>
    </row>
    <row r="177" spans="1:55" x14ac:dyDescent="0.25">
      <c r="A177" s="686" t="s">
        <v>341</v>
      </c>
      <c r="B177" s="684" t="s">
        <v>122</v>
      </c>
      <c r="C177" s="605" t="s">
        <v>36</v>
      </c>
      <c r="D177" s="317">
        <v>8</v>
      </c>
      <c r="E177" s="317">
        <v>3</v>
      </c>
      <c r="F177" s="319">
        <v>1093</v>
      </c>
      <c r="G177" s="683">
        <v>900</v>
      </c>
      <c r="H177" s="357">
        <f t="shared" si="213"/>
        <v>90</v>
      </c>
      <c r="I177" s="410">
        <v>1.5</v>
      </c>
      <c r="J177" s="607">
        <f>ROUND(G177*(1+'29_01_H_2020'!$F$10),2)</f>
        <v>990</v>
      </c>
      <c r="K177" s="608">
        <f t="shared" si="206"/>
        <v>990</v>
      </c>
      <c r="L177" s="608">
        <f t="shared" si="207"/>
        <v>90</v>
      </c>
      <c r="M177" s="608">
        <f t="shared" si="208"/>
        <v>0</v>
      </c>
      <c r="N177" s="608">
        <f t="shared" si="209"/>
        <v>9</v>
      </c>
      <c r="O177" s="608">
        <f t="shared" si="210"/>
        <v>0</v>
      </c>
      <c r="P177" s="609">
        <f t="shared" si="201"/>
        <v>99</v>
      </c>
      <c r="Q177" s="609">
        <f t="shared" si="202"/>
        <v>148.5</v>
      </c>
      <c r="R177" s="609">
        <f t="shared" si="203"/>
        <v>1782</v>
      </c>
      <c r="S177" s="609">
        <f t="shared" si="204"/>
        <v>429.28</v>
      </c>
      <c r="T177" s="610">
        <f t="shared" si="211"/>
        <v>2211.2799999999997</v>
      </c>
      <c r="U177" s="611"/>
      <c r="V177" s="612"/>
      <c r="W177" s="613"/>
      <c r="X177" s="614"/>
      <c r="Y177" s="614"/>
      <c r="Z177" s="581"/>
      <c r="AA177" s="581"/>
      <c r="AB177" s="615"/>
      <c r="AC177" s="615"/>
      <c r="AD177" s="615"/>
      <c r="AE177" s="615"/>
      <c r="AF177" s="615"/>
      <c r="AG177" s="615"/>
      <c r="AH177" s="615"/>
      <c r="AI177" s="615"/>
      <c r="AJ177" s="615"/>
      <c r="AK177" s="615"/>
      <c r="AL177" s="616"/>
      <c r="AM177" s="616"/>
      <c r="AN177" s="581"/>
      <c r="AO177" s="615"/>
      <c r="AP177" s="615"/>
      <c r="AQ177" s="615"/>
      <c r="AR177" s="615"/>
      <c r="AS177" s="615"/>
      <c r="AT177" s="615"/>
      <c r="AU177" s="615"/>
      <c r="AV177" s="615"/>
      <c r="AW177" s="615"/>
      <c r="AX177" s="615"/>
      <c r="AY177" s="616"/>
      <c r="AZ177" s="581"/>
      <c r="BA177" s="581"/>
      <c r="BB177" s="581"/>
      <c r="BC177" s="581"/>
    </row>
    <row r="178" spans="1:55" x14ac:dyDescent="0.25">
      <c r="A178" s="688" t="s">
        <v>55</v>
      </c>
      <c r="B178" s="618" t="s">
        <v>52</v>
      </c>
      <c r="C178" s="619" t="s">
        <v>52</v>
      </c>
      <c r="D178" s="619" t="s">
        <v>52</v>
      </c>
      <c r="E178" s="619" t="s">
        <v>52</v>
      </c>
      <c r="F178" s="620" t="s">
        <v>52</v>
      </c>
      <c r="G178" s="620" t="s">
        <v>52</v>
      </c>
      <c r="H178" s="620" t="s">
        <v>52</v>
      </c>
      <c r="I178" s="406">
        <f>SUM(I166:I177)</f>
        <v>98.75</v>
      </c>
      <c r="J178" s="621"/>
      <c r="K178" s="622"/>
      <c r="L178" s="622"/>
      <c r="M178" s="622"/>
      <c r="N178" s="622"/>
      <c r="O178" s="622"/>
      <c r="P178" s="623"/>
      <c r="Q178" s="623"/>
      <c r="R178" s="623"/>
      <c r="S178" s="623"/>
      <c r="T178" s="624"/>
      <c r="U178" s="581"/>
      <c r="V178" s="581"/>
      <c r="W178" s="581"/>
      <c r="X178" s="581"/>
      <c r="Y178" s="581"/>
      <c r="Z178" s="581"/>
      <c r="AA178" s="581"/>
      <c r="AB178" s="581"/>
      <c r="AC178" s="581"/>
      <c r="AD178" s="581"/>
      <c r="AE178" s="581"/>
      <c r="AF178" s="581"/>
      <c r="AG178" s="581"/>
      <c r="AH178" s="581"/>
      <c r="AI178" s="581"/>
      <c r="AJ178" s="581"/>
      <c r="AK178" s="581"/>
      <c r="AL178" s="581"/>
      <c r="AM178" s="581"/>
      <c r="AN178" s="581"/>
      <c r="AO178" s="581"/>
      <c r="AP178" s="581"/>
      <c r="AQ178" s="581"/>
      <c r="AR178" s="581"/>
      <c r="AS178" s="581"/>
      <c r="AT178" s="581"/>
      <c r="AU178" s="581"/>
      <c r="AV178" s="581"/>
      <c r="AW178" s="581"/>
      <c r="AX178" s="581"/>
      <c r="AY178" s="581"/>
      <c r="AZ178" s="581"/>
      <c r="BA178" s="581"/>
      <c r="BB178" s="581"/>
      <c r="BC178" s="581"/>
    </row>
    <row r="179" spans="1:55" x14ac:dyDescent="0.25">
      <c r="A179" s="672" t="s">
        <v>342</v>
      </c>
      <c r="B179" s="689" t="s">
        <v>52</v>
      </c>
      <c r="C179" s="689" t="s">
        <v>52</v>
      </c>
      <c r="D179" s="689" t="s">
        <v>52</v>
      </c>
      <c r="E179" s="689" t="s">
        <v>52</v>
      </c>
      <c r="F179" s="689" t="s">
        <v>52</v>
      </c>
      <c r="G179" s="689" t="s">
        <v>52</v>
      </c>
      <c r="H179" s="689" t="s">
        <v>52</v>
      </c>
      <c r="I179" s="408">
        <f>I178+I164</f>
        <v>133.75</v>
      </c>
      <c r="J179" s="674"/>
      <c r="K179" s="675"/>
      <c r="L179" s="675"/>
      <c r="M179" s="675"/>
      <c r="N179" s="675"/>
      <c r="O179" s="675"/>
      <c r="P179" s="676"/>
      <c r="Q179" s="676"/>
      <c r="R179" s="676"/>
      <c r="S179" s="676"/>
      <c r="T179" s="677"/>
      <c r="U179" s="581"/>
      <c r="V179" s="581"/>
      <c r="W179" s="581"/>
      <c r="X179" s="581"/>
      <c r="Y179" s="581"/>
      <c r="Z179" s="581"/>
      <c r="AA179" s="581"/>
      <c r="AB179" s="581"/>
      <c r="AC179" s="581"/>
      <c r="AD179" s="581"/>
      <c r="AE179" s="581"/>
      <c r="AF179" s="581"/>
      <c r="AG179" s="581"/>
      <c r="AH179" s="581"/>
      <c r="AI179" s="581"/>
      <c r="AJ179" s="581"/>
      <c r="AK179" s="581"/>
      <c r="AL179" s="581"/>
      <c r="AM179" s="581"/>
      <c r="AN179" s="581"/>
      <c r="AO179" s="581"/>
      <c r="AP179" s="581"/>
      <c r="AQ179" s="581"/>
      <c r="AR179" s="581"/>
      <c r="AS179" s="581"/>
      <c r="AT179" s="581"/>
      <c r="AU179" s="581"/>
      <c r="AV179" s="581"/>
      <c r="AW179" s="581"/>
      <c r="AX179" s="581"/>
      <c r="AY179" s="581"/>
      <c r="AZ179" s="581"/>
      <c r="BA179" s="581"/>
      <c r="BB179" s="581"/>
      <c r="BC179" s="581"/>
    </row>
    <row r="180" spans="1:55" x14ac:dyDescent="0.25">
      <c r="A180" s="909" t="s">
        <v>343</v>
      </c>
      <c r="B180" s="910"/>
      <c r="C180" s="910"/>
      <c r="D180" s="910"/>
      <c r="E180" s="910"/>
      <c r="F180" s="910"/>
      <c r="G180" s="910"/>
      <c r="H180" s="910"/>
      <c r="I180" s="911"/>
      <c r="J180" s="666"/>
      <c r="K180" s="667"/>
      <c r="L180" s="667"/>
      <c r="M180" s="667"/>
      <c r="N180" s="667"/>
      <c r="O180" s="667"/>
      <c r="P180" s="668"/>
      <c r="Q180" s="668"/>
      <c r="R180" s="668"/>
      <c r="S180" s="668"/>
      <c r="T180" s="669"/>
      <c r="U180" s="581"/>
      <c r="V180" s="581"/>
      <c r="W180" s="581"/>
      <c r="X180" s="581"/>
      <c r="Y180" s="581"/>
      <c r="Z180" s="581"/>
      <c r="AA180" s="581"/>
      <c r="AB180" s="581"/>
      <c r="AC180" s="581"/>
      <c r="AD180" s="581"/>
      <c r="AE180" s="581"/>
      <c r="AF180" s="581"/>
      <c r="AG180" s="581"/>
      <c r="AH180" s="581"/>
      <c r="AI180" s="581"/>
      <c r="AJ180" s="581"/>
      <c r="AK180" s="581"/>
      <c r="AL180" s="581"/>
      <c r="AM180" s="581"/>
      <c r="AN180" s="581"/>
      <c r="AO180" s="581"/>
      <c r="AP180" s="581"/>
      <c r="AQ180" s="581"/>
      <c r="AR180" s="581"/>
      <c r="AS180" s="581"/>
      <c r="AT180" s="581"/>
      <c r="AU180" s="581"/>
      <c r="AV180" s="581"/>
      <c r="AW180" s="581"/>
      <c r="AX180" s="581"/>
      <c r="AY180" s="581"/>
      <c r="AZ180" s="581"/>
      <c r="BA180" s="581"/>
      <c r="BB180" s="581"/>
      <c r="BC180" s="581"/>
    </row>
    <row r="181" spans="1:55" x14ac:dyDescent="0.25">
      <c r="A181" s="929" t="s">
        <v>10</v>
      </c>
      <c r="B181" s="930"/>
      <c r="C181" s="930"/>
      <c r="D181" s="930"/>
      <c r="E181" s="930"/>
      <c r="F181" s="930"/>
      <c r="G181" s="930"/>
      <c r="H181" s="930"/>
      <c r="I181" s="930"/>
      <c r="J181" s="625"/>
      <c r="K181" s="626"/>
      <c r="L181" s="626"/>
      <c r="M181" s="626"/>
      <c r="N181" s="626"/>
      <c r="O181" s="626"/>
      <c r="P181" s="603"/>
      <c r="Q181" s="603"/>
      <c r="R181" s="603"/>
      <c r="S181" s="603"/>
      <c r="T181" s="604"/>
      <c r="U181" s="581"/>
      <c r="V181" s="581"/>
      <c r="W181" s="581"/>
      <c r="X181" s="581"/>
      <c r="Y181" s="581"/>
      <c r="Z181" s="581"/>
      <c r="AA181" s="581"/>
      <c r="AB181" s="581"/>
      <c r="AC181" s="581"/>
      <c r="AD181" s="581"/>
      <c r="AE181" s="581"/>
      <c r="AF181" s="581"/>
      <c r="AG181" s="581"/>
      <c r="AH181" s="581"/>
      <c r="AI181" s="581"/>
      <c r="AJ181" s="581"/>
      <c r="AK181" s="581"/>
      <c r="AL181" s="581"/>
      <c r="AM181" s="581"/>
      <c r="AN181" s="581"/>
      <c r="AO181" s="581"/>
      <c r="AP181" s="581"/>
      <c r="AQ181" s="581"/>
      <c r="AR181" s="581"/>
      <c r="AS181" s="581"/>
      <c r="AT181" s="581"/>
      <c r="AU181" s="581"/>
      <c r="AV181" s="581"/>
      <c r="AW181" s="581"/>
      <c r="AX181" s="581"/>
      <c r="AY181" s="581"/>
      <c r="AZ181" s="581"/>
      <c r="BA181" s="581"/>
      <c r="BB181" s="581"/>
      <c r="BC181" s="581"/>
    </row>
    <row r="182" spans="1:55" x14ac:dyDescent="0.25">
      <c r="A182" s="105" t="s">
        <v>291</v>
      </c>
      <c r="B182" s="106" t="s">
        <v>122</v>
      </c>
      <c r="C182" s="106" t="s">
        <v>25</v>
      </c>
      <c r="D182" s="316" t="s">
        <v>75</v>
      </c>
      <c r="E182" s="316" t="s">
        <v>69</v>
      </c>
      <c r="F182" s="319">
        <v>1287</v>
      </c>
      <c r="G182" s="357">
        <v>1251</v>
      </c>
      <c r="H182" s="357">
        <f>G182*10%</f>
        <v>125.10000000000001</v>
      </c>
      <c r="I182" s="405">
        <v>2.75</v>
      </c>
      <c r="J182" s="607">
        <f>ROUND(G182*(1+'29_01_H_2020'!$F$14),2)</f>
        <v>1376.1</v>
      </c>
      <c r="K182" s="608">
        <f t="shared" ref="K182" si="214">IF(J182&lt;=F182,J182,F182)</f>
        <v>1287</v>
      </c>
      <c r="L182" s="608">
        <f t="shared" ref="L182" si="215">K182-G182</f>
        <v>36</v>
      </c>
      <c r="M182" s="608">
        <f t="shared" ref="M182" si="216">J182-K182</f>
        <v>89.099999999999909</v>
      </c>
      <c r="N182" s="608">
        <f t="shared" ref="N182" si="217">ROUND(H182/G182*K182-H182,2)</f>
        <v>3.6</v>
      </c>
      <c r="O182" s="608">
        <f t="shared" ref="O182" si="218">ROUND(H182/G182*J182-H182-N182,2)</f>
        <v>8.91</v>
      </c>
      <c r="P182" s="609">
        <f t="shared" ref="P182" si="219">L182+M182+N182+O182</f>
        <v>137.6099999999999</v>
      </c>
      <c r="Q182" s="609">
        <f>P182*I182</f>
        <v>378.42749999999972</v>
      </c>
      <c r="R182" s="609">
        <f t="shared" ref="R182" si="220">Q182*12</f>
        <v>4541.1299999999965</v>
      </c>
      <c r="S182" s="609">
        <f t="shared" ref="S182" si="221">ROUND(R182*0.2409,2)</f>
        <v>1093.96</v>
      </c>
      <c r="T182" s="610">
        <f t="shared" ref="T182" si="222">SUM(R182:S182)</f>
        <v>5635.0899999999965</v>
      </c>
      <c r="U182" s="611"/>
      <c r="V182" s="612"/>
      <c r="W182" s="613"/>
      <c r="X182" s="614"/>
      <c r="Y182" s="614"/>
      <c r="Z182" s="581"/>
      <c r="AA182" s="581"/>
      <c r="AB182" s="615"/>
      <c r="AC182" s="615"/>
      <c r="AD182" s="615"/>
      <c r="AE182" s="615"/>
      <c r="AF182" s="615"/>
      <c r="AG182" s="615"/>
      <c r="AH182" s="615"/>
      <c r="AI182" s="615"/>
      <c r="AJ182" s="615"/>
      <c r="AK182" s="615"/>
      <c r="AL182" s="616"/>
      <c r="AM182" s="581"/>
      <c r="AN182" s="581"/>
      <c r="AO182" s="615"/>
      <c r="AP182" s="615"/>
      <c r="AQ182" s="615"/>
      <c r="AR182" s="615"/>
      <c r="AS182" s="615"/>
      <c r="AT182" s="615"/>
      <c r="AU182" s="615"/>
      <c r="AV182" s="615"/>
      <c r="AW182" s="615"/>
      <c r="AX182" s="615"/>
      <c r="AY182" s="616"/>
      <c r="AZ182" s="581"/>
      <c r="BA182" s="581"/>
      <c r="BB182" s="581"/>
      <c r="BC182" s="581"/>
    </row>
    <row r="183" spans="1:55" x14ac:dyDescent="0.25">
      <c r="A183" s="688" t="s">
        <v>55</v>
      </c>
      <c r="B183" s="618" t="s">
        <v>52</v>
      </c>
      <c r="C183" s="619" t="s">
        <v>52</v>
      </c>
      <c r="D183" s="619" t="s">
        <v>52</v>
      </c>
      <c r="E183" s="619" t="s">
        <v>52</v>
      </c>
      <c r="F183" s="620" t="s">
        <v>52</v>
      </c>
      <c r="G183" s="620" t="s">
        <v>52</v>
      </c>
      <c r="H183" s="620" t="s">
        <v>52</v>
      </c>
      <c r="I183" s="406">
        <f>I182</f>
        <v>2.75</v>
      </c>
      <c r="J183" s="621"/>
      <c r="K183" s="622"/>
      <c r="L183" s="622"/>
      <c r="M183" s="622"/>
      <c r="N183" s="622"/>
      <c r="O183" s="622"/>
      <c r="P183" s="623"/>
      <c r="Q183" s="623"/>
      <c r="R183" s="623"/>
      <c r="S183" s="623"/>
      <c r="T183" s="624"/>
      <c r="U183" s="581"/>
      <c r="V183" s="581"/>
      <c r="W183" s="581"/>
      <c r="X183" s="581"/>
      <c r="Y183" s="581"/>
      <c r="Z183" s="581"/>
      <c r="AA183" s="581"/>
      <c r="AB183" s="581"/>
      <c r="AC183" s="581"/>
      <c r="AD183" s="581"/>
      <c r="AE183" s="581"/>
      <c r="AF183" s="581"/>
      <c r="AG183" s="581"/>
      <c r="AH183" s="581"/>
      <c r="AI183" s="581"/>
      <c r="AJ183" s="581"/>
      <c r="AK183" s="581"/>
      <c r="AL183" s="581"/>
      <c r="AM183" s="581"/>
      <c r="AN183" s="581"/>
      <c r="AO183" s="581"/>
      <c r="AP183" s="581"/>
      <c r="AQ183" s="581"/>
      <c r="AR183" s="581"/>
      <c r="AS183" s="581"/>
      <c r="AT183" s="581"/>
      <c r="AU183" s="581"/>
      <c r="AV183" s="581"/>
      <c r="AW183" s="581"/>
      <c r="AX183" s="581"/>
      <c r="AY183" s="581"/>
      <c r="AZ183" s="581"/>
      <c r="BA183" s="581"/>
      <c r="BB183" s="581"/>
      <c r="BC183" s="581"/>
    </row>
    <row r="184" spans="1:55" x14ac:dyDescent="0.25">
      <c r="A184" s="942" t="s">
        <v>27</v>
      </c>
      <c r="B184" s="943"/>
      <c r="C184" s="943"/>
      <c r="D184" s="943"/>
      <c r="E184" s="943"/>
      <c r="F184" s="943"/>
      <c r="G184" s="943"/>
      <c r="H184" s="943"/>
      <c r="I184" s="943"/>
      <c r="J184" s="625"/>
      <c r="K184" s="626"/>
      <c r="L184" s="626"/>
      <c r="M184" s="626"/>
      <c r="N184" s="626"/>
      <c r="O184" s="626"/>
      <c r="P184" s="603"/>
      <c r="Q184" s="603"/>
      <c r="R184" s="603"/>
      <c r="S184" s="603"/>
      <c r="T184" s="604"/>
      <c r="U184" s="581"/>
      <c r="V184" s="581"/>
      <c r="W184" s="581"/>
      <c r="X184" s="581"/>
      <c r="Y184" s="581"/>
      <c r="Z184" s="581"/>
      <c r="AA184" s="581"/>
      <c r="AB184" s="581"/>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1"/>
      <c r="AY184" s="581"/>
      <c r="AZ184" s="581"/>
      <c r="BA184" s="581"/>
      <c r="BB184" s="581"/>
      <c r="BC184" s="581"/>
    </row>
    <row r="185" spans="1:55" x14ac:dyDescent="0.25">
      <c r="A185" s="532" t="s">
        <v>297</v>
      </c>
      <c r="B185" s="106" t="s">
        <v>158</v>
      </c>
      <c r="C185" s="106" t="s">
        <v>25</v>
      </c>
      <c r="D185" s="316" t="s">
        <v>298</v>
      </c>
      <c r="E185" s="316" t="s">
        <v>69</v>
      </c>
      <c r="F185" s="319">
        <v>996</v>
      </c>
      <c r="G185" s="107" t="s">
        <v>344</v>
      </c>
      <c r="H185" s="683">
        <f>G185*10%+208.8</f>
        <v>294.5</v>
      </c>
      <c r="I185" s="411">
        <v>19</v>
      </c>
      <c r="J185" s="607">
        <f>ROUND(G185*(1+'29_01_H_2020'!$F$10),2)</f>
        <v>942.7</v>
      </c>
      <c r="K185" s="608">
        <f t="shared" ref="K185" si="223">IF(J185&lt;=F185,J185,F185)</f>
        <v>942.7</v>
      </c>
      <c r="L185" s="608">
        <f t="shared" ref="L185" si="224">K185-G185</f>
        <v>85.700000000000045</v>
      </c>
      <c r="M185" s="608">
        <f t="shared" ref="M185" si="225">J185-K185</f>
        <v>0</v>
      </c>
      <c r="N185" s="608">
        <f t="shared" ref="N185" si="226">ROUND(H185/G185*K185-H185,2)</f>
        <v>29.45</v>
      </c>
      <c r="O185" s="608">
        <f t="shared" ref="O185" si="227">ROUND(H185/G185*J185-H185-N185,2)</f>
        <v>0</v>
      </c>
      <c r="P185" s="609">
        <f t="shared" ref="P185:P190" si="228">L185+M185+N185+O185</f>
        <v>115.15000000000005</v>
      </c>
      <c r="Q185" s="609">
        <f t="shared" ref="Q185:Q190" si="229">P185*I185</f>
        <v>2187.8500000000008</v>
      </c>
      <c r="R185" s="609">
        <f t="shared" ref="R185:R189" si="230">Q185*12</f>
        <v>26254.200000000012</v>
      </c>
      <c r="S185" s="609">
        <f t="shared" ref="S185:S190" si="231">ROUND(R185*0.2409,2)</f>
        <v>6324.64</v>
      </c>
      <c r="T185" s="610">
        <f t="shared" ref="T185" si="232">SUM(R185:S185)</f>
        <v>32578.840000000011</v>
      </c>
      <c r="U185" s="611"/>
      <c r="V185" s="612"/>
      <c r="W185" s="613"/>
      <c r="X185" s="614"/>
      <c r="Y185" s="614"/>
      <c r="Z185" s="581"/>
      <c r="AA185" s="581"/>
      <c r="AB185" s="615"/>
      <c r="AC185" s="615"/>
      <c r="AD185" s="615"/>
      <c r="AE185" s="615"/>
      <c r="AF185" s="615"/>
      <c r="AG185" s="615"/>
      <c r="AH185" s="615"/>
      <c r="AI185" s="615"/>
      <c r="AJ185" s="615"/>
      <c r="AK185" s="615"/>
      <c r="AL185" s="616"/>
      <c r="AM185" s="581"/>
      <c r="AN185" s="581"/>
      <c r="AO185" s="615"/>
      <c r="AP185" s="615"/>
      <c r="AQ185" s="615"/>
      <c r="AR185" s="615"/>
      <c r="AS185" s="615"/>
      <c r="AT185" s="615"/>
      <c r="AU185" s="615"/>
      <c r="AV185" s="615"/>
      <c r="AW185" s="615"/>
      <c r="AX185" s="615"/>
      <c r="AY185" s="616"/>
      <c r="AZ185" s="581"/>
      <c r="BA185" s="581"/>
      <c r="BB185" s="581"/>
      <c r="BC185" s="581"/>
    </row>
    <row r="186" spans="1:55" x14ac:dyDescent="0.25">
      <c r="A186" s="532" t="s">
        <v>345</v>
      </c>
      <c r="B186" s="106" t="s">
        <v>158</v>
      </c>
      <c r="C186" s="106" t="s">
        <v>41</v>
      </c>
      <c r="D186" s="316" t="s">
        <v>300</v>
      </c>
      <c r="E186" s="316" t="s">
        <v>69</v>
      </c>
      <c r="F186" s="319">
        <v>899</v>
      </c>
      <c r="G186" s="107" t="s">
        <v>346</v>
      </c>
      <c r="H186" s="683">
        <f>G186*10%+78.48</f>
        <v>154.38</v>
      </c>
      <c r="I186" s="411">
        <v>8.75</v>
      </c>
      <c r="J186" s="607">
        <f>ROUND(G186*(1+'29_01_H_2020'!$F$10),2)</f>
        <v>834.9</v>
      </c>
      <c r="K186" s="608">
        <f t="shared" ref="K186:K190" si="233">IF(J186&lt;=F186,J186,F186)</f>
        <v>834.9</v>
      </c>
      <c r="L186" s="608">
        <f t="shared" ref="L186:L190" si="234">K186-G186</f>
        <v>75.899999999999977</v>
      </c>
      <c r="M186" s="608">
        <f t="shared" ref="M186:M190" si="235">J186-K186</f>
        <v>0</v>
      </c>
      <c r="N186" s="608">
        <f t="shared" ref="N186:N190" si="236">ROUND(H186/G186*K186-H186,2)</f>
        <v>15.44</v>
      </c>
      <c r="O186" s="608">
        <f t="shared" ref="O186:O190" si="237">ROUND(H186/G186*J186-H186-N186,2)</f>
        <v>0</v>
      </c>
      <c r="P186" s="609">
        <f t="shared" si="228"/>
        <v>91.339999999999975</v>
      </c>
      <c r="Q186" s="609">
        <f t="shared" si="229"/>
        <v>799.2249999999998</v>
      </c>
      <c r="R186" s="609">
        <f t="shared" si="230"/>
        <v>9590.6999999999971</v>
      </c>
      <c r="S186" s="609">
        <f t="shared" si="231"/>
        <v>2310.4</v>
      </c>
      <c r="T186" s="610">
        <f t="shared" ref="T186:T189" si="238">SUM(R186:S186)</f>
        <v>11901.099999999997</v>
      </c>
      <c r="U186" s="611"/>
      <c r="V186" s="612"/>
      <c r="W186" s="613"/>
      <c r="X186" s="614"/>
      <c r="Y186" s="614"/>
      <c r="Z186" s="581"/>
      <c r="AA186" s="581"/>
      <c r="AB186" s="615"/>
      <c r="AC186" s="615"/>
      <c r="AD186" s="615"/>
      <c r="AE186" s="615"/>
      <c r="AF186" s="615"/>
      <c r="AG186" s="615"/>
      <c r="AH186" s="615"/>
      <c r="AI186" s="615"/>
      <c r="AJ186" s="615"/>
      <c r="AK186" s="615"/>
      <c r="AL186" s="616"/>
      <c r="AM186" s="581"/>
      <c r="AN186" s="581"/>
      <c r="AO186" s="615"/>
      <c r="AP186" s="615"/>
      <c r="AQ186" s="615"/>
      <c r="AR186" s="615"/>
      <c r="AS186" s="615"/>
      <c r="AT186" s="615"/>
      <c r="AU186" s="615"/>
      <c r="AV186" s="615"/>
      <c r="AW186" s="615"/>
      <c r="AX186" s="615"/>
      <c r="AY186" s="616"/>
      <c r="AZ186" s="581"/>
      <c r="BA186" s="581"/>
      <c r="BB186" s="581"/>
      <c r="BC186" s="581"/>
    </row>
    <row r="187" spans="1:55" x14ac:dyDescent="0.25">
      <c r="A187" s="532" t="s">
        <v>347</v>
      </c>
      <c r="B187" s="316" t="s">
        <v>158</v>
      </c>
      <c r="C187" s="316" t="s">
        <v>25</v>
      </c>
      <c r="D187" s="316" t="s">
        <v>298</v>
      </c>
      <c r="E187" s="316" t="s">
        <v>69</v>
      </c>
      <c r="F187" s="319">
        <v>996</v>
      </c>
      <c r="G187" s="107" t="s">
        <v>344</v>
      </c>
      <c r="H187" s="683">
        <f>G187*10%+78.48</f>
        <v>164.18</v>
      </c>
      <c r="I187" s="411">
        <v>2.75</v>
      </c>
      <c r="J187" s="607">
        <f>ROUND(G187*(1+'29_01_H_2020'!$F$10),2)</f>
        <v>942.7</v>
      </c>
      <c r="K187" s="608">
        <f t="shared" si="233"/>
        <v>942.7</v>
      </c>
      <c r="L187" s="608">
        <f t="shared" si="234"/>
        <v>85.700000000000045</v>
      </c>
      <c r="M187" s="608">
        <f t="shared" si="235"/>
        <v>0</v>
      </c>
      <c r="N187" s="608">
        <f t="shared" si="236"/>
        <v>16.420000000000002</v>
      </c>
      <c r="O187" s="608">
        <f t="shared" si="237"/>
        <v>0</v>
      </c>
      <c r="P187" s="609">
        <f t="shared" si="228"/>
        <v>102.12000000000005</v>
      </c>
      <c r="Q187" s="609">
        <f t="shared" si="229"/>
        <v>280.83000000000015</v>
      </c>
      <c r="R187" s="609">
        <f t="shared" si="230"/>
        <v>3369.9600000000019</v>
      </c>
      <c r="S187" s="609">
        <f t="shared" si="231"/>
        <v>811.82</v>
      </c>
      <c r="T187" s="610">
        <f t="shared" si="238"/>
        <v>4181.7800000000016</v>
      </c>
      <c r="U187" s="611"/>
      <c r="V187" s="612"/>
      <c r="W187" s="613"/>
      <c r="X187" s="614"/>
      <c r="Y187" s="614"/>
      <c r="Z187" s="581"/>
      <c r="AA187" s="581"/>
      <c r="AB187" s="615"/>
      <c r="AC187" s="615"/>
      <c r="AD187" s="615"/>
      <c r="AE187" s="615"/>
      <c r="AF187" s="615"/>
      <c r="AG187" s="615"/>
      <c r="AH187" s="615"/>
      <c r="AI187" s="615"/>
      <c r="AJ187" s="615"/>
      <c r="AK187" s="615"/>
      <c r="AL187" s="616"/>
      <c r="AM187" s="581"/>
      <c r="AN187" s="581"/>
      <c r="AO187" s="615"/>
      <c r="AP187" s="615"/>
      <c r="AQ187" s="615"/>
      <c r="AR187" s="615"/>
      <c r="AS187" s="615"/>
      <c r="AT187" s="615"/>
      <c r="AU187" s="615"/>
      <c r="AV187" s="615"/>
      <c r="AW187" s="615"/>
      <c r="AX187" s="615"/>
      <c r="AY187" s="616"/>
      <c r="AZ187" s="581"/>
      <c r="BA187" s="581"/>
      <c r="BB187" s="581"/>
      <c r="BC187" s="581"/>
    </row>
    <row r="188" spans="1:55" ht="26.25" x14ac:dyDescent="0.25">
      <c r="A188" s="533" t="s">
        <v>348</v>
      </c>
      <c r="B188" s="106" t="s">
        <v>349</v>
      </c>
      <c r="C188" s="106" t="s">
        <v>350</v>
      </c>
      <c r="D188" s="316" t="s">
        <v>296</v>
      </c>
      <c r="E188" s="316" t="s">
        <v>69</v>
      </c>
      <c r="F188" s="319">
        <v>1093</v>
      </c>
      <c r="G188" s="107" t="s">
        <v>351</v>
      </c>
      <c r="H188" s="683">
        <f t="shared" ref="H188:H190" si="239">G188*10%</f>
        <v>109.30000000000001</v>
      </c>
      <c r="I188" s="411">
        <v>5</v>
      </c>
      <c r="J188" s="607">
        <f>ROUND(G188*(1+'29_01_H_2020'!$F$10),2)</f>
        <v>1202.3</v>
      </c>
      <c r="K188" s="608">
        <f t="shared" si="233"/>
        <v>1093</v>
      </c>
      <c r="L188" s="608">
        <f t="shared" si="234"/>
        <v>0</v>
      </c>
      <c r="M188" s="608">
        <f t="shared" si="235"/>
        <v>109.29999999999995</v>
      </c>
      <c r="N188" s="608">
        <f t="shared" si="236"/>
        <v>0</v>
      </c>
      <c r="O188" s="608">
        <f t="shared" si="237"/>
        <v>10.93</v>
      </c>
      <c r="P188" s="609">
        <f t="shared" si="228"/>
        <v>120.22999999999996</v>
      </c>
      <c r="Q188" s="609">
        <f t="shared" si="229"/>
        <v>601.14999999999986</v>
      </c>
      <c r="R188" s="609">
        <f t="shared" si="230"/>
        <v>7213.7999999999984</v>
      </c>
      <c r="S188" s="609">
        <f t="shared" si="231"/>
        <v>1737.8</v>
      </c>
      <c r="T188" s="610">
        <f t="shared" si="238"/>
        <v>8951.5999999999985</v>
      </c>
      <c r="U188" s="611"/>
      <c r="V188" s="612"/>
      <c r="W188" s="613"/>
      <c r="X188" s="614"/>
      <c r="Y188" s="614"/>
      <c r="Z188" s="581"/>
      <c r="AA188" s="581"/>
      <c r="AB188" s="615"/>
      <c r="AC188" s="615"/>
      <c r="AD188" s="615"/>
      <c r="AE188" s="615"/>
      <c r="AF188" s="615"/>
      <c r="AG188" s="615"/>
      <c r="AH188" s="615"/>
      <c r="AI188" s="615"/>
      <c r="AJ188" s="615"/>
      <c r="AK188" s="615"/>
      <c r="AL188" s="616"/>
      <c r="AM188" s="581"/>
      <c r="AN188" s="581"/>
      <c r="AO188" s="615"/>
      <c r="AP188" s="615"/>
      <c r="AQ188" s="615"/>
      <c r="AR188" s="615"/>
      <c r="AS188" s="615"/>
      <c r="AT188" s="615"/>
      <c r="AU188" s="615"/>
      <c r="AV188" s="615"/>
      <c r="AW188" s="615"/>
      <c r="AX188" s="615"/>
      <c r="AY188" s="616"/>
      <c r="AZ188" s="581"/>
      <c r="BA188" s="581"/>
      <c r="BB188" s="581"/>
      <c r="BC188" s="581"/>
    </row>
    <row r="189" spans="1:55" x14ac:dyDescent="0.25">
      <c r="A189" s="532" t="s">
        <v>316</v>
      </c>
      <c r="B189" s="106" t="s">
        <v>122</v>
      </c>
      <c r="C189" s="106" t="s">
        <v>295</v>
      </c>
      <c r="D189" s="316" t="s">
        <v>85</v>
      </c>
      <c r="E189" s="316" t="s">
        <v>69</v>
      </c>
      <c r="F189" s="319">
        <v>1190</v>
      </c>
      <c r="G189" s="107" t="s">
        <v>352</v>
      </c>
      <c r="H189" s="683">
        <f t="shared" si="239"/>
        <v>108.4</v>
      </c>
      <c r="I189" s="411">
        <v>0.5</v>
      </c>
      <c r="J189" s="607">
        <f>ROUND(G189*(1+'29_01_H_2020'!$F$10),2)</f>
        <v>1192.4000000000001</v>
      </c>
      <c r="K189" s="608">
        <f t="shared" si="233"/>
        <v>1190</v>
      </c>
      <c r="L189" s="608">
        <f t="shared" si="234"/>
        <v>106</v>
      </c>
      <c r="M189" s="608">
        <f t="shared" si="235"/>
        <v>2.4000000000000909</v>
      </c>
      <c r="N189" s="608">
        <f t="shared" si="236"/>
        <v>10.6</v>
      </c>
      <c r="O189" s="608">
        <f t="shared" si="237"/>
        <v>0.24</v>
      </c>
      <c r="P189" s="609">
        <f t="shared" si="228"/>
        <v>119.24000000000008</v>
      </c>
      <c r="Q189" s="609">
        <f t="shared" si="229"/>
        <v>59.62000000000004</v>
      </c>
      <c r="R189" s="609">
        <f t="shared" si="230"/>
        <v>715.44000000000051</v>
      </c>
      <c r="S189" s="609">
        <f t="shared" si="231"/>
        <v>172.35</v>
      </c>
      <c r="T189" s="610">
        <f t="shared" si="238"/>
        <v>887.79000000000053</v>
      </c>
      <c r="U189" s="611"/>
      <c r="V189" s="612"/>
      <c r="W189" s="613"/>
      <c r="X189" s="614"/>
      <c r="Y189" s="614"/>
      <c r="Z189" s="581"/>
      <c r="AA189" s="581"/>
      <c r="AB189" s="615"/>
      <c r="AC189" s="615"/>
      <c r="AD189" s="615"/>
      <c r="AE189" s="615"/>
      <c r="AF189" s="615"/>
      <c r="AG189" s="615"/>
      <c r="AH189" s="615"/>
      <c r="AI189" s="615"/>
      <c r="AJ189" s="615"/>
      <c r="AK189" s="615"/>
      <c r="AL189" s="616"/>
      <c r="AM189" s="581"/>
      <c r="AN189" s="581"/>
      <c r="AO189" s="615"/>
      <c r="AP189" s="615"/>
      <c r="AQ189" s="615"/>
      <c r="AR189" s="615"/>
      <c r="AS189" s="615"/>
      <c r="AT189" s="615"/>
      <c r="AU189" s="615"/>
      <c r="AV189" s="615"/>
      <c r="AW189" s="615"/>
      <c r="AX189" s="615"/>
      <c r="AY189" s="616"/>
      <c r="AZ189" s="581"/>
      <c r="BA189" s="581"/>
      <c r="BB189" s="581"/>
      <c r="BC189" s="581"/>
    </row>
    <row r="190" spans="1:55" x14ac:dyDescent="0.25">
      <c r="A190" s="532" t="s">
        <v>294</v>
      </c>
      <c r="B190" s="106" t="s">
        <v>122</v>
      </c>
      <c r="C190" s="106" t="s">
        <v>295</v>
      </c>
      <c r="D190" s="316" t="s">
        <v>85</v>
      </c>
      <c r="E190" s="316" t="s">
        <v>69</v>
      </c>
      <c r="F190" s="319">
        <v>1190</v>
      </c>
      <c r="G190" s="107" t="s">
        <v>352</v>
      </c>
      <c r="H190" s="683">
        <f t="shared" si="239"/>
        <v>108.4</v>
      </c>
      <c r="I190" s="411">
        <v>0.5</v>
      </c>
      <c r="J190" s="607">
        <f>ROUND(G190*(1+'29_01_H_2020'!$F$10),2)</f>
        <v>1192.4000000000001</v>
      </c>
      <c r="K190" s="608">
        <f t="shared" si="233"/>
        <v>1190</v>
      </c>
      <c r="L190" s="608">
        <f t="shared" si="234"/>
        <v>106</v>
      </c>
      <c r="M190" s="608">
        <f t="shared" si="235"/>
        <v>2.4000000000000909</v>
      </c>
      <c r="N190" s="608">
        <f t="shared" si="236"/>
        <v>10.6</v>
      </c>
      <c r="O190" s="608">
        <f t="shared" si="237"/>
        <v>0.24</v>
      </c>
      <c r="P190" s="609">
        <f t="shared" si="228"/>
        <v>119.24000000000008</v>
      </c>
      <c r="Q190" s="609">
        <f t="shared" si="229"/>
        <v>59.62000000000004</v>
      </c>
      <c r="R190" s="609">
        <f>Q190*12</f>
        <v>715.44000000000051</v>
      </c>
      <c r="S190" s="609">
        <f t="shared" si="231"/>
        <v>172.35</v>
      </c>
      <c r="T190" s="610">
        <f>SUM(R190:S190)</f>
        <v>887.79000000000053</v>
      </c>
      <c r="U190" s="611"/>
      <c r="V190" s="612"/>
      <c r="W190" s="613"/>
      <c r="X190" s="614"/>
      <c r="Y190" s="614"/>
      <c r="Z190" s="581"/>
      <c r="AA190" s="581"/>
      <c r="AB190" s="615"/>
      <c r="AC190" s="615"/>
      <c r="AD190" s="615"/>
      <c r="AE190" s="615"/>
      <c r="AF190" s="615"/>
      <c r="AG190" s="615"/>
      <c r="AH190" s="615"/>
      <c r="AI190" s="615"/>
      <c r="AJ190" s="615"/>
      <c r="AK190" s="615"/>
      <c r="AL190" s="616"/>
      <c r="AM190" s="581"/>
      <c r="AN190" s="581"/>
      <c r="AO190" s="615"/>
      <c r="AP190" s="615"/>
      <c r="AQ190" s="615"/>
      <c r="AR190" s="615"/>
      <c r="AS190" s="615"/>
      <c r="AT190" s="615"/>
      <c r="AU190" s="615"/>
      <c r="AV190" s="615"/>
      <c r="AW190" s="615"/>
      <c r="AX190" s="615"/>
      <c r="AY190" s="616"/>
      <c r="AZ190" s="581"/>
      <c r="BA190" s="581"/>
      <c r="BB190" s="581"/>
      <c r="BC190" s="581"/>
    </row>
    <row r="191" spans="1:55" x14ac:dyDescent="0.25">
      <c r="A191" s="688" t="s">
        <v>55</v>
      </c>
      <c r="B191" s="618" t="s">
        <v>52</v>
      </c>
      <c r="C191" s="619" t="s">
        <v>52</v>
      </c>
      <c r="D191" s="619" t="s">
        <v>52</v>
      </c>
      <c r="E191" s="619" t="s">
        <v>52</v>
      </c>
      <c r="F191" s="620" t="s">
        <v>52</v>
      </c>
      <c r="G191" s="620" t="s">
        <v>52</v>
      </c>
      <c r="H191" s="620" t="s">
        <v>52</v>
      </c>
      <c r="I191" s="406">
        <f>SUM(I185:I190)</f>
        <v>36.5</v>
      </c>
      <c r="J191" s="621"/>
      <c r="K191" s="622"/>
      <c r="L191" s="622"/>
      <c r="M191" s="622"/>
      <c r="N191" s="622"/>
      <c r="O191" s="622"/>
      <c r="P191" s="623"/>
      <c r="Q191" s="623"/>
      <c r="R191" s="623"/>
      <c r="S191" s="623"/>
      <c r="T191" s="660"/>
      <c r="U191" s="615"/>
      <c r="V191" s="581"/>
      <c r="W191" s="581"/>
      <c r="X191" s="581"/>
      <c r="Y191" s="581"/>
      <c r="Z191" s="581"/>
      <c r="AA191" s="581"/>
      <c r="AB191" s="581"/>
      <c r="AC191" s="581"/>
      <c r="AD191" s="581"/>
      <c r="AE191" s="581"/>
      <c r="AF191" s="581"/>
      <c r="AG191" s="581"/>
      <c r="AH191" s="581"/>
      <c r="AI191" s="615"/>
      <c r="AJ191" s="581"/>
      <c r="AK191" s="581"/>
      <c r="AL191" s="581"/>
      <c r="AM191" s="581"/>
      <c r="AN191" s="581"/>
      <c r="AO191" s="581"/>
      <c r="AP191" s="581"/>
      <c r="AQ191" s="581"/>
      <c r="AR191" s="581"/>
      <c r="AS191" s="581"/>
      <c r="AT191" s="581"/>
      <c r="AU191" s="581"/>
      <c r="AV191" s="615"/>
      <c r="AW191" s="581"/>
      <c r="AX191" s="581"/>
      <c r="AY191" s="581"/>
      <c r="AZ191" s="581"/>
      <c r="BA191" s="581"/>
      <c r="BB191" s="581"/>
      <c r="BC191" s="581"/>
    </row>
    <row r="192" spans="1:55" x14ac:dyDescent="0.25">
      <c r="A192" s="672" t="s">
        <v>353</v>
      </c>
      <c r="B192" s="689" t="s">
        <v>52</v>
      </c>
      <c r="C192" s="689" t="s">
        <v>52</v>
      </c>
      <c r="D192" s="689" t="s">
        <v>52</v>
      </c>
      <c r="E192" s="689" t="s">
        <v>52</v>
      </c>
      <c r="F192" s="689" t="s">
        <v>52</v>
      </c>
      <c r="G192" s="689" t="s">
        <v>52</v>
      </c>
      <c r="H192" s="689" t="s">
        <v>52</v>
      </c>
      <c r="I192" s="408">
        <f>I183+I191</f>
        <v>39.25</v>
      </c>
      <c r="J192" s="674"/>
      <c r="K192" s="675"/>
      <c r="L192" s="675"/>
      <c r="M192" s="675"/>
      <c r="N192" s="675"/>
      <c r="O192" s="675"/>
      <c r="P192" s="676"/>
      <c r="Q192" s="676"/>
      <c r="R192" s="676"/>
      <c r="S192" s="676"/>
      <c r="T192" s="677"/>
      <c r="U192" s="581"/>
      <c r="V192" s="581"/>
      <c r="W192" s="581"/>
      <c r="X192" s="581"/>
      <c r="Y192" s="581"/>
      <c r="Z192" s="581"/>
      <c r="AA192" s="581"/>
      <c r="AB192" s="581"/>
      <c r="AC192" s="581"/>
      <c r="AD192" s="581"/>
      <c r="AE192" s="581"/>
      <c r="AF192" s="581"/>
      <c r="AG192" s="581"/>
      <c r="AH192" s="581"/>
      <c r="AI192" s="581"/>
      <c r="AJ192" s="581"/>
      <c r="AK192" s="581"/>
      <c r="AL192" s="581"/>
      <c r="AM192" s="581"/>
      <c r="AN192" s="581"/>
      <c r="AO192" s="581"/>
      <c r="AP192" s="581"/>
      <c r="AQ192" s="581"/>
      <c r="AR192" s="581"/>
      <c r="AS192" s="581"/>
      <c r="AT192" s="581"/>
      <c r="AU192" s="581"/>
      <c r="AV192" s="581"/>
      <c r="AW192" s="581"/>
      <c r="AX192" s="581"/>
      <c r="AY192" s="581"/>
      <c r="AZ192" s="581"/>
      <c r="BA192" s="581"/>
      <c r="BB192" s="581"/>
      <c r="BC192" s="581"/>
    </row>
    <row r="193" spans="1:55" x14ac:dyDescent="0.25">
      <c r="A193" s="94" t="s">
        <v>354</v>
      </c>
      <c r="B193" s="93"/>
      <c r="C193" s="93"/>
      <c r="D193" s="93"/>
      <c r="E193" s="93"/>
      <c r="F193" s="108"/>
      <c r="G193" s="108"/>
      <c r="H193" s="108"/>
      <c r="I193" s="412">
        <f>I192+I179+I146+I125+I97</f>
        <v>340</v>
      </c>
      <c r="J193" s="662"/>
      <c r="K193" s="663"/>
      <c r="L193" s="663"/>
      <c r="M193" s="663"/>
      <c r="N193" s="663"/>
      <c r="O193" s="663"/>
      <c r="P193" s="664"/>
      <c r="Q193" s="664"/>
      <c r="R193" s="664"/>
      <c r="S193" s="664"/>
      <c r="T193" s="665"/>
      <c r="U193" s="581"/>
      <c r="V193" s="581"/>
      <c r="W193" s="581"/>
      <c r="X193" s="581"/>
      <c r="Y193" s="581"/>
      <c r="Z193" s="581"/>
      <c r="AA193" s="581"/>
      <c r="AB193" s="581"/>
      <c r="AC193" s="581"/>
      <c r="AD193" s="581"/>
      <c r="AE193" s="581"/>
      <c r="AF193" s="581"/>
      <c r="AG193" s="581"/>
      <c r="AH193" s="581"/>
      <c r="AI193" s="581"/>
      <c r="AJ193" s="581"/>
      <c r="AK193" s="581"/>
      <c r="AL193" s="581"/>
      <c r="AM193" s="581"/>
      <c r="AN193" s="581"/>
      <c r="AO193" s="581"/>
      <c r="AP193" s="581"/>
      <c r="AQ193" s="581"/>
      <c r="AR193" s="581"/>
      <c r="AS193" s="581"/>
      <c r="AT193" s="581"/>
      <c r="AU193" s="581"/>
      <c r="AV193" s="581"/>
      <c r="AW193" s="581"/>
      <c r="AX193" s="581"/>
      <c r="AY193" s="581"/>
      <c r="AZ193" s="581"/>
      <c r="BA193" s="581"/>
      <c r="BB193" s="581"/>
      <c r="BC193" s="581"/>
    </row>
    <row r="194" spans="1:55" ht="30" customHeight="1" x14ac:dyDescent="0.25">
      <c r="A194" s="923" t="s">
        <v>355</v>
      </c>
      <c r="B194" s="924"/>
      <c r="C194" s="924"/>
      <c r="D194" s="924"/>
      <c r="E194" s="924"/>
      <c r="F194" s="924"/>
      <c r="G194" s="924"/>
      <c r="H194" s="924"/>
      <c r="I194" s="925"/>
      <c r="J194" s="656"/>
      <c r="K194" s="657"/>
      <c r="L194" s="657"/>
      <c r="M194" s="657"/>
      <c r="N194" s="657"/>
      <c r="O194" s="657"/>
      <c r="P194" s="658"/>
      <c r="Q194" s="658"/>
      <c r="R194" s="658"/>
      <c r="S194" s="658"/>
      <c r="T194" s="659">
        <f>SUM(T196:T213,T216:T225,T228:T231)</f>
        <v>114339.28000000001</v>
      </c>
      <c r="U194" s="581"/>
      <c r="V194" s="581"/>
      <c r="W194" s="581"/>
      <c r="X194" s="581"/>
      <c r="Y194" s="581"/>
      <c r="Z194" s="581"/>
      <c r="AA194" s="581"/>
      <c r="AB194" s="581"/>
      <c r="AC194" s="581"/>
      <c r="AD194" s="581"/>
      <c r="AE194" s="581"/>
      <c r="AF194" s="581"/>
      <c r="AG194" s="581"/>
      <c r="AH194" s="581"/>
      <c r="AI194" s="581"/>
      <c r="AJ194" s="581"/>
      <c r="AK194" s="581"/>
      <c r="AL194" s="581"/>
      <c r="AM194" s="581"/>
      <c r="AN194" s="581"/>
      <c r="AO194" s="581"/>
      <c r="AP194" s="581"/>
      <c r="AQ194" s="581"/>
      <c r="AR194" s="581"/>
      <c r="AS194" s="581"/>
      <c r="AT194" s="581"/>
      <c r="AU194" s="581"/>
      <c r="AV194" s="581"/>
      <c r="AW194" s="581"/>
      <c r="AX194" s="581"/>
      <c r="AY194" s="581"/>
      <c r="AZ194" s="581"/>
      <c r="BA194" s="581"/>
      <c r="BB194" s="581"/>
      <c r="BC194" s="581"/>
    </row>
    <row r="195" spans="1:55" x14ac:dyDescent="0.25">
      <c r="A195" s="912" t="s">
        <v>10</v>
      </c>
      <c r="B195" s="913"/>
      <c r="C195" s="913"/>
      <c r="D195" s="913"/>
      <c r="E195" s="913"/>
      <c r="F195" s="913"/>
      <c r="G195" s="913"/>
      <c r="H195" s="913"/>
      <c r="I195" s="914"/>
      <c r="J195" s="625"/>
      <c r="K195" s="626"/>
      <c r="L195" s="626"/>
      <c r="M195" s="626"/>
      <c r="N195" s="626"/>
      <c r="O195" s="626"/>
      <c r="P195" s="603"/>
      <c r="Q195" s="603"/>
      <c r="R195" s="603"/>
      <c r="S195" s="603"/>
      <c r="T195" s="604"/>
      <c r="U195" s="581"/>
      <c r="V195" s="581"/>
      <c r="W195" s="581"/>
      <c r="X195" s="581"/>
      <c r="Y195" s="581"/>
      <c r="Z195" s="581"/>
      <c r="AA195" s="581"/>
      <c r="AB195" s="581"/>
      <c r="AC195" s="581"/>
      <c r="AD195" s="581"/>
      <c r="AE195" s="581"/>
      <c r="AF195" s="581"/>
      <c r="AG195" s="581"/>
      <c r="AH195" s="581"/>
      <c r="AI195" s="581"/>
      <c r="AJ195" s="581"/>
      <c r="AK195" s="581"/>
      <c r="AL195" s="581"/>
      <c r="AM195" s="581"/>
      <c r="AN195" s="581"/>
      <c r="AO195" s="581"/>
      <c r="AP195" s="581"/>
      <c r="AQ195" s="581"/>
      <c r="AR195" s="581"/>
      <c r="AS195" s="581"/>
      <c r="AT195" s="581"/>
      <c r="AU195" s="581"/>
      <c r="AV195" s="581"/>
      <c r="AW195" s="581"/>
      <c r="AX195" s="581"/>
      <c r="AY195" s="581"/>
      <c r="AZ195" s="581"/>
      <c r="BA195" s="581"/>
      <c r="BB195" s="581"/>
      <c r="BC195" s="581"/>
    </row>
    <row r="196" spans="1:55" x14ac:dyDescent="0.25">
      <c r="A196" s="690" t="s">
        <v>268</v>
      </c>
      <c r="B196" s="315">
        <v>5.0999999999999996</v>
      </c>
      <c r="C196" s="315" t="s">
        <v>44</v>
      </c>
      <c r="D196" s="315">
        <v>9</v>
      </c>
      <c r="E196" s="394" t="s">
        <v>69</v>
      </c>
      <c r="F196" s="319">
        <v>1190</v>
      </c>
      <c r="G196" s="357">
        <v>1190</v>
      </c>
      <c r="H196" s="357">
        <v>10</v>
      </c>
      <c r="I196" s="405">
        <v>1</v>
      </c>
      <c r="J196" s="607">
        <f>ROUND(G196*(1+'29_01_H_2020'!$F$14),2)</f>
        <v>1309</v>
      </c>
      <c r="K196" s="608">
        <f t="shared" ref="K196" si="240">IF(J196&lt;=F196,J196,F196)</f>
        <v>1190</v>
      </c>
      <c r="L196" s="608">
        <f t="shared" ref="L196" si="241">K196-G196</f>
        <v>0</v>
      </c>
      <c r="M196" s="608">
        <f t="shared" ref="M196" si="242">J196-K196</f>
        <v>119</v>
      </c>
      <c r="N196" s="608">
        <f t="shared" ref="N196" si="243">ROUND(H196/G196*K196-H196,2)</f>
        <v>0</v>
      </c>
      <c r="O196" s="608">
        <f t="shared" ref="O196" si="244">ROUND(H196/G196*J196-H196-N196,2)</f>
        <v>1</v>
      </c>
      <c r="P196" s="609">
        <f t="shared" ref="P196:P213" si="245">L196+M196+N196+O196</f>
        <v>120</v>
      </c>
      <c r="Q196" s="609">
        <f t="shared" ref="Q196:Q213" si="246">P196*I196</f>
        <v>120</v>
      </c>
      <c r="R196" s="609">
        <f t="shared" ref="R196:R213" si="247">Q196*12</f>
        <v>1440</v>
      </c>
      <c r="S196" s="609">
        <f t="shared" ref="S196:S213" si="248">ROUND(R196*0.2409,2)</f>
        <v>346.9</v>
      </c>
      <c r="T196" s="610">
        <f t="shared" ref="T196" si="249">SUM(R196:S196)</f>
        <v>1786.9</v>
      </c>
      <c r="U196" s="611"/>
      <c r="V196" s="612"/>
      <c r="W196" s="613"/>
      <c r="X196" s="614"/>
      <c r="Y196" s="614"/>
      <c r="Z196" s="581"/>
      <c r="AA196" s="581"/>
      <c r="AB196" s="615"/>
      <c r="AC196" s="615"/>
      <c r="AD196" s="615"/>
      <c r="AE196" s="615"/>
      <c r="AF196" s="615"/>
      <c r="AG196" s="615"/>
      <c r="AH196" s="615"/>
      <c r="AI196" s="615"/>
      <c r="AJ196" s="615"/>
      <c r="AK196" s="615"/>
      <c r="AL196" s="616"/>
      <c r="AM196" s="581"/>
      <c r="AN196" s="581"/>
      <c r="AO196" s="615"/>
      <c r="AP196" s="615"/>
      <c r="AQ196" s="615"/>
      <c r="AR196" s="615"/>
      <c r="AS196" s="615"/>
      <c r="AT196" s="615"/>
      <c r="AU196" s="615"/>
      <c r="AV196" s="615"/>
      <c r="AW196" s="615"/>
      <c r="AX196" s="615"/>
      <c r="AY196" s="616"/>
      <c r="AZ196" s="581"/>
      <c r="BA196" s="581"/>
      <c r="BB196" s="581"/>
      <c r="BC196" s="581"/>
    </row>
    <row r="197" spans="1:55" x14ac:dyDescent="0.25">
      <c r="A197" s="690" t="s">
        <v>24</v>
      </c>
      <c r="B197" s="315">
        <v>5.0999999999999996</v>
      </c>
      <c r="C197" s="315" t="s">
        <v>25</v>
      </c>
      <c r="D197" s="315">
        <v>10</v>
      </c>
      <c r="E197" s="394" t="s">
        <v>69</v>
      </c>
      <c r="F197" s="319">
        <v>1287</v>
      </c>
      <c r="G197" s="357">
        <v>1250</v>
      </c>
      <c r="H197" s="357">
        <v>10</v>
      </c>
      <c r="I197" s="405">
        <v>3.5</v>
      </c>
      <c r="J197" s="607">
        <f>ROUND(G197*(1+'29_01_H_2020'!$F$14),2)</f>
        <v>1375</v>
      </c>
      <c r="K197" s="608">
        <f t="shared" ref="K197:K213" si="250">IF(J197&lt;=F197,J197,F197)</f>
        <v>1287</v>
      </c>
      <c r="L197" s="608">
        <f t="shared" ref="L197:L213" si="251">K197-G197</f>
        <v>37</v>
      </c>
      <c r="M197" s="608">
        <f t="shared" ref="M197:M213" si="252">J197-K197</f>
        <v>88</v>
      </c>
      <c r="N197" s="608">
        <f t="shared" ref="N197:N213" si="253">ROUND(H197/G197*K197-H197,2)</f>
        <v>0.3</v>
      </c>
      <c r="O197" s="608">
        <f t="shared" ref="O197:O213" si="254">ROUND(H197/G197*J197-H197-N197,2)</f>
        <v>0.7</v>
      </c>
      <c r="P197" s="609">
        <f t="shared" si="245"/>
        <v>126</v>
      </c>
      <c r="Q197" s="609">
        <f t="shared" si="246"/>
        <v>441</v>
      </c>
      <c r="R197" s="609">
        <f t="shared" si="247"/>
        <v>5292</v>
      </c>
      <c r="S197" s="609">
        <f t="shared" si="248"/>
        <v>1274.8399999999999</v>
      </c>
      <c r="T197" s="610">
        <f t="shared" ref="T197:T213" si="255">SUM(R197:S197)</f>
        <v>6566.84</v>
      </c>
      <c r="U197" s="611"/>
      <c r="V197" s="612"/>
      <c r="W197" s="613"/>
      <c r="X197" s="614"/>
      <c r="Y197" s="614"/>
      <c r="Z197" s="581"/>
      <c r="AA197" s="581"/>
      <c r="AB197" s="615"/>
      <c r="AC197" s="615"/>
      <c r="AD197" s="615"/>
      <c r="AE197" s="615"/>
      <c r="AF197" s="615"/>
      <c r="AG197" s="615"/>
      <c r="AH197" s="615"/>
      <c r="AI197" s="615"/>
      <c r="AJ197" s="615"/>
      <c r="AK197" s="615"/>
      <c r="AL197" s="616"/>
      <c r="AM197" s="581"/>
      <c r="AN197" s="581"/>
      <c r="AO197" s="615"/>
      <c r="AP197" s="615"/>
      <c r="AQ197" s="615"/>
      <c r="AR197" s="615"/>
      <c r="AS197" s="615"/>
      <c r="AT197" s="615"/>
      <c r="AU197" s="615"/>
      <c r="AV197" s="615"/>
      <c r="AW197" s="615"/>
      <c r="AX197" s="615"/>
      <c r="AY197" s="616"/>
      <c r="AZ197" s="581"/>
      <c r="BA197" s="581"/>
      <c r="BB197" s="581"/>
      <c r="BC197" s="581"/>
    </row>
    <row r="198" spans="1:55" x14ac:dyDescent="0.25">
      <c r="A198" s="690" t="s">
        <v>356</v>
      </c>
      <c r="B198" s="315">
        <v>5.0999999999999996</v>
      </c>
      <c r="C198" s="16" t="s">
        <v>44</v>
      </c>
      <c r="D198" s="315">
        <v>9</v>
      </c>
      <c r="E198" s="394" t="s">
        <v>69</v>
      </c>
      <c r="F198" s="319">
        <v>1190</v>
      </c>
      <c r="G198" s="357">
        <v>1190</v>
      </c>
      <c r="H198" s="357">
        <v>10</v>
      </c>
      <c r="I198" s="405">
        <v>0.5</v>
      </c>
      <c r="J198" s="607">
        <f>ROUND(G198*(1+'29_01_H_2020'!$F$14),2)</f>
        <v>1309</v>
      </c>
      <c r="K198" s="608">
        <f t="shared" si="250"/>
        <v>1190</v>
      </c>
      <c r="L198" s="608">
        <f t="shared" si="251"/>
        <v>0</v>
      </c>
      <c r="M198" s="608">
        <f t="shared" si="252"/>
        <v>119</v>
      </c>
      <c r="N198" s="608">
        <f t="shared" si="253"/>
        <v>0</v>
      </c>
      <c r="O198" s="608">
        <f t="shared" si="254"/>
        <v>1</v>
      </c>
      <c r="P198" s="609">
        <f t="shared" si="245"/>
        <v>120</v>
      </c>
      <c r="Q198" s="609">
        <f t="shared" si="246"/>
        <v>60</v>
      </c>
      <c r="R198" s="609">
        <f t="shared" si="247"/>
        <v>720</v>
      </c>
      <c r="S198" s="609">
        <f t="shared" si="248"/>
        <v>173.45</v>
      </c>
      <c r="T198" s="610">
        <f t="shared" si="255"/>
        <v>893.45</v>
      </c>
      <c r="U198" s="611"/>
      <c r="V198" s="612"/>
      <c r="W198" s="613"/>
      <c r="X198" s="614"/>
      <c r="Y198" s="614"/>
      <c r="Z198" s="581"/>
      <c r="AA198" s="581"/>
      <c r="AB198" s="615"/>
      <c r="AC198" s="615"/>
      <c r="AD198" s="615"/>
      <c r="AE198" s="615"/>
      <c r="AF198" s="615"/>
      <c r="AG198" s="615"/>
      <c r="AH198" s="615"/>
      <c r="AI198" s="615"/>
      <c r="AJ198" s="615"/>
      <c r="AK198" s="615"/>
      <c r="AL198" s="616"/>
      <c r="AM198" s="581"/>
      <c r="AN198" s="581"/>
      <c r="AO198" s="615"/>
      <c r="AP198" s="615"/>
      <c r="AQ198" s="615"/>
      <c r="AR198" s="615"/>
      <c r="AS198" s="615"/>
      <c r="AT198" s="615"/>
      <c r="AU198" s="615"/>
      <c r="AV198" s="615"/>
      <c r="AW198" s="615"/>
      <c r="AX198" s="615"/>
      <c r="AY198" s="616"/>
      <c r="AZ198" s="581"/>
      <c r="BA198" s="581"/>
      <c r="BB198" s="581"/>
      <c r="BC198" s="581"/>
    </row>
    <row r="199" spans="1:55" x14ac:dyDescent="0.25">
      <c r="A199" s="690" t="s">
        <v>357</v>
      </c>
      <c r="B199" s="315">
        <v>5.0999999999999996</v>
      </c>
      <c r="C199" s="16" t="s">
        <v>44</v>
      </c>
      <c r="D199" s="315">
        <v>9</v>
      </c>
      <c r="E199" s="394" t="s">
        <v>69</v>
      </c>
      <c r="F199" s="319">
        <v>1190</v>
      </c>
      <c r="G199" s="357">
        <v>1150</v>
      </c>
      <c r="H199" s="357">
        <v>9</v>
      </c>
      <c r="I199" s="405">
        <v>0.5</v>
      </c>
      <c r="J199" s="607">
        <f>ROUND(G199*(1+'29_01_H_2020'!$F$14),2)</f>
        <v>1265</v>
      </c>
      <c r="K199" s="608">
        <f t="shared" si="250"/>
        <v>1190</v>
      </c>
      <c r="L199" s="608">
        <f t="shared" si="251"/>
        <v>40</v>
      </c>
      <c r="M199" s="608">
        <f t="shared" si="252"/>
        <v>75</v>
      </c>
      <c r="N199" s="608">
        <f t="shared" si="253"/>
        <v>0.31</v>
      </c>
      <c r="O199" s="608">
        <f t="shared" si="254"/>
        <v>0.59</v>
      </c>
      <c r="P199" s="609">
        <f t="shared" si="245"/>
        <v>115.9</v>
      </c>
      <c r="Q199" s="609">
        <f t="shared" si="246"/>
        <v>57.95</v>
      </c>
      <c r="R199" s="609">
        <f t="shared" si="247"/>
        <v>695.40000000000009</v>
      </c>
      <c r="S199" s="609">
        <f t="shared" si="248"/>
        <v>167.52</v>
      </c>
      <c r="T199" s="610">
        <f t="shared" si="255"/>
        <v>862.92000000000007</v>
      </c>
      <c r="U199" s="611"/>
      <c r="V199" s="612"/>
      <c r="W199" s="613"/>
      <c r="X199" s="614"/>
      <c r="Y199" s="614"/>
      <c r="Z199" s="581"/>
      <c r="AA199" s="581"/>
      <c r="AB199" s="615"/>
      <c r="AC199" s="615"/>
      <c r="AD199" s="615"/>
      <c r="AE199" s="615"/>
      <c r="AF199" s="615"/>
      <c r="AG199" s="615"/>
      <c r="AH199" s="615"/>
      <c r="AI199" s="615"/>
      <c r="AJ199" s="615"/>
      <c r="AK199" s="615"/>
      <c r="AL199" s="616"/>
      <c r="AM199" s="581"/>
      <c r="AN199" s="581"/>
      <c r="AO199" s="615"/>
      <c r="AP199" s="615"/>
      <c r="AQ199" s="615"/>
      <c r="AR199" s="615"/>
      <c r="AS199" s="615"/>
      <c r="AT199" s="615"/>
      <c r="AU199" s="615"/>
      <c r="AV199" s="615"/>
      <c r="AW199" s="615"/>
      <c r="AX199" s="615"/>
      <c r="AY199" s="616"/>
      <c r="AZ199" s="581"/>
      <c r="BA199" s="581"/>
      <c r="BB199" s="581"/>
      <c r="BC199" s="581"/>
    </row>
    <row r="200" spans="1:55" x14ac:dyDescent="0.25">
      <c r="A200" s="64" t="s">
        <v>24</v>
      </c>
      <c r="B200" s="315">
        <v>5.0999999999999996</v>
      </c>
      <c r="C200" s="16" t="s">
        <v>44</v>
      </c>
      <c r="D200" s="315">
        <v>9</v>
      </c>
      <c r="E200" s="394" t="s">
        <v>69</v>
      </c>
      <c r="F200" s="319">
        <v>1190</v>
      </c>
      <c r="G200" s="357">
        <v>1170</v>
      </c>
      <c r="H200" s="357">
        <v>0</v>
      </c>
      <c r="I200" s="405">
        <v>0.35</v>
      </c>
      <c r="J200" s="607">
        <f>ROUND(G200*(1+'29_01_H_2020'!$F$14),2)</f>
        <v>1287</v>
      </c>
      <c r="K200" s="608">
        <f t="shared" si="250"/>
        <v>1190</v>
      </c>
      <c r="L200" s="608">
        <f t="shared" si="251"/>
        <v>20</v>
      </c>
      <c r="M200" s="608">
        <f t="shared" si="252"/>
        <v>97</v>
      </c>
      <c r="N200" s="608">
        <f t="shared" si="253"/>
        <v>0</v>
      </c>
      <c r="O200" s="608">
        <f t="shared" si="254"/>
        <v>0</v>
      </c>
      <c r="P200" s="609">
        <f t="shared" si="245"/>
        <v>117</v>
      </c>
      <c r="Q200" s="609">
        <f t="shared" si="246"/>
        <v>40.949999999999996</v>
      </c>
      <c r="R200" s="609">
        <f t="shared" si="247"/>
        <v>491.4</v>
      </c>
      <c r="S200" s="609">
        <f t="shared" si="248"/>
        <v>118.38</v>
      </c>
      <c r="T200" s="610">
        <f t="shared" si="255"/>
        <v>609.78</v>
      </c>
      <c r="U200" s="611"/>
      <c r="V200" s="612"/>
      <c r="W200" s="613"/>
      <c r="X200" s="614"/>
      <c r="Y200" s="614"/>
      <c r="Z200" s="581"/>
      <c r="AA200" s="581"/>
      <c r="AB200" s="615"/>
      <c r="AC200" s="615"/>
      <c r="AD200" s="615"/>
      <c r="AE200" s="615"/>
      <c r="AF200" s="615"/>
      <c r="AG200" s="615"/>
      <c r="AH200" s="615"/>
      <c r="AI200" s="615"/>
      <c r="AJ200" s="615"/>
      <c r="AK200" s="615"/>
      <c r="AL200" s="616"/>
      <c r="AM200" s="581"/>
      <c r="AN200" s="581"/>
      <c r="AO200" s="615"/>
      <c r="AP200" s="615"/>
      <c r="AQ200" s="615"/>
      <c r="AR200" s="615"/>
      <c r="AS200" s="615"/>
      <c r="AT200" s="615"/>
      <c r="AU200" s="615"/>
      <c r="AV200" s="615"/>
      <c r="AW200" s="615"/>
      <c r="AX200" s="615"/>
      <c r="AY200" s="616"/>
      <c r="AZ200" s="581"/>
      <c r="BA200" s="581"/>
      <c r="BB200" s="581"/>
      <c r="BC200" s="581"/>
    </row>
    <row r="201" spans="1:55" x14ac:dyDescent="0.25">
      <c r="A201" s="62" t="s">
        <v>358</v>
      </c>
      <c r="B201" s="315">
        <v>5.0999999999999996</v>
      </c>
      <c r="C201" s="16" t="s">
        <v>25</v>
      </c>
      <c r="D201" s="315">
        <v>10</v>
      </c>
      <c r="E201" s="394" t="s">
        <v>69</v>
      </c>
      <c r="F201" s="319">
        <v>1287</v>
      </c>
      <c r="G201" s="357">
        <v>1200</v>
      </c>
      <c r="H201" s="357">
        <v>0</v>
      </c>
      <c r="I201" s="405">
        <v>0.25</v>
      </c>
      <c r="J201" s="607">
        <f>ROUND(G201*(1+'29_01_H_2020'!$F$14),2)</f>
        <v>1320</v>
      </c>
      <c r="K201" s="608">
        <f t="shared" si="250"/>
        <v>1287</v>
      </c>
      <c r="L201" s="608">
        <f t="shared" si="251"/>
        <v>87</v>
      </c>
      <c r="M201" s="608">
        <f t="shared" si="252"/>
        <v>33</v>
      </c>
      <c r="N201" s="608">
        <f t="shared" si="253"/>
        <v>0</v>
      </c>
      <c r="O201" s="608">
        <f t="shared" si="254"/>
        <v>0</v>
      </c>
      <c r="P201" s="609">
        <f t="shared" si="245"/>
        <v>120</v>
      </c>
      <c r="Q201" s="609">
        <f t="shared" si="246"/>
        <v>30</v>
      </c>
      <c r="R201" s="609">
        <f t="shared" si="247"/>
        <v>360</v>
      </c>
      <c r="S201" s="609">
        <f t="shared" si="248"/>
        <v>86.72</v>
      </c>
      <c r="T201" s="610">
        <f t="shared" si="255"/>
        <v>446.72</v>
      </c>
      <c r="U201" s="611"/>
      <c r="V201" s="612"/>
      <c r="W201" s="613"/>
      <c r="X201" s="614"/>
      <c r="Y201" s="614"/>
      <c r="Z201" s="581"/>
      <c r="AA201" s="581"/>
      <c r="AB201" s="615"/>
      <c r="AC201" s="615"/>
      <c r="AD201" s="615"/>
      <c r="AE201" s="615"/>
      <c r="AF201" s="615"/>
      <c r="AG201" s="615"/>
      <c r="AH201" s="615"/>
      <c r="AI201" s="615"/>
      <c r="AJ201" s="615"/>
      <c r="AK201" s="615"/>
      <c r="AL201" s="616"/>
      <c r="AM201" s="581"/>
      <c r="AN201" s="581"/>
      <c r="AO201" s="615"/>
      <c r="AP201" s="615"/>
      <c r="AQ201" s="615"/>
      <c r="AR201" s="615"/>
      <c r="AS201" s="615"/>
      <c r="AT201" s="615"/>
      <c r="AU201" s="615"/>
      <c r="AV201" s="615"/>
      <c r="AW201" s="615"/>
      <c r="AX201" s="615"/>
      <c r="AY201" s="616"/>
      <c r="AZ201" s="581"/>
      <c r="BA201" s="581"/>
      <c r="BB201" s="581"/>
      <c r="BC201" s="581"/>
    </row>
    <row r="202" spans="1:55" x14ac:dyDescent="0.25">
      <c r="A202" s="690" t="s">
        <v>359</v>
      </c>
      <c r="B202" s="315">
        <v>5.0999999999999996</v>
      </c>
      <c r="C202" s="315" t="s">
        <v>25</v>
      </c>
      <c r="D202" s="315">
        <v>10</v>
      </c>
      <c r="E202" s="394" t="s">
        <v>69</v>
      </c>
      <c r="F202" s="319">
        <v>1287</v>
      </c>
      <c r="G202" s="357">
        <v>890</v>
      </c>
      <c r="H202" s="357">
        <v>253</v>
      </c>
      <c r="I202" s="405">
        <v>2.4</v>
      </c>
      <c r="J202" s="607">
        <f>ROUND(G202*(1+'29_01_H_2020'!$F$14),2)</f>
        <v>979</v>
      </c>
      <c r="K202" s="608">
        <f t="shared" si="250"/>
        <v>979</v>
      </c>
      <c r="L202" s="608">
        <f t="shared" si="251"/>
        <v>89</v>
      </c>
      <c r="M202" s="608">
        <f t="shared" si="252"/>
        <v>0</v>
      </c>
      <c r="N202" s="608">
        <f t="shared" si="253"/>
        <v>25.3</v>
      </c>
      <c r="O202" s="608">
        <f t="shared" si="254"/>
        <v>0</v>
      </c>
      <c r="P202" s="609">
        <f t="shared" si="245"/>
        <v>114.3</v>
      </c>
      <c r="Q202" s="609">
        <f t="shared" si="246"/>
        <v>274.32</v>
      </c>
      <c r="R202" s="609">
        <f t="shared" si="247"/>
        <v>3291.84</v>
      </c>
      <c r="S202" s="609">
        <f t="shared" si="248"/>
        <v>793</v>
      </c>
      <c r="T202" s="610">
        <f t="shared" si="255"/>
        <v>4084.84</v>
      </c>
      <c r="U202" s="611"/>
      <c r="V202" s="612"/>
      <c r="W202" s="613"/>
      <c r="X202" s="614"/>
      <c r="Y202" s="614"/>
      <c r="Z202" s="581"/>
      <c r="AA202" s="581"/>
      <c r="AB202" s="615"/>
      <c r="AC202" s="615"/>
      <c r="AD202" s="615"/>
      <c r="AE202" s="615"/>
      <c r="AF202" s="615"/>
      <c r="AG202" s="615"/>
      <c r="AH202" s="615"/>
      <c r="AI202" s="615"/>
      <c r="AJ202" s="615"/>
      <c r="AK202" s="615"/>
      <c r="AL202" s="616"/>
      <c r="AM202" s="616"/>
      <c r="AN202" s="581"/>
      <c r="AO202" s="615"/>
      <c r="AP202" s="615"/>
      <c r="AQ202" s="615"/>
      <c r="AR202" s="615"/>
      <c r="AS202" s="615"/>
      <c r="AT202" s="615"/>
      <c r="AU202" s="615"/>
      <c r="AV202" s="615"/>
      <c r="AW202" s="615"/>
      <c r="AX202" s="615"/>
      <c r="AY202" s="616"/>
      <c r="AZ202" s="581"/>
      <c r="BA202" s="581"/>
      <c r="BB202" s="581"/>
      <c r="BC202" s="581"/>
    </row>
    <row r="203" spans="1:55" x14ac:dyDescent="0.25">
      <c r="A203" s="690" t="s">
        <v>359</v>
      </c>
      <c r="B203" s="315">
        <v>5.0999999999999996</v>
      </c>
      <c r="C203" s="16" t="s">
        <v>44</v>
      </c>
      <c r="D203" s="315">
        <v>9</v>
      </c>
      <c r="E203" s="394" t="s">
        <v>69</v>
      </c>
      <c r="F203" s="319">
        <v>1190</v>
      </c>
      <c r="G203" s="357">
        <v>870</v>
      </c>
      <c r="H203" s="357">
        <v>247</v>
      </c>
      <c r="I203" s="405">
        <v>0.6</v>
      </c>
      <c r="J203" s="607">
        <f>ROUND(G203*(1+'29_01_H_2020'!$F$14),2)</f>
        <v>957</v>
      </c>
      <c r="K203" s="608">
        <f t="shared" si="250"/>
        <v>957</v>
      </c>
      <c r="L203" s="608">
        <f t="shared" si="251"/>
        <v>87</v>
      </c>
      <c r="M203" s="608">
        <f t="shared" si="252"/>
        <v>0</v>
      </c>
      <c r="N203" s="608">
        <f t="shared" si="253"/>
        <v>24.7</v>
      </c>
      <c r="O203" s="608">
        <f t="shared" si="254"/>
        <v>0</v>
      </c>
      <c r="P203" s="609">
        <f t="shared" si="245"/>
        <v>111.7</v>
      </c>
      <c r="Q203" s="609">
        <f t="shared" si="246"/>
        <v>67.02</v>
      </c>
      <c r="R203" s="609">
        <f t="shared" si="247"/>
        <v>804.24</v>
      </c>
      <c r="S203" s="609">
        <f t="shared" si="248"/>
        <v>193.74</v>
      </c>
      <c r="T203" s="610">
        <f t="shared" si="255"/>
        <v>997.98</v>
      </c>
      <c r="U203" s="611"/>
      <c r="V203" s="612"/>
      <c r="W203" s="613"/>
      <c r="X203" s="614"/>
      <c r="Y203" s="614"/>
      <c r="Z203" s="581"/>
      <c r="AA203" s="581"/>
      <c r="AB203" s="615"/>
      <c r="AC203" s="615"/>
      <c r="AD203" s="615"/>
      <c r="AE203" s="615"/>
      <c r="AF203" s="615"/>
      <c r="AG203" s="615"/>
      <c r="AH203" s="615"/>
      <c r="AI203" s="615"/>
      <c r="AJ203" s="615"/>
      <c r="AK203" s="615"/>
      <c r="AL203" s="616"/>
      <c r="AM203" s="616"/>
      <c r="AN203" s="581"/>
      <c r="AO203" s="615"/>
      <c r="AP203" s="615"/>
      <c r="AQ203" s="615"/>
      <c r="AR203" s="615"/>
      <c r="AS203" s="615"/>
      <c r="AT203" s="615"/>
      <c r="AU203" s="615"/>
      <c r="AV203" s="615"/>
      <c r="AW203" s="615"/>
      <c r="AX203" s="615"/>
      <c r="AY203" s="616"/>
      <c r="AZ203" s="581"/>
      <c r="BA203" s="581"/>
      <c r="BB203" s="581"/>
      <c r="BC203" s="581"/>
    </row>
    <row r="204" spans="1:55" x14ac:dyDescent="0.25">
      <c r="A204" s="64" t="s">
        <v>360</v>
      </c>
      <c r="B204" s="16">
        <v>5.0999999999999996</v>
      </c>
      <c r="C204" s="16" t="s">
        <v>295</v>
      </c>
      <c r="D204" s="315">
        <v>9</v>
      </c>
      <c r="E204" s="394" t="s">
        <v>69</v>
      </c>
      <c r="F204" s="319">
        <v>1190</v>
      </c>
      <c r="G204" s="357">
        <v>1170</v>
      </c>
      <c r="H204" s="357"/>
      <c r="I204" s="405">
        <v>1</v>
      </c>
      <c r="J204" s="607">
        <f>ROUND(G204*(1+'29_01_H_2020'!$F$14),2)</f>
        <v>1287</v>
      </c>
      <c r="K204" s="608">
        <f t="shared" si="250"/>
        <v>1190</v>
      </c>
      <c r="L204" s="608">
        <f t="shared" si="251"/>
        <v>20</v>
      </c>
      <c r="M204" s="608">
        <f t="shared" si="252"/>
        <v>97</v>
      </c>
      <c r="N204" s="608">
        <f t="shared" si="253"/>
        <v>0</v>
      </c>
      <c r="O204" s="608">
        <f t="shared" si="254"/>
        <v>0</v>
      </c>
      <c r="P204" s="609">
        <f t="shared" si="245"/>
        <v>117</v>
      </c>
      <c r="Q204" s="609">
        <f t="shared" si="246"/>
        <v>117</v>
      </c>
      <c r="R204" s="609">
        <f t="shared" si="247"/>
        <v>1404</v>
      </c>
      <c r="S204" s="609">
        <f t="shared" si="248"/>
        <v>338.22</v>
      </c>
      <c r="T204" s="610">
        <f t="shared" si="255"/>
        <v>1742.22</v>
      </c>
      <c r="U204" s="611"/>
      <c r="V204" s="612"/>
      <c r="W204" s="613"/>
      <c r="X204" s="614"/>
      <c r="Y204" s="614"/>
      <c r="Z204" s="581"/>
      <c r="AA204" s="581"/>
      <c r="AB204" s="615"/>
      <c r="AC204" s="615"/>
      <c r="AD204" s="615"/>
      <c r="AE204" s="615"/>
      <c r="AF204" s="615"/>
      <c r="AG204" s="615"/>
      <c r="AH204" s="615"/>
      <c r="AI204" s="615"/>
      <c r="AJ204" s="615"/>
      <c r="AK204" s="615"/>
      <c r="AL204" s="616"/>
      <c r="AM204" s="581"/>
      <c r="AN204" s="581"/>
      <c r="AO204" s="615"/>
      <c r="AP204" s="615"/>
      <c r="AQ204" s="615"/>
      <c r="AR204" s="615"/>
      <c r="AS204" s="615"/>
      <c r="AT204" s="615"/>
      <c r="AU204" s="615"/>
      <c r="AV204" s="615"/>
      <c r="AW204" s="615"/>
      <c r="AX204" s="615"/>
      <c r="AY204" s="616"/>
      <c r="AZ204" s="581"/>
      <c r="BA204" s="581"/>
      <c r="BB204" s="581"/>
      <c r="BC204" s="581"/>
    </row>
    <row r="205" spans="1:55" x14ac:dyDescent="0.25">
      <c r="A205" s="64" t="s">
        <v>294</v>
      </c>
      <c r="B205" s="315">
        <v>5.0999999999999996</v>
      </c>
      <c r="C205" s="315" t="s">
        <v>295</v>
      </c>
      <c r="D205" s="315">
        <v>9</v>
      </c>
      <c r="E205" s="394" t="s">
        <v>69</v>
      </c>
      <c r="F205" s="319">
        <v>1190</v>
      </c>
      <c r="G205" s="357">
        <v>1070</v>
      </c>
      <c r="H205" s="357">
        <v>5</v>
      </c>
      <c r="I205" s="405">
        <v>4</v>
      </c>
      <c r="J205" s="607">
        <f>ROUND(G205*(1+'29_01_H_2020'!$F$14),2)</f>
        <v>1177</v>
      </c>
      <c r="K205" s="608">
        <f t="shared" si="250"/>
        <v>1177</v>
      </c>
      <c r="L205" s="608">
        <f t="shared" si="251"/>
        <v>107</v>
      </c>
      <c r="M205" s="608">
        <f t="shared" si="252"/>
        <v>0</v>
      </c>
      <c r="N205" s="608">
        <f t="shared" si="253"/>
        <v>0.5</v>
      </c>
      <c r="O205" s="608">
        <f t="shared" si="254"/>
        <v>0</v>
      </c>
      <c r="P205" s="609">
        <f t="shared" si="245"/>
        <v>107.5</v>
      </c>
      <c r="Q205" s="609">
        <f t="shared" si="246"/>
        <v>430</v>
      </c>
      <c r="R205" s="609">
        <f t="shared" si="247"/>
        <v>5160</v>
      </c>
      <c r="S205" s="609">
        <f t="shared" si="248"/>
        <v>1243.04</v>
      </c>
      <c r="T205" s="610">
        <f t="shared" si="255"/>
        <v>6403.04</v>
      </c>
      <c r="U205" s="611"/>
      <c r="V205" s="612"/>
      <c r="W205" s="613"/>
      <c r="X205" s="614"/>
      <c r="Y205" s="614"/>
      <c r="Z205" s="581"/>
      <c r="AA205" s="581"/>
      <c r="AB205" s="615"/>
      <c r="AC205" s="615"/>
      <c r="AD205" s="615"/>
      <c r="AE205" s="615"/>
      <c r="AF205" s="615"/>
      <c r="AG205" s="615"/>
      <c r="AH205" s="615"/>
      <c r="AI205" s="615"/>
      <c r="AJ205" s="615"/>
      <c r="AK205" s="615"/>
      <c r="AL205" s="616"/>
      <c r="AM205" s="581"/>
      <c r="AN205" s="581"/>
      <c r="AO205" s="615"/>
      <c r="AP205" s="615"/>
      <c r="AQ205" s="615"/>
      <c r="AR205" s="615"/>
      <c r="AS205" s="615"/>
      <c r="AT205" s="615"/>
      <c r="AU205" s="615"/>
      <c r="AV205" s="615"/>
      <c r="AW205" s="615"/>
      <c r="AX205" s="615"/>
      <c r="AY205" s="616"/>
      <c r="AZ205" s="581"/>
      <c r="BA205" s="581"/>
      <c r="BB205" s="581"/>
      <c r="BC205" s="581"/>
    </row>
    <row r="206" spans="1:55" x14ac:dyDescent="0.25">
      <c r="A206" s="690" t="s">
        <v>305</v>
      </c>
      <c r="B206" s="315">
        <v>5.0999999999999996</v>
      </c>
      <c r="C206" s="315" t="s">
        <v>295</v>
      </c>
      <c r="D206" s="315">
        <v>9</v>
      </c>
      <c r="E206" s="394" t="s">
        <v>69</v>
      </c>
      <c r="F206" s="319">
        <v>1190</v>
      </c>
      <c r="G206" s="357">
        <v>970</v>
      </c>
      <c r="H206" s="357">
        <v>5</v>
      </c>
      <c r="I206" s="405">
        <v>5</v>
      </c>
      <c r="J206" s="607">
        <f>ROUND(G206*(1+'29_01_H_2020'!$F$14),2)</f>
        <v>1067</v>
      </c>
      <c r="K206" s="608">
        <f t="shared" si="250"/>
        <v>1067</v>
      </c>
      <c r="L206" s="608">
        <f t="shared" si="251"/>
        <v>97</v>
      </c>
      <c r="M206" s="608">
        <f t="shared" si="252"/>
        <v>0</v>
      </c>
      <c r="N206" s="608">
        <f t="shared" si="253"/>
        <v>0.5</v>
      </c>
      <c r="O206" s="608">
        <f t="shared" si="254"/>
        <v>0</v>
      </c>
      <c r="P206" s="609">
        <f t="shared" si="245"/>
        <v>97.5</v>
      </c>
      <c r="Q206" s="609">
        <f t="shared" si="246"/>
        <v>487.5</v>
      </c>
      <c r="R206" s="609">
        <f t="shared" si="247"/>
        <v>5850</v>
      </c>
      <c r="S206" s="609">
        <f t="shared" si="248"/>
        <v>1409.27</v>
      </c>
      <c r="T206" s="610">
        <f t="shared" si="255"/>
        <v>7259.27</v>
      </c>
      <c r="U206" s="611"/>
      <c r="V206" s="612"/>
      <c r="W206" s="613"/>
      <c r="X206" s="614"/>
      <c r="Y206" s="614"/>
      <c r="Z206" s="581"/>
      <c r="AA206" s="581"/>
      <c r="AB206" s="615"/>
      <c r="AC206" s="615"/>
      <c r="AD206" s="615"/>
      <c r="AE206" s="615"/>
      <c r="AF206" s="615"/>
      <c r="AG206" s="615"/>
      <c r="AH206" s="615"/>
      <c r="AI206" s="615"/>
      <c r="AJ206" s="615"/>
      <c r="AK206" s="615"/>
      <c r="AL206" s="616"/>
      <c r="AM206" s="616"/>
      <c r="AN206" s="581"/>
      <c r="AO206" s="615"/>
      <c r="AP206" s="615"/>
      <c r="AQ206" s="615"/>
      <c r="AR206" s="615"/>
      <c r="AS206" s="615"/>
      <c r="AT206" s="615"/>
      <c r="AU206" s="615"/>
      <c r="AV206" s="615"/>
      <c r="AW206" s="615"/>
      <c r="AX206" s="615"/>
      <c r="AY206" s="616"/>
      <c r="AZ206" s="581"/>
      <c r="BA206" s="581"/>
      <c r="BB206" s="581"/>
      <c r="BC206" s="581"/>
    </row>
    <row r="207" spans="1:55" x14ac:dyDescent="0.25">
      <c r="A207" s="690" t="s">
        <v>361</v>
      </c>
      <c r="B207" s="315">
        <v>5.0999999999999996</v>
      </c>
      <c r="C207" s="16" t="s">
        <v>295</v>
      </c>
      <c r="D207" s="315">
        <v>9</v>
      </c>
      <c r="E207" s="394" t="s">
        <v>69</v>
      </c>
      <c r="F207" s="319">
        <v>1190</v>
      </c>
      <c r="G207" s="357">
        <v>1170</v>
      </c>
      <c r="H207" s="357">
        <v>0</v>
      </c>
      <c r="I207" s="405">
        <v>1</v>
      </c>
      <c r="J207" s="607">
        <f>ROUND(G207*(1+'29_01_H_2020'!$F$14),2)</f>
        <v>1287</v>
      </c>
      <c r="K207" s="608">
        <f t="shared" si="250"/>
        <v>1190</v>
      </c>
      <c r="L207" s="608">
        <f t="shared" si="251"/>
        <v>20</v>
      </c>
      <c r="M207" s="608">
        <f t="shared" si="252"/>
        <v>97</v>
      </c>
      <c r="N207" s="608">
        <f t="shared" si="253"/>
        <v>0</v>
      </c>
      <c r="O207" s="608">
        <f t="shared" si="254"/>
        <v>0</v>
      </c>
      <c r="P207" s="609">
        <f t="shared" si="245"/>
        <v>117</v>
      </c>
      <c r="Q207" s="609">
        <f t="shared" si="246"/>
        <v>117</v>
      </c>
      <c r="R207" s="609">
        <f t="shared" si="247"/>
        <v>1404</v>
      </c>
      <c r="S207" s="609">
        <f t="shared" si="248"/>
        <v>338.22</v>
      </c>
      <c r="T207" s="610">
        <f t="shared" si="255"/>
        <v>1742.22</v>
      </c>
      <c r="U207" s="611"/>
      <c r="V207" s="612"/>
      <c r="W207" s="613"/>
      <c r="X207" s="614"/>
      <c r="Y207" s="614"/>
      <c r="Z207" s="581"/>
      <c r="AA207" s="581"/>
      <c r="AB207" s="615"/>
      <c r="AC207" s="615"/>
      <c r="AD207" s="615"/>
      <c r="AE207" s="615"/>
      <c r="AF207" s="615"/>
      <c r="AG207" s="615"/>
      <c r="AH207" s="615"/>
      <c r="AI207" s="615"/>
      <c r="AJ207" s="615"/>
      <c r="AK207" s="615"/>
      <c r="AL207" s="616"/>
      <c r="AM207" s="581"/>
      <c r="AN207" s="581"/>
      <c r="AO207" s="615"/>
      <c r="AP207" s="615"/>
      <c r="AQ207" s="615"/>
      <c r="AR207" s="615"/>
      <c r="AS207" s="615"/>
      <c r="AT207" s="615"/>
      <c r="AU207" s="615"/>
      <c r="AV207" s="615"/>
      <c r="AW207" s="615"/>
      <c r="AX207" s="615"/>
      <c r="AY207" s="616"/>
      <c r="AZ207" s="581"/>
      <c r="BA207" s="581"/>
      <c r="BB207" s="581"/>
      <c r="BC207" s="581"/>
    </row>
    <row r="208" spans="1:55" x14ac:dyDescent="0.25">
      <c r="A208" s="690" t="s">
        <v>316</v>
      </c>
      <c r="B208" s="315">
        <v>5.0999999999999996</v>
      </c>
      <c r="C208" s="16" t="s">
        <v>295</v>
      </c>
      <c r="D208" s="315">
        <v>9</v>
      </c>
      <c r="E208" s="394" t="s">
        <v>69</v>
      </c>
      <c r="F208" s="319">
        <v>1190</v>
      </c>
      <c r="G208" s="357">
        <v>1070</v>
      </c>
      <c r="H208" s="357">
        <v>2</v>
      </c>
      <c r="I208" s="405">
        <v>2.4</v>
      </c>
      <c r="J208" s="607">
        <f>ROUND(G208*(1+'29_01_H_2020'!$F$14),2)</f>
        <v>1177</v>
      </c>
      <c r="K208" s="608">
        <f t="shared" si="250"/>
        <v>1177</v>
      </c>
      <c r="L208" s="608">
        <f t="shared" si="251"/>
        <v>107</v>
      </c>
      <c r="M208" s="608">
        <f t="shared" si="252"/>
        <v>0</v>
      </c>
      <c r="N208" s="608">
        <f t="shared" si="253"/>
        <v>0.2</v>
      </c>
      <c r="O208" s="608">
        <f t="shared" si="254"/>
        <v>0</v>
      </c>
      <c r="P208" s="609">
        <f t="shared" si="245"/>
        <v>107.2</v>
      </c>
      <c r="Q208" s="609">
        <f t="shared" si="246"/>
        <v>257.27999999999997</v>
      </c>
      <c r="R208" s="609">
        <f t="shared" si="247"/>
        <v>3087.3599999999997</v>
      </c>
      <c r="S208" s="609">
        <f t="shared" si="248"/>
        <v>743.75</v>
      </c>
      <c r="T208" s="610">
        <f t="shared" si="255"/>
        <v>3831.1099999999997</v>
      </c>
      <c r="U208" s="611"/>
      <c r="V208" s="612"/>
      <c r="W208" s="613"/>
      <c r="X208" s="614"/>
      <c r="Y208" s="614"/>
      <c r="Z208" s="581"/>
      <c r="AA208" s="581"/>
      <c r="AB208" s="615"/>
      <c r="AC208" s="615"/>
      <c r="AD208" s="615"/>
      <c r="AE208" s="615"/>
      <c r="AF208" s="615"/>
      <c r="AG208" s="615"/>
      <c r="AH208" s="615"/>
      <c r="AI208" s="615"/>
      <c r="AJ208" s="615"/>
      <c r="AK208" s="615"/>
      <c r="AL208" s="616"/>
      <c r="AM208" s="581"/>
      <c r="AN208" s="581"/>
      <c r="AO208" s="615"/>
      <c r="AP208" s="615"/>
      <c r="AQ208" s="615"/>
      <c r="AR208" s="615"/>
      <c r="AS208" s="615"/>
      <c r="AT208" s="615"/>
      <c r="AU208" s="615"/>
      <c r="AV208" s="615"/>
      <c r="AW208" s="615"/>
      <c r="AX208" s="615"/>
      <c r="AY208" s="616"/>
      <c r="AZ208" s="581"/>
      <c r="BA208" s="581"/>
      <c r="BB208" s="581"/>
      <c r="BC208" s="581"/>
    </row>
    <row r="209" spans="1:55" x14ac:dyDescent="0.25">
      <c r="A209" s="62" t="s">
        <v>362</v>
      </c>
      <c r="B209" s="16">
        <v>5.0999999999999996</v>
      </c>
      <c r="C209" s="16" t="s">
        <v>295</v>
      </c>
      <c r="D209" s="315">
        <v>9</v>
      </c>
      <c r="E209" s="394" t="s">
        <v>69</v>
      </c>
      <c r="F209" s="319">
        <v>1190</v>
      </c>
      <c r="G209" s="357">
        <v>970</v>
      </c>
      <c r="H209" s="357">
        <v>2</v>
      </c>
      <c r="I209" s="405">
        <v>1</v>
      </c>
      <c r="J209" s="607">
        <f>ROUND(G209*(1+'29_01_H_2020'!$F$14),2)</f>
        <v>1067</v>
      </c>
      <c r="K209" s="608">
        <f t="shared" si="250"/>
        <v>1067</v>
      </c>
      <c r="L209" s="608">
        <f t="shared" si="251"/>
        <v>97</v>
      </c>
      <c r="M209" s="608">
        <f t="shared" si="252"/>
        <v>0</v>
      </c>
      <c r="N209" s="608">
        <f t="shared" si="253"/>
        <v>0.2</v>
      </c>
      <c r="O209" s="608">
        <f t="shared" si="254"/>
        <v>0</v>
      </c>
      <c r="P209" s="609">
        <f t="shared" si="245"/>
        <v>97.2</v>
      </c>
      <c r="Q209" s="609">
        <f t="shared" si="246"/>
        <v>97.2</v>
      </c>
      <c r="R209" s="609">
        <f t="shared" si="247"/>
        <v>1166.4000000000001</v>
      </c>
      <c r="S209" s="609">
        <f t="shared" si="248"/>
        <v>280.99</v>
      </c>
      <c r="T209" s="610">
        <f t="shared" si="255"/>
        <v>1447.39</v>
      </c>
      <c r="U209" s="611"/>
      <c r="V209" s="612"/>
      <c r="W209" s="613"/>
      <c r="X209" s="614"/>
      <c r="Y209" s="614"/>
      <c r="Z209" s="581"/>
      <c r="AA209" s="581"/>
      <c r="AB209" s="615"/>
      <c r="AC209" s="615"/>
      <c r="AD209" s="615"/>
      <c r="AE209" s="615"/>
      <c r="AF209" s="615"/>
      <c r="AG209" s="615"/>
      <c r="AH209" s="615"/>
      <c r="AI209" s="615"/>
      <c r="AJ209" s="615"/>
      <c r="AK209" s="615"/>
      <c r="AL209" s="616"/>
      <c r="AM209" s="616"/>
      <c r="AN209" s="581"/>
      <c r="AO209" s="615"/>
      <c r="AP209" s="615"/>
      <c r="AQ209" s="615"/>
      <c r="AR209" s="615"/>
      <c r="AS209" s="615"/>
      <c r="AT209" s="615"/>
      <c r="AU209" s="615"/>
      <c r="AV209" s="615"/>
      <c r="AW209" s="615"/>
      <c r="AX209" s="615"/>
      <c r="AY209" s="616"/>
      <c r="AZ209" s="581"/>
      <c r="BA209" s="581"/>
      <c r="BB209" s="581"/>
      <c r="BC209" s="581"/>
    </row>
    <row r="210" spans="1:55" x14ac:dyDescent="0.25">
      <c r="A210" s="62" t="s">
        <v>363</v>
      </c>
      <c r="B210" s="16">
        <v>39</v>
      </c>
      <c r="C210" s="16" t="s">
        <v>350</v>
      </c>
      <c r="D210" s="315">
        <v>8</v>
      </c>
      <c r="E210" s="394" t="s">
        <v>69</v>
      </c>
      <c r="F210" s="319">
        <v>1093</v>
      </c>
      <c r="G210" s="357">
        <v>1020</v>
      </c>
      <c r="H210" s="357">
        <v>0</v>
      </c>
      <c r="I210" s="405">
        <v>1</v>
      </c>
      <c r="J210" s="607">
        <f>ROUND(G210*(1+'29_01_H_2020'!$F$14),2)</f>
        <v>1122</v>
      </c>
      <c r="K210" s="608">
        <f t="shared" si="250"/>
        <v>1093</v>
      </c>
      <c r="L210" s="608">
        <f t="shared" si="251"/>
        <v>73</v>
      </c>
      <c r="M210" s="608">
        <f t="shared" si="252"/>
        <v>29</v>
      </c>
      <c r="N210" s="608">
        <f t="shared" si="253"/>
        <v>0</v>
      </c>
      <c r="O210" s="608">
        <f t="shared" si="254"/>
        <v>0</v>
      </c>
      <c r="P210" s="609">
        <f t="shared" si="245"/>
        <v>102</v>
      </c>
      <c r="Q210" s="609">
        <f t="shared" si="246"/>
        <v>102</v>
      </c>
      <c r="R210" s="609">
        <f t="shared" si="247"/>
        <v>1224</v>
      </c>
      <c r="S210" s="609">
        <f t="shared" si="248"/>
        <v>294.86</v>
      </c>
      <c r="T210" s="610">
        <f t="shared" si="255"/>
        <v>1518.8600000000001</v>
      </c>
      <c r="U210" s="611"/>
      <c r="V210" s="612"/>
      <c r="W210" s="613"/>
      <c r="X210" s="614"/>
      <c r="Y210" s="614"/>
      <c r="Z210" s="581"/>
      <c r="AA210" s="581"/>
      <c r="AB210" s="615"/>
      <c r="AC210" s="615"/>
      <c r="AD210" s="615"/>
      <c r="AE210" s="615"/>
      <c r="AF210" s="615"/>
      <c r="AG210" s="615"/>
      <c r="AH210" s="615"/>
      <c r="AI210" s="615"/>
      <c r="AJ210" s="615"/>
      <c r="AK210" s="615"/>
      <c r="AL210" s="616"/>
      <c r="AM210" s="581"/>
      <c r="AN210" s="581"/>
      <c r="AO210" s="615"/>
      <c r="AP210" s="615"/>
      <c r="AQ210" s="615"/>
      <c r="AR210" s="615"/>
      <c r="AS210" s="615"/>
      <c r="AT210" s="615"/>
      <c r="AU210" s="615"/>
      <c r="AV210" s="615"/>
      <c r="AW210" s="615"/>
      <c r="AX210" s="615"/>
      <c r="AY210" s="616"/>
      <c r="AZ210" s="581"/>
      <c r="BA210" s="581"/>
      <c r="BB210" s="581"/>
      <c r="BC210" s="581"/>
    </row>
    <row r="211" spans="1:55" x14ac:dyDescent="0.25">
      <c r="A211" s="62" t="s">
        <v>364</v>
      </c>
      <c r="B211" s="16">
        <v>39</v>
      </c>
      <c r="C211" s="16" t="s">
        <v>350</v>
      </c>
      <c r="D211" s="315">
        <v>8</v>
      </c>
      <c r="E211" s="394" t="s">
        <v>69</v>
      </c>
      <c r="F211" s="319">
        <v>1093</v>
      </c>
      <c r="G211" s="357">
        <v>970</v>
      </c>
      <c r="H211" s="357">
        <v>2</v>
      </c>
      <c r="I211" s="405">
        <f>2+1+1</f>
        <v>4</v>
      </c>
      <c r="J211" s="607">
        <f>ROUND(G211*(1+'29_01_H_2020'!$F$14),2)</f>
        <v>1067</v>
      </c>
      <c r="K211" s="608">
        <f t="shared" si="250"/>
        <v>1067</v>
      </c>
      <c r="L211" s="608">
        <f t="shared" si="251"/>
        <v>97</v>
      </c>
      <c r="M211" s="608">
        <f t="shared" si="252"/>
        <v>0</v>
      </c>
      <c r="N211" s="608">
        <f t="shared" si="253"/>
        <v>0.2</v>
      </c>
      <c r="O211" s="608">
        <f t="shared" si="254"/>
        <v>0</v>
      </c>
      <c r="P211" s="609">
        <f t="shared" si="245"/>
        <v>97.2</v>
      </c>
      <c r="Q211" s="609">
        <f t="shared" si="246"/>
        <v>388.8</v>
      </c>
      <c r="R211" s="609">
        <f t="shared" si="247"/>
        <v>4665.6000000000004</v>
      </c>
      <c r="S211" s="609">
        <f t="shared" si="248"/>
        <v>1123.94</v>
      </c>
      <c r="T211" s="610">
        <f t="shared" si="255"/>
        <v>5789.5400000000009</v>
      </c>
      <c r="U211" s="611"/>
      <c r="V211" s="612"/>
      <c r="W211" s="613"/>
      <c r="X211" s="614"/>
      <c r="Y211" s="614"/>
      <c r="Z211" s="581"/>
      <c r="AA211" s="581"/>
      <c r="AB211" s="615"/>
      <c r="AC211" s="615"/>
      <c r="AD211" s="615"/>
      <c r="AE211" s="615"/>
      <c r="AF211" s="615"/>
      <c r="AG211" s="615"/>
      <c r="AH211" s="615"/>
      <c r="AI211" s="615"/>
      <c r="AJ211" s="615"/>
      <c r="AK211" s="615"/>
      <c r="AL211" s="616"/>
      <c r="AM211" s="581"/>
      <c r="AN211" s="581"/>
      <c r="AO211" s="615"/>
      <c r="AP211" s="615"/>
      <c r="AQ211" s="615"/>
      <c r="AR211" s="615"/>
      <c r="AS211" s="615"/>
      <c r="AT211" s="615"/>
      <c r="AU211" s="615"/>
      <c r="AV211" s="615"/>
      <c r="AW211" s="615"/>
      <c r="AX211" s="615"/>
      <c r="AY211" s="616"/>
      <c r="AZ211" s="581"/>
      <c r="BA211" s="581"/>
      <c r="BB211" s="581"/>
      <c r="BC211" s="581"/>
    </row>
    <row r="212" spans="1:55" x14ac:dyDescent="0.25">
      <c r="A212" s="62" t="s">
        <v>65</v>
      </c>
      <c r="B212" s="16">
        <v>23</v>
      </c>
      <c r="C212" s="16" t="s">
        <v>12</v>
      </c>
      <c r="D212" s="315">
        <v>12</v>
      </c>
      <c r="E212" s="394" t="s">
        <v>69</v>
      </c>
      <c r="F212" s="319">
        <v>1647</v>
      </c>
      <c r="G212" s="357">
        <v>1382</v>
      </c>
      <c r="H212" s="357">
        <v>0</v>
      </c>
      <c r="I212" s="405">
        <v>1</v>
      </c>
      <c r="J212" s="607">
        <f>ROUND(G212*(1+'29_01_H_2020'!$F$14),2)</f>
        <v>1520.2</v>
      </c>
      <c r="K212" s="608">
        <f t="shared" si="250"/>
        <v>1520.2</v>
      </c>
      <c r="L212" s="608">
        <f t="shared" si="251"/>
        <v>138.20000000000005</v>
      </c>
      <c r="M212" s="608">
        <f t="shared" si="252"/>
        <v>0</v>
      </c>
      <c r="N212" s="608">
        <f t="shared" si="253"/>
        <v>0</v>
      </c>
      <c r="O212" s="608">
        <f t="shared" si="254"/>
        <v>0</v>
      </c>
      <c r="P212" s="609">
        <f t="shared" si="245"/>
        <v>138.20000000000005</v>
      </c>
      <c r="Q212" s="609">
        <f t="shared" si="246"/>
        <v>138.20000000000005</v>
      </c>
      <c r="R212" s="609">
        <f t="shared" si="247"/>
        <v>1658.4000000000005</v>
      </c>
      <c r="S212" s="609">
        <f t="shared" si="248"/>
        <v>399.51</v>
      </c>
      <c r="T212" s="610">
        <f t="shared" si="255"/>
        <v>2057.9100000000008</v>
      </c>
      <c r="U212" s="611"/>
      <c r="V212" s="612"/>
      <c r="W212" s="613"/>
      <c r="X212" s="614"/>
      <c r="Y212" s="614"/>
      <c r="Z212" s="581"/>
      <c r="AA212" s="581"/>
      <c r="AB212" s="615"/>
      <c r="AC212" s="615"/>
      <c r="AD212" s="615"/>
      <c r="AE212" s="615"/>
      <c r="AF212" s="615"/>
      <c r="AG212" s="615"/>
      <c r="AH212" s="615"/>
      <c r="AI212" s="615"/>
      <c r="AJ212" s="615"/>
      <c r="AK212" s="615"/>
      <c r="AL212" s="616"/>
      <c r="AM212" s="581"/>
      <c r="AN212" s="581"/>
      <c r="AO212" s="615"/>
      <c r="AP212" s="615"/>
      <c r="AQ212" s="615"/>
      <c r="AR212" s="615"/>
      <c r="AS212" s="615"/>
      <c r="AT212" s="615"/>
      <c r="AU212" s="615"/>
      <c r="AV212" s="615"/>
      <c r="AW212" s="615"/>
      <c r="AX212" s="615"/>
      <c r="AY212" s="616"/>
      <c r="AZ212" s="581"/>
      <c r="BA212" s="581"/>
      <c r="BB212" s="581"/>
      <c r="BC212" s="581"/>
    </row>
    <row r="213" spans="1:55" x14ac:dyDescent="0.25">
      <c r="A213" s="690" t="s">
        <v>365</v>
      </c>
      <c r="B213" s="16">
        <v>5.0999999999999996</v>
      </c>
      <c r="C213" s="16" t="s">
        <v>295</v>
      </c>
      <c r="D213" s="315">
        <v>9</v>
      </c>
      <c r="E213" s="394" t="s">
        <v>69</v>
      </c>
      <c r="F213" s="319">
        <v>1190</v>
      </c>
      <c r="G213" s="357">
        <v>1070</v>
      </c>
      <c r="H213" s="357">
        <v>0</v>
      </c>
      <c r="I213" s="405">
        <v>0.5</v>
      </c>
      <c r="J213" s="607">
        <f>ROUND(G213*(1+'29_01_H_2020'!$F$14),2)</f>
        <v>1177</v>
      </c>
      <c r="K213" s="608">
        <f t="shared" si="250"/>
        <v>1177</v>
      </c>
      <c r="L213" s="608">
        <f t="shared" si="251"/>
        <v>107</v>
      </c>
      <c r="M213" s="608">
        <f t="shared" si="252"/>
        <v>0</v>
      </c>
      <c r="N213" s="608">
        <f t="shared" si="253"/>
        <v>0</v>
      </c>
      <c r="O213" s="608">
        <f t="shared" si="254"/>
        <v>0</v>
      </c>
      <c r="P213" s="609">
        <f t="shared" si="245"/>
        <v>107</v>
      </c>
      <c r="Q213" s="609">
        <f t="shared" si="246"/>
        <v>53.5</v>
      </c>
      <c r="R213" s="609">
        <f t="shared" si="247"/>
        <v>642</v>
      </c>
      <c r="S213" s="609">
        <f t="shared" si="248"/>
        <v>154.66</v>
      </c>
      <c r="T213" s="610">
        <f t="shared" si="255"/>
        <v>796.66</v>
      </c>
      <c r="U213" s="611"/>
      <c r="V213" s="612"/>
      <c r="W213" s="613"/>
      <c r="X213" s="614"/>
      <c r="Y213" s="614"/>
      <c r="Z213" s="581"/>
      <c r="AA213" s="581"/>
      <c r="AB213" s="615"/>
      <c r="AC213" s="615"/>
      <c r="AD213" s="615"/>
      <c r="AE213" s="615"/>
      <c r="AF213" s="615"/>
      <c r="AG213" s="615"/>
      <c r="AH213" s="615"/>
      <c r="AI213" s="615"/>
      <c r="AJ213" s="615"/>
      <c r="AK213" s="615"/>
      <c r="AL213" s="616"/>
      <c r="AM213" s="581"/>
      <c r="AN213" s="581"/>
      <c r="AO213" s="615"/>
      <c r="AP213" s="615"/>
      <c r="AQ213" s="615"/>
      <c r="AR213" s="615"/>
      <c r="AS213" s="615"/>
      <c r="AT213" s="615"/>
      <c r="AU213" s="615"/>
      <c r="AV213" s="615"/>
      <c r="AW213" s="615"/>
      <c r="AX213" s="615"/>
      <c r="AY213" s="616"/>
      <c r="AZ213" s="581"/>
      <c r="BA213" s="581"/>
      <c r="BB213" s="581"/>
      <c r="BC213" s="581"/>
    </row>
    <row r="214" spans="1:55" x14ac:dyDescent="0.25">
      <c r="A214" s="617" t="s">
        <v>55</v>
      </c>
      <c r="B214" s="618" t="s">
        <v>52</v>
      </c>
      <c r="C214" s="619" t="s">
        <v>52</v>
      </c>
      <c r="D214" s="619" t="s">
        <v>52</v>
      </c>
      <c r="E214" s="619" t="s">
        <v>52</v>
      </c>
      <c r="F214" s="620" t="s">
        <v>52</v>
      </c>
      <c r="G214" s="620" t="s">
        <v>52</v>
      </c>
      <c r="H214" s="620" t="s">
        <v>52</v>
      </c>
      <c r="I214" s="406">
        <f>SUM(I196:I213)</f>
        <v>30</v>
      </c>
      <c r="J214" s="621"/>
      <c r="K214" s="622"/>
      <c r="L214" s="622"/>
      <c r="M214" s="622"/>
      <c r="N214" s="622"/>
      <c r="O214" s="622"/>
      <c r="P214" s="623"/>
      <c r="Q214" s="623"/>
      <c r="R214" s="623"/>
      <c r="S214" s="623"/>
      <c r="T214" s="624"/>
      <c r="U214" s="581"/>
      <c r="V214" s="581"/>
      <c r="W214" s="581"/>
      <c r="X214" s="581"/>
      <c r="Y214" s="581"/>
      <c r="Z214" s="581"/>
      <c r="AA214" s="581"/>
      <c r="AB214" s="581"/>
      <c r="AC214" s="581"/>
      <c r="AD214" s="581"/>
      <c r="AE214" s="581"/>
      <c r="AF214" s="581"/>
      <c r="AG214" s="581"/>
      <c r="AH214" s="581"/>
      <c r="AI214" s="581"/>
      <c r="AJ214" s="581"/>
      <c r="AK214" s="581"/>
      <c r="AL214" s="581"/>
      <c r="AM214" s="581"/>
      <c r="AN214" s="581"/>
      <c r="AO214" s="581"/>
      <c r="AP214" s="581"/>
      <c r="AQ214" s="581"/>
      <c r="AR214" s="581"/>
      <c r="AS214" s="581"/>
      <c r="AT214" s="581"/>
      <c r="AU214" s="581"/>
      <c r="AV214" s="581"/>
      <c r="AW214" s="581"/>
      <c r="AX214" s="581"/>
      <c r="AY214" s="581"/>
      <c r="AZ214" s="581"/>
      <c r="BA214" s="581"/>
      <c r="BB214" s="581"/>
      <c r="BC214" s="581"/>
    </row>
    <row r="215" spans="1:55" x14ac:dyDescent="0.25">
      <c r="A215" s="931" t="s">
        <v>27</v>
      </c>
      <c r="B215" s="932"/>
      <c r="C215" s="932"/>
      <c r="D215" s="932"/>
      <c r="E215" s="932"/>
      <c r="F215" s="932"/>
      <c r="G215" s="932"/>
      <c r="H215" s="932"/>
      <c r="I215" s="933"/>
      <c r="J215" s="625"/>
      <c r="K215" s="626"/>
      <c r="L215" s="626"/>
      <c r="M215" s="626"/>
      <c r="N215" s="626"/>
      <c r="O215" s="626"/>
      <c r="P215" s="603"/>
      <c r="Q215" s="603"/>
      <c r="R215" s="603"/>
      <c r="S215" s="603"/>
      <c r="T215" s="604"/>
      <c r="U215" s="581"/>
      <c r="V215" s="581"/>
      <c r="W215" s="581"/>
      <c r="X215" s="581"/>
      <c r="Y215" s="581"/>
      <c r="Z215" s="581"/>
      <c r="AA215" s="581"/>
      <c r="AB215" s="581"/>
      <c r="AC215" s="581"/>
      <c r="AD215" s="581"/>
      <c r="AE215" s="581"/>
      <c r="AF215" s="581"/>
      <c r="AG215" s="581"/>
      <c r="AH215" s="581"/>
      <c r="AI215" s="581"/>
      <c r="AJ215" s="581"/>
      <c r="AK215" s="581"/>
      <c r="AL215" s="581"/>
      <c r="AM215" s="581"/>
      <c r="AN215" s="581"/>
      <c r="AO215" s="581"/>
      <c r="AP215" s="581"/>
      <c r="AQ215" s="581"/>
      <c r="AR215" s="581"/>
      <c r="AS215" s="581"/>
      <c r="AT215" s="581"/>
      <c r="AU215" s="581"/>
      <c r="AV215" s="581"/>
      <c r="AW215" s="581"/>
      <c r="AX215" s="581"/>
      <c r="AY215" s="581"/>
      <c r="AZ215" s="581"/>
      <c r="BA215" s="581"/>
      <c r="BB215" s="581"/>
      <c r="BC215" s="581"/>
    </row>
    <row r="216" spans="1:55" x14ac:dyDescent="0.25">
      <c r="A216" s="690" t="s">
        <v>269</v>
      </c>
      <c r="B216" s="16" t="s">
        <v>15</v>
      </c>
      <c r="C216" s="16" t="s">
        <v>36</v>
      </c>
      <c r="D216" s="315">
        <v>8</v>
      </c>
      <c r="E216" s="394" t="s">
        <v>69</v>
      </c>
      <c r="F216" s="319">
        <v>1093</v>
      </c>
      <c r="G216" s="357">
        <v>970</v>
      </c>
      <c r="H216" s="357">
        <v>0</v>
      </c>
      <c r="I216" s="405">
        <v>1</v>
      </c>
      <c r="J216" s="607">
        <f>ROUND(G216*(1+'29_01_H_2020'!$F$10),2)</f>
        <v>1067</v>
      </c>
      <c r="K216" s="608">
        <f t="shared" ref="K216" si="256">IF(J216&lt;=F216,J216,F216)</f>
        <v>1067</v>
      </c>
      <c r="L216" s="608">
        <f t="shared" ref="L216" si="257">K216-G216</f>
        <v>97</v>
      </c>
      <c r="M216" s="608">
        <f t="shared" ref="M216" si="258">J216-K216</f>
        <v>0</v>
      </c>
      <c r="N216" s="608">
        <f t="shared" ref="N216" si="259">ROUND(H216/G216*K216-H216,2)</f>
        <v>0</v>
      </c>
      <c r="O216" s="608">
        <f t="shared" ref="O216" si="260">ROUND(H216/G216*J216-H216-N216,2)</f>
        <v>0</v>
      </c>
      <c r="P216" s="609">
        <f t="shared" ref="P216:P225" si="261">L216+M216+N216+O216</f>
        <v>97</v>
      </c>
      <c r="Q216" s="609">
        <f t="shared" ref="Q216:Q225" si="262">P216*I216</f>
        <v>97</v>
      </c>
      <c r="R216" s="609">
        <f t="shared" ref="R216:R225" si="263">Q216*12</f>
        <v>1164</v>
      </c>
      <c r="S216" s="609">
        <f t="shared" ref="S216:S225" si="264">ROUND(R216*0.2409,2)</f>
        <v>280.41000000000003</v>
      </c>
      <c r="T216" s="610">
        <f t="shared" ref="T216" si="265">SUM(R216:S216)</f>
        <v>1444.41</v>
      </c>
      <c r="U216" s="611"/>
      <c r="V216" s="612"/>
      <c r="W216" s="613"/>
      <c r="X216" s="614"/>
      <c r="Y216" s="614"/>
      <c r="Z216" s="581"/>
      <c r="AA216" s="581"/>
      <c r="AB216" s="615"/>
      <c r="AC216" s="615"/>
      <c r="AD216" s="615"/>
      <c r="AE216" s="615"/>
      <c r="AF216" s="615"/>
      <c r="AG216" s="615"/>
      <c r="AH216" s="615"/>
      <c r="AI216" s="615"/>
      <c r="AJ216" s="615"/>
      <c r="AK216" s="615"/>
      <c r="AL216" s="616"/>
      <c r="AM216" s="581"/>
      <c r="AN216" s="581"/>
      <c r="AO216" s="615"/>
      <c r="AP216" s="615"/>
      <c r="AQ216" s="615"/>
      <c r="AR216" s="615"/>
      <c r="AS216" s="615"/>
      <c r="AT216" s="615"/>
      <c r="AU216" s="615"/>
      <c r="AV216" s="615"/>
      <c r="AW216" s="615"/>
      <c r="AX216" s="615"/>
      <c r="AY216" s="616"/>
      <c r="AZ216" s="581"/>
      <c r="BA216" s="581"/>
      <c r="BB216" s="581"/>
      <c r="BC216" s="581"/>
    </row>
    <row r="217" spans="1:55" x14ac:dyDescent="0.25">
      <c r="A217" s="690" t="s">
        <v>269</v>
      </c>
      <c r="B217" s="16" t="s">
        <v>15</v>
      </c>
      <c r="C217" s="16" t="s">
        <v>36</v>
      </c>
      <c r="D217" s="315">
        <v>8</v>
      </c>
      <c r="E217" s="394" t="s">
        <v>69</v>
      </c>
      <c r="F217" s="319">
        <v>1093</v>
      </c>
      <c r="G217" s="357">
        <v>920</v>
      </c>
      <c r="H217" s="357">
        <v>0</v>
      </c>
      <c r="I217" s="405">
        <v>1</v>
      </c>
      <c r="J217" s="607">
        <f>ROUND(G217*(1+'29_01_H_2020'!$F$10),2)</f>
        <v>1012</v>
      </c>
      <c r="K217" s="608">
        <f t="shared" ref="K217:K225" si="266">IF(J217&lt;=F217,J217,F217)</f>
        <v>1012</v>
      </c>
      <c r="L217" s="608">
        <f t="shared" ref="L217:L225" si="267">K217-G217</f>
        <v>92</v>
      </c>
      <c r="M217" s="608">
        <f t="shared" ref="M217:M225" si="268">J217-K217</f>
        <v>0</v>
      </c>
      <c r="N217" s="608">
        <f t="shared" ref="N217:N225" si="269">ROUND(H217/G217*K217-H217,2)</f>
        <v>0</v>
      </c>
      <c r="O217" s="608">
        <f t="shared" ref="O217:O225" si="270">ROUND(H217/G217*J217-H217-N217,2)</f>
        <v>0</v>
      </c>
      <c r="P217" s="609">
        <f t="shared" si="261"/>
        <v>92</v>
      </c>
      <c r="Q217" s="609">
        <f t="shared" si="262"/>
        <v>92</v>
      </c>
      <c r="R217" s="609">
        <f t="shared" si="263"/>
        <v>1104</v>
      </c>
      <c r="S217" s="609">
        <f t="shared" si="264"/>
        <v>265.95</v>
      </c>
      <c r="T217" s="610">
        <f t="shared" ref="T217:T225" si="271">SUM(R217:S217)</f>
        <v>1369.95</v>
      </c>
      <c r="U217" s="611"/>
      <c r="V217" s="612"/>
      <c r="W217" s="613"/>
      <c r="X217" s="614"/>
      <c r="Y217" s="614"/>
      <c r="Z217" s="581"/>
      <c r="AA217" s="581"/>
      <c r="AB217" s="615"/>
      <c r="AC217" s="615"/>
      <c r="AD217" s="615"/>
      <c r="AE217" s="615"/>
      <c r="AF217" s="615"/>
      <c r="AG217" s="615"/>
      <c r="AH217" s="615"/>
      <c r="AI217" s="615"/>
      <c r="AJ217" s="615"/>
      <c r="AK217" s="615"/>
      <c r="AL217" s="616"/>
      <c r="AM217" s="581"/>
      <c r="AN217" s="581"/>
      <c r="AO217" s="615"/>
      <c r="AP217" s="615"/>
      <c r="AQ217" s="615"/>
      <c r="AR217" s="615"/>
      <c r="AS217" s="615"/>
      <c r="AT217" s="615"/>
      <c r="AU217" s="615"/>
      <c r="AV217" s="615"/>
      <c r="AW217" s="615"/>
      <c r="AX217" s="615"/>
      <c r="AY217" s="616"/>
      <c r="AZ217" s="581"/>
      <c r="BA217" s="581"/>
      <c r="BB217" s="581"/>
      <c r="BC217" s="581"/>
    </row>
    <row r="218" spans="1:55" x14ac:dyDescent="0.25">
      <c r="A218" s="395" t="s">
        <v>271</v>
      </c>
      <c r="B218" s="16" t="s">
        <v>22</v>
      </c>
      <c r="C218" s="16" t="s">
        <v>18</v>
      </c>
      <c r="D218" s="315">
        <v>8</v>
      </c>
      <c r="E218" s="394" t="s">
        <v>69</v>
      </c>
      <c r="F218" s="319">
        <v>1093</v>
      </c>
      <c r="G218" s="357">
        <v>1093</v>
      </c>
      <c r="H218" s="357">
        <v>0</v>
      </c>
      <c r="I218" s="405">
        <v>1</v>
      </c>
      <c r="J218" s="607">
        <f>ROUND(G218*(1+'29_01_H_2020'!$F$10),2)</f>
        <v>1202.3</v>
      </c>
      <c r="K218" s="608">
        <f t="shared" si="266"/>
        <v>1093</v>
      </c>
      <c r="L218" s="608">
        <f t="shared" si="267"/>
        <v>0</v>
      </c>
      <c r="M218" s="608">
        <f t="shared" si="268"/>
        <v>109.29999999999995</v>
      </c>
      <c r="N218" s="608">
        <f t="shared" si="269"/>
        <v>0</v>
      </c>
      <c r="O218" s="608">
        <f t="shared" si="270"/>
        <v>0</v>
      </c>
      <c r="P218" s="609">
        <f t="shared" si="261"/>
        <v>109.29999999999995</v>
      </c>
      <c r="Q218" s="609">
        <f t="shared" si="262"/>
        <v>109.29999999999995</v>
      </c>
      <c r="R218" s="609">
        <f t="shared" si="263"/>
        <v>1311.5999999999995</v>
      </c>
      <c r="S218" s="609">
        <f t="shared" si="264"/>
        <v>315.95999999999998</v>
      </c>
      <c r="T218" s="610">
        <f t="shared" si="271"/>
        <v>1627.5599999999995</v>
      </c>
      <c r="U218" s="611"/>
      <c r="V218" s="612"/>
      <c r="W218" s="613"/>
      <c r="X218" s="614"/>
      <c r="Y218" s="614"/>
      <c r="Z218" s="581"/>
      <c r="AA218" s="581"/>
      <c r="AB218" s="615"/>
      <c r="AC218" s="615"/>
      <c r="AD218" s="615"/>
      <c r="AE218" s="615"/>
      <c r="AF218" s="615"/>
      <c r="AG218" s="615"/>
      <c r="AH218" s="615"/>
      <c r="AI218" s="615"/>
      <c r="AJ218" s="615"/>
      <c r="AK218" s="615"/>
      <c r="AL218" s="616"/>
      <c r="AM218" s="581"/>
      <c r="AN218" s="581"/>
      <c r="AO218" s="615"/>
      <c r="AP218" s="615"/>
      <c r="AQ218" s="615"/>
      <c r="AR218" s="615"/>
      <c r="AS218" s="615"/>
      <c r="AT218" s="615"/>
      <c r="AU218" s="615"/>
      <c r="AV218" s="615"/>
      <c r="AW218" s="615"/>
      <c r="AX218" s="615"/>
      <c r="AY218" s="616"/>
      <c r="AZ218" s="581"/>
      <c r="BA218" s="581"/>
      <c r="BB218" s="581"/>
      <c r="BC218" s="581"/>
    </row>
    <row r="219" spans="1:55" x14ac:dyDescent="0.25">
      <c r="A219" s="395" t="s">
        <v>366</v>
      </c>
      <c r="B219" s="16" t="s">
        <v>22</v>
      </c>
      <c r="C219" s="16" t="s">
        <v>25</v>
      </c>
      <c r="D219" s="315">
        <v>7</v>
      </c>
      <c r="E219" s="394" t="s">
        <v>69</v>
      </c>
      <c r="F219" s="319">
        <v>996</v>
      </c>
      <c r="G219" s="357">
        <v>870</v>
      </c>
      <c r="H219" s="357">
        <v>148</v>
      </c>
      <c r="I219" s="405">
        <v>5</v>
      </c>
      <c r="J219" s="607">
        <f>ROUND(G219*(1+'29_01_H_2020'!$F$10),2)</f>
        <v>957</v>
      </c>
      <c r="K219" s="608">
        <f t="shared" si="266"/>
        <v>957</v>
      </c>
      <c r="L219" s="608">
        <f t="shared" si="267"/>
        <v>87</v>
      </c>
      <c r="M219" s="608">
        <f t="shared" si="268"/>
        <v>0</v>
      </c>
      <c r="N219" s="608">
        <f t="shared" si="269"/>
        <v>14.8</v>
      </c>
      <c r="O219" s="608">
        <f t="shared" si="270"/>
        <v>0</v>
      </c>
      <c r="P219" s="609">
        <f t="shared" si="261"/>
        <v>101.8</v>
      </c>
      <c r="Q219" s="609">
        <f t="shared" si="262"/>
        <v>509</v>
      </c>
      <c r="R219" s="609">
        <f t="shared" si="263"/>
        <v>6108</v>
      </c>
      <c r="S219" s="609">
        <f t="shared" si="264"/>
        <v>1471.42</v>
      </c>
      <c r="T219" s="610">
        <f t="shared" si="271"/>
        <v>7579.42</v>
      </c>
      <c r="U219" s="611"/>
      <c r="V219" s="612"/>
      <c r="W219" s="613"/>
      <c r="X219" s="614"/>
      <c r="Y219" s="614"/>
      <c r="Z219" s="581"/>
      <c r="AA219" s="581"/>
      <c r="AB219" s="615"/>
      <c r="AC219" s="615"/>
      <c r="AD219" s="615"/>
      <c r="AE219" s="615"/>
      <c r="AF219" s="615"/>
      <c r="AG219" s="615"/>
      <c r="AH219" s="615"/>
      <c r="AI219" s="615"/>
      <c r="AJ219" s="615"/>
      <c r="AK219" s="615"/>
      <c r="AL219" s="616"/>
      <c r="AM219" s="581"/>
      <c r="AN219" s="581"/>
      <c r="AO219" s="615"/>
      <c r="AP219" s="615"/>
      <c r="AQ219" s="615"/>
      <c r="AR219" s="615"/>
      <c r="AS219" s="615"/>
      <c r="AT219" s="615"/>
      <c r="AU219" s="615"/>
      <c r="AV219" s="615"/>
      <c r="AW219" s="615"/>
      <c r="AX219" s="615"/>
      <c r="AY219" s="616"/>
      <c r="AZ219" s="581"/>
      <c r="BA219" s="581"/>
      <c r="BB219" s="581"/>
      <c r="BC219" s="581"/>
    </row>
    <row r="220" spans="1:55" x14ac:dyDescent="0.25">
      <c r="A220" s="395" t="s">
        <v>39</v>
      </c>
      <c r="B220" s="16" t="s">
        <v>22</v>
      </c>
      <c r="C220" s="16" t="s">
        <v>25</v>
      </c>
      <c r="D220" s="315">
        <v>7</v>
      </c>
      <c r="E220" s="394" t="s">
        <v>69</v>
      </c>
      <c r="F220" s="319">
        <v>996</v>
      </c>
      <c r="G220" s="357">
        <v>970</v>
      </c>
      <c r="H220" s="357">
        <v>8</v>
      </c>
      <c r="I220" s="405">
        <v>9</v>
      </c>
      <c r="J220" s="607">
        <f>ROUND(G220*(1+'29_01_H_2020'!$F$10),2)</f>
        <v>1067</v>
      </c>
      <c r="K220" s="608">
        <f t="shared" si="266"/>
        <v>996</v>
      </c>
      <c r="L220" s="608">
        <f t="shared" si="267"/>
        <v>26</v>
      </c>
      <c r="M220" s="608">
        <f t="shared" si="268"/>
        <v>71</v>
      </c>
      <c r="N220" s="608">
        <f t="shared" si="269"/>
        <v>0.21</v>
      </c>
      <c r="O220" s="608">
        <f t="shared" si="270"/>
        <v>0.59</v>
      </c>
      <c r="P220" s="609">
        <f t="shared" si="261"/>
        <v>97.8</v>
      </c>
      <c r="Q220" s="609">
        <f t="shared" si="262"/>
        <v>880.19999999999993</v>
      </c>
      <c r="R220" s="609">
        <f t="shared" si="263"/>
        <v>10562.4</v>
      </c>
      <c r="S220" s="609">
        <f t="shared" si="264"/>
        <v>2544.48</v>
      </c>
      <c r="T220" s="610">
        <f t="shared" si="271"/>
        <v>13106.88</v>
      </c>
      <c r="U220" s="611"/>
      <c r="V220" s="612"/>
      <c r="W220" s="613"/>
      <c r="X220" s="614"/>
      <c r="Y220" s="614"/>
      <c r="Z220" s="581"/>
      <c r="AA220" s="581"/>
      <c r="AB220" s="615"/>
      <c r="AC220" s="615"/>
      <c r="AD220" s="615"/>
      <c r="AE220" s="615"/>
      <c r="AF220" s="615"/>
      <c r="AG220" s="615"/>
      <c r="AH220" s="615"/>
      <c r="AI220" s="615"/>
      <c r="AJ220" s="615"/>
      <c r="AK220" s="615"/>
      <c r="AL220" s="616"/>
      <c r="AM220" s="581"/>
      <c r="AN220" s="581"/>
      <c r="AO220" s="615"/>
      <c r="AP220" s="615"/>
      <c r="AQ220" s="615"/>
      <c r="AR220" s="615"/>
      <c r="AS220" s="615"/>
      <c r="AT220" s="615"/>
      <c r="AU220" s="615"/>
      <c r="AV220" s="615"/>
      <c r="AW220" s="615"/>
      <c r="AX220" s="615"/>
      <c r="AY220" s="616"/>
      <c r="AZ220" s="581"/>
      <c r="BA220" s="581"/>
      <c r="BB220" s="581"/>
      <c r="BC220" s="581"/>
    </row>
    <row r="221" spans="1:55" x14ac:dyDescent="0.25">
      <c r="A221" s="690" t="s">
        <v>310</v>
      </c>
      <c r="B221" s="16" t="s">
        <v>22</v>
      </c>
      <c r="C221" s="16" t="s">
        <v>41</v>
      </c>
      <c r="D221" s="315">
        <v>6</v>
      </c>
      <c r="E221" s="394" t="s">
        <v>69</v>
      </c>
      <c r="F221" s="319">
        <v>899</v>
      </c>
      <c r="G221" s="357">
        <v>870</v>
      </c>
      <c r="H221" s="357">
        <v>7</v>
      </c>
      <c r="I221" s="405">
        <v>4</v>
      </c>
      <c r="J221" s="607">
        <f>ROUND(G221*(1+'29_01_H_2020'!$F$10),2)</f>
        <v>957</v>
      </c>
      <c r="K221" s="608">
        <f t="shared" si="266"/>
        <v>899</v>
      </c>
      <c r="L221" s="608">
        <f t="shared" si="267"/>
        <v>29</v>
      </c>
      <c r="M221" s="608">
        <f t="shared" si="268"/>
        <v>58</v>
      </c>
      <c r="N221" s="608">
        <f t="shared" si="269"/>
        <v>0.23</v>
      </c>
      <c r="O221" s="608">
        <f t="shared" si="270"/>
        <v>0.47</v>
      </c>
      <c r="P221" s="609">
        <f t="shared" si="261"/>
        <v>87.7</v>
      </c>
      <c r="Q221" s="609">
        <f t="shared" si="262"/>
        <v>350.8</v>
      </c>
      <c r="R221" s="609">
        <f t="shared" si="263"/>
        <v>4209.6000000000004</v>
      </c>
      <c r="S221" s="609">
        <f t="shared" si="264"/>
        <v>1014.09</v>
      </c>
      <c r="T221" s="610">
        <f t="shared" si="271"/>
        <v>5223.6900000000005</v>
      </c>
      <c r="U221" s="611"/>
      <c r="V221" s="612"/>
      <c r="W221" s="613"/>
      <c r="X221" s="614"/>
      <c r="Y221" s="614"/>
      <c r="Z221" s="581"/>
      <c r="AA221" s="581"/>
      <c r="AB221" s="615"/>
      <c r="AC221" s="615"/>
      <c r="AD221" s="615"/>
      <c r="AE221" s="615"/>
      <c r="AF221" s="615"/>
      <c r="AG221" s="615"/>
      <c r="AH221" s="615"/>
      <c r="AI221" s="615"/>
      <c r="AJ221" s="615"/>
      <c r="AK221" s="615"/>
      <c r="AL221" s="616"/>
      <c r="AM221" s="581"/>
      <c r="AN221" s="581"/>
      <c r="AO221" s="615"/>
      <c r="AP221" s="615"/>
      <c r="AQ221" s="615"/>
      <c r="AR221" s="615"/>
      <c r="AS221" s="615"/>
      <c r="AT221" s="615"/>
      <c r="AU221" s="615"/>
      <c r="AV221" s="615"/>
      <c r="AW221" s="615"/>
      <c r="AX221" s="615"/>
      <c r="AY221" s="616"/>
      <c r="AZ221" s="581"/>
      <c r="BA221" s="581"/>
      <c r="BB221" s="581"/>
      <c r="BC221" s="581"/>
    </row>
    <row r="222" spans="1:55" x14ac:dyDescent="0.25">
      <c r="A222" s="489" t="s">
        <v>367</v>
      </c>
      <c r="B222" s="16" t="s">
        <v>15</v>
      </c>
      <c r="C222" s="16" t="s">
        <v>368</v>
      </c>
      <c r="D222" s="315">
        <v>8</v>
      </c>
      <c r="E222" s="394" t="s">
        <v>69</v>
      </c>
      <c r="F222" s="319">
        <v>1093</v>
      </c>
      <c r="G222" s="357">
        <v>870</v>
      </c>
      <c r="H222" s="357">
        <v>0</v>
      </c>
      <c r="I222" s="405">
        <v>1</v>
      </c>
      <c r="J222" s="607">
        <f>ROUND(G222*(1+'29_01_H_2020'!$F$10),2)</f>
        <v>957</v>
      </c>
      <c r="K222" s="608">
        <f t="shared" si="266"/>
        <v>957</v>
      </c>
      <c r="L222" s="608">
        <f t="shared" si="267"/>
        <v>87</v>
      </c>
      <c r="M222" s="608">
        <f t="shared" si="268"/>
        <v>0</v>
      </c>
      <c r="N222" s="608">
        <f t="shared" si="269"/>
        <v>0</v>
      </c>
      <c r="O222" s="608">
        <f t="shared" si="270"/>
        <v>0</v>
      </c>
      <c r="P222" s="609">
        <f t="shared" si="261"/>
        <v>87</v>
      </c>
      <c r="Q222" s="609">
        <f t="shared" si="262"/>
        <v>87</v>
      </c>
      <c r="R222" s="609">
        <f t="shared" si="263"/>
        <v>1044</v>
      </c>
      <c r="S222" s="609">
        <f t="shared" si="264"/>
        <v>251.5</v>
      </c>
      <c r="T222" s="610">
        <f t="shared" si="271"/>
        <v>1295.5</v>
      </c>
      <c r="U222" s="611"/>
      <c r="V222" s="612"/>
      <c r="W222" s="613"/>
      <c r="X222" s="614"/>
      <c r="Y222" s="614"/>
      <c r="Z222" s="581"/>
      <c r="AA222" s="581"/>
      <c r="AB222" s="615"/>
      <c r="AC222" s="615"/>
      <c r="AD222" s="615"/>
      <c r="AE222" s="615"/>
      <c r="AF222" s="615"/>
      <c r="AG222" s="615"/>
      <c r="AH222" s="615"/>
      <c r="AI222" s="615"/>
      <c r="AJ222" s="615"/>
      <c r="AK222" s="615"/>
      <c r="AL222" s="616"/>
      <c r="AM222" s="616"/>
      <c r="AN222" s="581"/>
      <c r="AO222" s="615"/>
      <c r="AP222" s="615"/>
      <c r="AQ222" s="615"/>
      <c r="AR222" s="615"/>
      <c r="AS222" s="615"/>
      <c r="AT222" s="615"/>
      <c r="AU222" s="615"/>
      <c r="AV222" s="615"/>
      <c r="AW222" s="615"/>
      <c r="AX222" s="615"/>
      <c r="AY222" s="616"/>
      <c r="AZ222" s="581"/>
      <c r="BA222" s="581"/>
      <c r="BB222" s="581"/>
      <c r="BC222" s="581"/>
    </row>
    <row r="223" spans="1:55" x14ac:dyDescent="0.25">
      <c r="A223" s="690" t="s">
        <v>369</v>
      </c>
      <c r="B223" s="315" t="s">
        <v>15</v>
      </c>
      <c r="C223" s="315" t="s">
        <v>295</v>
      </c>
      <c r="D223" s="315">
        <v>9</v>
      </c>
      <c r="E223" s="394" t="s">
        <v>69</v>
      </c>
      <c r="F223" s="319">
        <v>1190</v>
      </c>
      <c r="G223" s="357">
        <v>900</v>
      </c>
      <c r="H223" s="357">
        <v>22</v>
      </c>
      <c r="I223" s="405">
        <v>2</v>
      </c>
      <c r="J223" s="607">
        <f>ROUND(G223*(1+'29_01_H_2020'!$F$10),2)</f>
        <v>990</v>
      </c>
      <c r="K223" s="608">
        <f t="shared" si="266"/>
        <v>990</v>
      </c>
      <c r="L223" s="608">
        <f t="shared" si="267"/>
        <v>90</v>
      </c>
      <c r="M223" s="608">
        <f t="shared" si="268"/>
        <v>0</v>
      </c>
      <c r="N223" s="608">
        <f t="shared" si="269"/>
        <v>2.2000000000000002</v>
      </c>
      <c r="O223" s="608">
        <f t="shared" si="270"/>
        <v>0</v>
      </c>
      <c r="P223" s="609">
        <f t="shared" si="261"/>
        <v>92.2</v>
      </c>
      <c r="Q223" s="609">
        <f t="shared" si="262"/>
        <v>184.4</v>
      </c>
      <c r="R223" s="609">
        <f t="shared" si="263"/>
        <v>2212.8000000000002</v>
      </c>
      <c r="S223" s="609">
        <f t="shared" si="264"/>
        <v>533.05999999999995</v>
      </c>
      <c r="T223" s="610">
        <f t="shared" si="271"/>
        <v>2745.86</v>
      </c>
      <c r="U223" s="611"/>
      <c r="V223" s="612"/>
      <c r="W223" s="613"/>
      <c r="X223" s="614"/>
      <c r="Y223" s="614"/>
      <c r="Z223" s="581"/>
      <c r="AA223" s="581"/>
      <c r="AB223" s="615"/>
      <c r="AC223" s="615"/>
      <c r="AD223" s="615"/>
      <c r="AE223" s="615"/>
      <c r="AF223" s="615"/>
      <c r="AG223" s="615"/>
      <c r="AH223" s="615"/>
      <c r="AI223" s="615"/>
      <c r="AJ223" s="615"/>
      <c r="AK223" s="615"/>
      <c r="AL223" s="616"/>
      <c r="AM223" s="616"/>
      <c r="AN223" s="581"/>
      <c r="AO223" s="615"/>
      <c r="AP223" s="615"/>
      <c r="AQ223" s="615"/>
      <c r="AR223" s="615"/>
      <c r="AS223" s="615"/>
      <c r="AT223" s="615"/>
      <c r="AU223" s="615"/>
      <c r="AV223" s="615"/>
      <c r="AW223" s="615"/>
      <c r="AX223" s="615"/>
      <c r="AY223" s="616"/>
      <c r="AZ223" s="581"/>
      <c r="BA223" s="581"/>
      <c r="BB223" s="581"/>
      <c r="BC223" s="581"/>
    </row>
    <row r="224" spans="1:55" x14ac:dyDescent="0.25">
      <c r="A224" s="690" t="s">
        <v>313</v>
      </c>
      <c r="B224" s="16" t="s">
        <v>22</v>
      </c>
      <c r="C224" s="16" t="s">
        <v>25</v>
      </c>
      <c r="D224" s="315">
        <v>7</v>
      </c>
      <c r="E224" s="394" t="s">
        <v>69</v>
      </c>
      <c r="F224" s="319">
        <v>996</v>
      </c>
      <c r="G224" s="357">
        <v>970</v>
      </c>
      <c r="H224" s="357">
        <v>11</v>
      </c>
      <c r="I224" s="405">
        <v>7</v>
      </c>
      <c r="J224" s="607">
        <f>ROUND(G224*(1+'29_01_H_2020'!$F$10),2)</f>
        <v>1067</v>
      </c>
      <c r="K224" s="608">
        <f t="shared" si="266"/>
        <v>996</v>
      </c>
      <c r="L224" s="608">
        <f t="shared" si="267"/>
        <v>26</v>
      </c>
      <c r="M224" s="608">
        <f t="shared" si="268"/>
        <v>71</v>
      </c>
      <c r="N224" s="608">
        <f t="shared" si="269"/>
        <v>0.28999999999999998</v>
      </c>
      <c r="O224" s="608">
        <f t="shared" si="270"/>
        <v>0.81</v>
      </c>
      <c r="P224" s="609">
        <f t="shared" si="261"/>
        <v>98.100000000000009</v>
      </c>
      <c r="Q224" s="609">
        <f t="shared" si="262"/>
        <v>686.7</v>
      </c>
      <c r="R224" s="609">
        <f t="shared" si="263"/>
        <v>8240.4000000000015</v>
      </c>
      <c r="S224" s="609">
        <f t="shared" si="264"/>
        <v>1985.11</v>
      </c>
      <c r="T224" s="610">
        <f t="shared" si="271"/>
        <v>10225.510000000002</v>
      </c>
      <c r="U224" s="611"/>
      <c r="V224" s="612"/>
      <c r="W224" s="613"/>
      <c r="X224" s="614"/>
      <c r="Y224" s="614"/>
      <c r="Z224" s="581"/>
      <c r="AA224" s="581"/>
      <c r="AB224" s="615"/>
      <c r="AC224" s="615"/>
      <c r="AD224" s="615"/>
      <c r="AE224" s="615"/>
      <c r="AF224" s="615"/>
      <c r="AG224" s="615"/>
      <c r="AH224" s="615"/>
      <c r="AI224" s="615"/>
      <c r="AJ224" s="615"/>
      <c r="AK224" s="615"/>
      <c r="AL224" s="616"/>
      <c r="AM224" s="581"/>
      <c r="AN224" s="581"/>
      <c r="AO224" s="615"/>
      <c r="AP224" s="615"/>
      <c r="AQ224" s="615"/>
      <c r="AR224" s="615"/>
      <c r="AS224" s="615"/>
      <c r="AT224" s="615"/>
      <c r="AU224" s="615"/>
      <c r="AV224" s="615"/>
      <c r="AW224" s="615"/>
      <c r="AX224" s="615"/>
      <c r="AY224" s="616"/>
      <c r="AZ224" s="581"/>
      <c r="BA224" s="581"/>
      <c r="BB224" s="581"/>
      <c r="BC224" s="581"/>
    </row>
    <row r="225" spans="1:55" x14ac:dyDescent="0.25">
      <c r="A225" s="395" t="s">
        <v>370</v>
      </c>
      <c r="B225" s="16" t="s">
        <v>22</v>
      </c>
      <c r="C225" s="16" t="s">
        <v>41</v>
      </c>
      <c r="D225" s="315">
        <v>6</v>
      </c>
      <c r="E225" s="394" t="s">
        <v>69</v>
      </c>
      <c r="F225" s="319">
        <v>899</v>
      </c>
      <c r="G225" s="357">
        <v>870</v>
      </c>
      <c r="H225" s="357">
        <v>10</v>
      </c>
      <c r="I225" s="405">
        <v>1</v>
      </c>
      <c r="J225" s="607">
        <f>ROUND(G225*(1+'29_01_H_2020'!$F$10),2)</f>
        <v>957</v>
      </c>
      <c r="K225" s="608">
        <f t="shared" si="266"/>
        <v>899</v>
      </c>
      <c r="L225" s="608">
        <f t="shared" si="267"/>
        <v>29</v>
      </c>
      <c r="M225" s="608">
        <f t="shared" si="268"/>
        <v>58</v>
      </c>
      <c r="N225" s="608">
        <f t="shared" si="269"/>
        <v>0.33</v>
      </c>
      <c r="O225" s="608">
        <f t="shared" si="270"/>
        <v>0.67</v>
      </c>
      <c r="P225" s="609">
        <f t="shared" si="261"/>
        <v>88</v>
      </c>
      <c r="Q225" s="609">
        <f t="shared" si="262"/>
        <v>88</v>
      </c>
      <c r="R225" s="609">
        <f t="shared" si="263"/>
        <v>1056</v>
      </c>
      <c r="S225" s="609">
        <f t="shared" si="264"/>
        <v>254.39</v>
      </c>
      <c r="T225" s="610">
        <f t="shared" si="271"/>
        <v>1310.3899999999999</v>
      </c>
      <c r="U225" s="611"/>
      <c r="V225" s="612"/>
      <c r="W225" s="613"/>
      <c r="X225" s="614"/>
      <c r="Y225" s="614"/>
      <c r="Z225" s="581"/>
      <c r="AA225" s="581"/>
      <c r="AB225" s="615"/>
      <c r="AC225" s="615"/>
      <c r="AD225" s="615"/>
      <c r="AE225" s="615"/>
      <c r="AF225" s="615"/>
      <c r="AG225" s="615"/>
      <c r="AH225" s="615"/>
      <c r="AI225" s="615"/>
      <c r="AJ225" s="615"/>
      <c r="AK225" s="615"/>
      <c r="AL225" s="616"/>
      <c r="AM225" s="581"/>
      <c r="AN225" s="581"/>
      <c r="AO225" s="615"/>
      <c r="AP225" s="615"/>
      <c r="AQ225" s="615"/>
      <c r="AR225" s="615"/>
      <c r="AS225" s="615"/>
      <c r="AT225" s="615"/>
      <c r="AU225" s="615"/>
      <c r="AV225" s="615"/>
      <c r="AW225" s="615"/>
      <c r="AX225" s="615"/>
      <c r="AY225" s="616"/>
      <c r="AZ225" s="581"/>
      <c r="BA225" s="581"/>
      <c r="BB225" s="581"/>
      <c r="BC225" s="581"/>
    </row>
    <row r="226" spans="1:55" x14ac:dyDescent="0.25">
      <c r="A226" s="617" t="s">
        <v>55</v>
      </c>
      <c r="B226" s="618" t="s">
        <v>52</v>
      </c>
      <c r="C226" s="619" t="s">
        <v>52</v>
      </c>
      <c r="D226" s="619" t="s">
        <v>52</v>
      </c>
      <c r="E226" s="619" t="s">
        <v>52</v>
      </c>
      <c r="F226" s="620" t="s">
        <v>52</v>
      </c>
      <c r="G226" s="620" t="s">
        <v>52</v>
      </c>
      <c r="H226" s="620" t="s">
        <v>52</v>
      </c>
      <c r="I226" s="406">
        <f>SUM(I216:I225)</f>
        <v>32</v>
      </c>
      <c r="J226" s="621"/>
      <c r="K226" s="622"/>
      <c r="L226" s="622"/>
      <c r="M226" s="622"/>
      <c r="N226" s="622"/>
      <c r="O226" s="622"/>
      <c r="P226" s="623"/>
      <c r="Q226" s="623"/>
      <c r="R226" s="623"/>
      <c r="S226" s="623"/>
      <c r="T226" s="624"/>
      <c r="U226" s="581"/>
      <c r="V226" s="581"/>
      <c r="W226" s="581"/>
      <c r="X226" s="581"/>
      <c r="Y226" s="581"/>
      <c r="Z226" s="581"/>
      <c r="AA226" s="581"/>
      <c r="AB226" s="581"/>
      <c r="AC226" s="581"/>
      <c r="AD226" s="581"/>
      <c r="AE226" s="581"/>
      <c r="AF226" s="581"/>
      <c r="AG226" s="581"/>
      <c r="AH226" s="581"/>
      <c r="AI226" s="581"/>
      <c r="AJ226" s="581"/>
      <c r="AK226" s="581"/>
      <c r="AL226" s="581"/>
      <c r="AM226" s="581"/>
      <c r="AN226" s="581"/>
      <c r="AO226" s="581"/>
      <c r="AP226" s="581"/>
      <c r="AQ226" s="581"/>
      <c r="AR226" s="581"/>
      <c r="AS226" s="581"/>
      <c r="AT226" s="581"/>
      <c r="AU226" s="581"/>
      <c r="AV226" s="581"/>
      <c r="AW226" s="581"/>
      <c r="AX226" s="581"/>
      <c r="AY226" s="581"/>
      <c r="AZ226" s="581"/>
      <c r="BA226" s="581"/>
      <c r="BB226" s="581"/>
      <c r="BC226" s="581"/>
    </row>
    <row r="227" spans="1:55" x14ac:dyDescent="0.25">
      <c r="A227" s="931" t="s">
        <v>46</v>
      </c>
      <c r="B227" s="932"/>
      <c r="C227" s="932"/>
      <c r="D227" s="932"/>
      <c r="E227" s="932"/>
      <c r="F227" s="932"/>
      <c r="G227" s="932"/>
      <c r="H227" s="932"/>
      <c r="I227" s="933"/>
      <c r="J227" s="625"/>
      <c r="K227" s="626"/>
      <c r="L227" s="626"/>
      <c r="M227" s="626"/>
      <c r="N227" s="626"/>
      <c r="O227" s="626"/>
      <c r="P227" s="603"/>
      <c r="Q227" s="603"/>
      <c r="R227" s="603"/>
      <c r="S227" s="603"/>
      <c r="T227" s="604"/>
      <c r="U227" s="581"/>
      <c r="V227" s="581"/>
      <c r="W227" s="581"/>
      <c r="X227" s="581"/>
      <c r="Y227" s="581"/>
      <c r="Z227" s="581"/>
      <c r="AA227" s="581"/>
      <c r="AB227" s="581"/>
      <c r="AC227" s="581"/>
      <c r="AD227" s="581"/>
      <c r="AE227" s="581"/>
      <c r="AF227" s="581"/>
      <c r="AG227" s="581"/>
      <c r="AH227" s="581"/>
      <c r="AI227" s="581"/>
      <c r="AJ227" s="581"/>
      <c r="AK227" s="581"/>
      <c r="AL227" s="581"/>
      <c r="AM227" s="581"/>
      <c r="AN227" s="581"/>
      <c r="AO227" s="581"/>
      <c r="AP227" s="581"/>
      <c r="AQ227" s="581"/>
      <c r="AR227" s="581"/>
      <c r="AS227" s="581"/>
      <c r="AT227" s="581"/>
      <c r="AU227" s="581"/>
      <c r="AV227" s="581"/>
      <c r="AW227" s="581"/>
      <c r="AX227" s="581"/>
      <c r="AY227" s="581"/>
      <c r="AZ227" s="581"/>
      <c r="BA227" s="581"/>
      <c r="BB227" s="581"/>
      <c r="BC227" s="581"/>
    </row>
    <row r="228" spans="1:55" x14ac:dyDescent="0.25">
      <c r="A228" s="690" t="s">
        <v>371</v>
      </c>
      <c r="B228" s="16">
        <v>39</v>
      </c>
      <c r="C228" s="315" t="s">
        <v>44</v>
      </c>
      <c r="D228" s="315">
        <v>4</v>
      </c>
      <c r="E228" s="394" t="s">
        <v>69</v>
      </c>
      <c r="F228" s="319">
        <v>705</v>
      </c>
      <c r="G228" s="357">
        <v>705</v>
      </c>
      <c r="H228" s="357">
        <v>100</v>
      </c>
      <c r="I228" s="405">
        <f>6+1</f>
        <v>7</v>
      </c>
      <c r="J228" s="607">
        <f>ROUND(G228*(1+'29_01_H_2020'!$F$14),2)</f>
        <v>775.5</v>
      </c>
      <c r="K228" s="608">
        <f t="shared" ref="K228" si="272">IF(J228&lt;=F228,J228,F228)</f>
        <v>705</v>
      </c>
      <c r="L228" s="608">
        <f t="shared" ref="L228" si="273">K228-G228</f>
        <v>0</v>
      </c>
      <c r="M228" s="608">
        <f t="shared" ref="M228" si="274">J228-K228</f>
        <v>70.5</v>
      </c>
      <c r="N228" s="608">
        <f t="shared" ref="N228" si="275">ROUND(H228/G228*K228-H228,2)</f>
        <v>0</v>
      </c>
      <c r="O228" s="608">
        <f t="shared" ref="O228" si="276">ROUND(H228/G228*J228-H228-N228,2)</f>
        <v>10</v>
      </c>
      <c r="P228" s="609">
        <f t="shared" ref="P228:P231" si="277">L228+M228+N228+O228</f>
        <v>80.5</v>
      </c>
      <c r="Q228" s="609">
        <f>P228*I228</f>
        <v>563.5</v>
      </c>
      <c r="R228" s="609">
        <f t="shared" ref="R228:R231" si="278">Q228*12</f>
        <v>6762</v>
      </c>
      <c r="S228" s="609">
        <f t="shared" ref="S228:S231" si="279">ROUND(R228*0.2409,2)</f>
        <v>1628.97</v>
      </c>
      <c r="T228" s="610">
        <f t="shared" ref="T228" si="280">SUM(R228:S228)</f>
        <v>8390.9699999999993</v>
      </c>
      <c r="U228" s="611"/>
      <c r="V228" s="612"/>
      <c r="W228" s="613"/>
      <c r="X228" s="614"/>
      <c r="Y228" s="614"/>
      <c r="Z228" s="581"/>
      <c r="AA228" s="581"/>
      <c r="AB228" s="615"/>
      <c r="AC228" s="615"/>
      <c r="AD228" s="615"/>
      <c r="AE228" s="615"/>
      <c r="AF228" s="615"/>
      <c r="AG228" s="615"/>
      <c r="AH228" s="615"/>
      <c r="AI228" s="615"/>
      <c r="AJ228" s="615"/>
      <c r="AK228" s="615"/>
      <c r="AL228" s="616"/>
      <c r="AM228" s="581"/>
      <c r="AN228" s="581"/>
      <c r="AO228" s="615"/>
      <c r="AP228" s="615"/>
      <c r="AQ228" s="615"/>
      <c r="AR228" s="615"/>
      <c r="AS228" s="615"/>
      <c r="AT228" s="615"/>
      <c r="AU228" s="615"/>
      <c r="AV228" s="615"/>
      <c r="AW228" s="615"/>
      <c r="AX228" s="615"/>
      <c r="AY228" s="616"/>
      <c r="AZ228" s="581"/>
      <c r="BA228" s="581"/>
      <c r="BB228" s="581"/>
      <c r="BC228" s="581"/>
    </row>
    <row r="229" spans="1:55" x14ac:dyDescent="0.25">
      <c r="A229" s="57" t="s">
        <v>372</v>
      </c>
      <c r="B229" s="680">
        <v>39</v>
      </c>
      <c r="C229" s="605" t="s">
        <v>295</v>
      </c>
      <c r="D229" s="317">
        <v>5</v>
      </c>
      <c r="E229" s="317">
        <v>3</v>
      </c>
      <c r="F229" s="319">
        <v>802</v>
      </c>
      <c r="G229" s="357">
        <v>720</v>
      </c>
      <c r="H229" s="357">
        <v>92</v>
      </c>
      <c r="I229" s="405">
        <v>5</v>
      </c>
      <c r="J229" s="607">
        <f>ROUND(G229*(1+'29_01_H_2020'!$F$14),2)</f>
        <v>792</v>
      </c>
      <c r="K229" s="608">
        <f t="shared" ref="K229:K231" si="281">IF(J229&lt;=F229,J229,F229)</f>
        <v>792</v>
      </c>
      <c r="L229" s="608">
        <f t="shared" ref="L229:L231" si="282">K229-G229</f>
        <v>72</v>
      </c>
      <c r="M229" s="608">
        <f t="shared" ref="M229:M231" si="283">J229-K229</f>
        <v>0</v>
      </c>
      <c r="N229" s="608">
        <f t="shared" ref="N229:N231" si="284">ROUND(H229/G229*K229-H229,2)</f>
        <v>9.1999999999999993</v>
      </c>
      <c r="O229" s="608">
        <f t="shared" ref="O229:O231" si="285">ROUND(H229/G229*J229-H229-N229,2)</f>
        <v>0</v>
      </c>
      <c r="P229" s="609">
        <f t="shared" si="277"/>
        <v>81.2</v>
      </c>
      <c r="Q229" s="609">
        <f>P229*I229</f>
        <v>406</v>
      </c>
      <c r="R229" s="609">
        <f t="shared" si="278"/>
        <v>4872</v>
      </c>
      <c r="S229" s="609">
        <f t="shared" si="279"/>
        <v>1173.6600000000001</v>
      </c>
      <c r="T229" s="610">
        <f t="shared" ref="T229:T231" si="286">SUM(R229:S229)</f>
        <v>6045.66</v>
      </c>
      <c r="U229" s="611"/>
      <c r="V229" s="612"/>
      <c r="W229" s="613"/>
      <c r="X229" s="614"/>
      <c r="Y229" s="614"/>
      <c r="Z229" s="581"/>
      <c r="AA229" s="581"/>
      <c r="AB229" s="615"/>
      <c r="AC229" s="615"/>
      <c r="AD229" s="615"/>
      <c r="AE229" s="615"/>
      <c r="AF229" s="615"/>
      <c r="AG229" s="615"/>
      <c r="AH229" s="615"/>
      <c r="AI229" s="615"/>
      <c r="AJ229" s="615"/>
      <c r="AK229" s="615"/>
      <c r="AL229" s="616"/>
      <c r="AM229" s="581"/>
      <c r="AN229" s="581"/>
      <c r="AO229" s="615"/>
      <c r="AP229" s="615"/>
      <c r="AQ229" s="615"/>
      <c r="AR229" s="615"/>
      <c r="AS229" s="615"/>
      <c r="AT229" s="615"/>
      <c r="AU229" s="615"/>
      <c r="AV229" s="615"/>
      <c r="AW229" s="615"/>
      <c r="AX229" s="615"/>
      <c r="AY229" s="616"/>
      <c r="AZ229" s="581"/>
      <c r="BA229" s="581"/>
      <c r="BB229" s="581"/>
      <c r="BC229" s="581"/>
    </row>
    <row r="230" spans="1:55" x14ac:dyDescent="0.25">
      <c r="A230" s="57" t="s">
        <v>51</v>
      </c>
      <c r="B230" s="16" t="s">
        <v>22</v>
      </c>
      <c r="C230" s="605" t="s">
        <v>36</v>
      </c>
      <c r="D230" s="317">
        <v>3</v>
      </c>
      <c r="E230" s="317">
        <v>3</v>
      </c>
      <c r="F230" s="319">
        <v>608</v>
      </c>
      <c r="G230" s="357">
        <v>608</v>
      </c>
      <c r="H230" s="357">
        <v>7</v>
      </c>
      <c r="I230" s="405">
        <v>3</v>
      </c>
      <c r="J230" s="607">
        <f>ROUND(G230*(1+'29_01_H_2020'!$F$14),2)</f>
        <v>668.8</v>
      </c>
      <c r="K230" s="608">
        <f t="shared" si="281"/>
        <v>608</v>
      </c>
      <c r="L230" s="608">
        <f t="shared" si="282"/>
        <v>0</v>
      </c>
      <c r="M230" s="608">
        <f t="shared" si="283"/>
        <v>60.799999999999955</v>
      </c>
      <c r="N230" s="608">
        <f t="shared" si="284"/>
        <v>0</v>
      </c>
      <c r="O230" s="608">
        <f t="shared" si="285"/>
        <v>0.7</v>
      </c>
      <c r="P230" s="609">
        <f t="shared" si="277"/>
        <v>61.499999999999957</v>
      </c>
      <c r="Q230" s="609">
        <f>P230*I230</f>
        <v>184.49999999999989</v>
      </c>
      <c r="R230" s="609">
        <f t="shared" si="278"/>
        <v>2213.9999999999986</v>
      </c>
      <c r="S230" s="609">
        <f t="shared" si="279"/>
        <v>533.35</v>
      </c>
      <c r="T230" s="610">
        <f t="shared" si="286"/>
        <v>2747.3499999999985</v>
      </c>
      <c r="U230" s="611"/>
      <c r="V230" s="612"/>
      <c r="W230" s="613"/>
      <c r="X230" s="614"/>
      <c r="Y230" s="614"/>
      <c r="Z230" s="581"/>
      <c r="AA230" s="581"/>
      <c r="AB230" s="615"/>
      <c r="AC230" s="615"/>
      <c r="AD230" s="615"/>
      <c r="AE230" s="615"/>
      <c r="AF230" s="615"/>
      <c r="AG230" s="615"/>
      <c r="AH230" s="615"/>
      <c r="AI230" s="615"/>
      <c r="AJ230" s="615"/>
      <c r="AK230" s="615"/>
      <c r="AL230" s="616"/>
      <c r="AM230" s="581"/>
      <c r="AN230" s="581"/>
      <c r="AO230" s="615"/>
      <c r="AP230" s="615"/>
      <c r="AQ230" s="615"/>
      <c r="AR230" s="615"/>
      <c r="AS230" s="615"/>
      <c r="AT230" s="615"/>
      <c r="AU230" s="615"/>
      <c r="AV230" s="615"/>
      <c r="AW230" s="615"/>
      <c r="AX230" s="615"/>
      <c r="AY230" s="616"/>
      <c r="AZ230" s="581"/>
      <c r="BA230" s="581"/>
      <c r="BB230" s="581"/>
      <c r="BC230" s="581"/>
    </row>
    <row r="231" spans="1:55" x14ac:dyDescent="0.25">
      <c r="A231" s="57" t="s">
        <v>373</v>
      </c>
      <c r="B231" s="680">
        <v>39</v>
      </c>
      <c r="C231" s="605" t="s">
        <v>295</v>
      </c>
      <c r="D231" s="317">
        <v>5</v>
      </c>
      <c r="E231" s="317">
        <v>3</v>
      </c>
      <c r="F231" s="319">
        <v>802</v>
      </c>
      <c r="G231" s="357">
        <v>802</v>
      </c>
      <c r="H231" s="357"/>
      <c r="I231" s="405">
        <v>2</v>
      </c>
      <c r="J231" s="607">
        <f>ROUND(G231*(1+'29_01_H_2020'!$F$14),2)</f>
        <v>882.2</v>
      </c>
      <c r="K231" s="608">
        <f t="shared" si="281"/>
        <v>802</v>
      </c>
      <c r="L231" s="608">
        <f t="shared" si="282"/>
        <v>0</v>
      </c>
      <c r="M231" s="608">
        <f t="shared" si="283"/>
        <v>80.200000000000045</v>
      </c>
      <c r="N231" s="608">
        <f t="shared" si="284"/>
        <v>0</v>
      </c>
      <c r="O231" s="608">
        <f t="shared" si="285"/>
        <v>0</v>
      </c>
      <c r="P231" s="609">
        <f t="shared" si="277"/>
        <v>80.200000000000045</v>
      </c>
      <c r="Q231" s="609">
        <f>P231*I231</f>
        <v>160.40000000000009</v>
      </c>
      <c r="R231" s="609">
        <f t="shared" si="278"/>
        <v>1924.8000000000011</v>
      </c>
      <c r="S231" s="609">
        <f t="shared" si="279"/>
        <v>463.68</v>
      </c>
      <c r="T231" s="610">
        <f t="shared" si="286"/>
        <v>2388.4800000000009</v>
      </c>
      <c r="U231" s="611"/>
      <c r="V231" s="612"/>
      <c r="W231" s="613"/>
      <c r="X231" s="614"/>
      <c r="Y231" s="614"/>
      <c r="Z231" s="581"/>
      <c r="AA231" s="581"/>
      <c r="AB231" s="615"/>
      <c r="AC231" s="615"/>
      <c r="AD231" s="615"/>
      <c r="AE231" s="615"/>
      <c r="AF231" s="615"/>
      <c r="AG231" s="615"/>
      <c r="AH231" s="615"/>
      <c r="AI231" s="615"/>
      <c r="AJ231" s="615"/>
      <c r="AK231" s="615"/>
      <c r="AL231" s="616"/>
      <c r="AM231" s="581"/>
      <c r="AN231" s="581"/>
      <c r="AO231" s="615"/>
      <c r="AP231" s="615"/>
      <c r="AQ231" s="615"/>
      <c r="AR231" s="615"/>
      <c r="AS231" s="615"/>
      <c r="AT231" s="615"/>
      <c r="AU231" s="615"/>
      <c r="AV231" s="615"/>
      <c r="AW231" s="615"/>
      <c r="AX231" s="615"/>
      <c r="AY231" s="616"/>
      <c r="AZ231" s="581"/>
      <c r="BA231" s="581"/>
      <c r="BB231" s="581"/>
      <c r="BC231" s="581"/>
    </row>
    <row r="232" spans="1:55" x14ac:dyDescent="0.25">
      <c r="A232" s="617" t="s">
        <v>55</v>
      </c>
      <c r="B232" s="618" t="s">
        <v>52</v>
      </c>
      <c r="C232" s="619" t="s">
        <v>52</v>
      </c>
      <c r="D232" s="619" t="s">
        <v>52</v>
      </c>
      <c r="E232" s="619" t="s">
        <v>52</v>
      </c>
      <c r="F232" s="620" t="s">
        <v>52</v>
      </c>
      <c r="G232" s="620" t="s">
        <v>52</v>
      </c>
      <c r="H232" s="620" t="s">
        <v>52</v>
      </c>
      <c r="I232" s="406">
        <f>SUM(I228:I231)</f>
        <v>17</v>
      </c>
      <c r="J232" s="621"/>
      <c r="K232" s="622"/>
      <c r="L232" s="622"/>
      <c r="M232" s="622"/>
      <c r="N232" s="622"/>
      <c r="O232" s="622"/>
      <c r="P232" s="623"/>
      <c r="Q232" s="623"/>
      <c r="R232" s="623"/>
      <c r="S232" s="623"/>
      <c r="T232" s="660"/>
      <c r="U232" s="615"/>
      <c r="V232" s="581"/>
      <c r="W232" s="581"/>
      <c r="X232" s="581"/>
      <c r="Y232" s="581"/>
      <c r="Z232" s="581"/>
      <c r="AA232" s="581"/>
      <c r="AB232" s="581"/>
      <c r="AC232" s="581"/>
      <c r="AD232" s="581"/>
      <c r="AE232" s="581"/>
      <c r="AF232" s="581"/>
      <c r="AG232" s="581"/>
      <c r="AH232" s="581"/>
      <c r="AI232" s="615"/>
      <c r="AJ232" s="581"/>
      <c r="AK232" s="581"/>
      <c r="AL232" s="581"/>
      <c r="AM232" s="581"/>
      <c r="AN232" s="581"/>
      <c r="AO232" s="581"/>
      <c r="AP232" s="581"/>
      <c r="AQ232" s="581"/>
      <c r="AR232" s="581"/>
      <c r="AS232" s="581"/>
      <c r="AT232" s="581"/>
      <c r="AU232" s="581"/>
      <c r="AV232" s="615"/>
      <c r="AW232" s="581"/>
      <c r="AX232" s="581"/>
      <c r="AY232" s="581"/>
      <c r="AZ232" s="581"/>
      <c r="BA232" s="581"/>
      <c r="BB232" s="581"/>
      <c r="BC232" s="581"/>
    </row>
    <row r="233" spans="1:55" x14ac:dyDescent="0.25">
      <c r="A233" s="89" t="s">
        <v>374</v>
      </c>
      <c r="B233" s="90"/>
      <c r="C233" s="90"/>
      <c r="D233" s="90"/>
      <c r="E233" s="90"/>
      <c r="F233" s="78"/>
      <c r="G233" s="78"/>
      <c r="H233" s="78"/>
      <c r="I233" s="412">
        <f>I232+I226+I214</f>
        <v>79</v>
      </c>
      <c r="J233" s="662"/>
      <c r="K233" s="663"/>
      <c r="L233" s="663"/>
      <c r="M233" s="663"/>
      <c r="N233" s="663"/>
      <c r="O233" s="663"/>
      <c r="P233" s="664"/>
      <c r="Q233" s="664"/>
      <c r="R233" s="664"/>
      <c r="S233" s="664"/>
      <c r="T233" s="665"/>
      <c r="U233" s="581"/>
      <c r="V233" s="581"/>
      <c r="W233" s="581"/>
      <c r="X233" s="581"/>
      <c r="Y233" s="581"/>
      <c r="Z233" s="581"/>
      <c r="AA233" s="581"/>
      <c r="AB233" s="581"/>
      <c r="AC233" s="581"/>
      <c r="AD233" s="581"/>
      <c r="AE233" s="581"/>
      <c r="AF233" s="581"/>
      <c r="AG233" s="581"/>
      <c r="AH233" s="581"/>
      <c r="AI233" s="581"/>
      <c r="AJ233" s="581"/>
      <c r="AK233" s="581"/>
      <c r="AL233" s="581"/>
      <c r="AM233" s="581"/>
      <c r="AN233" s="581"/>
      <c r="AO233" s="581"/>
      <c r="AP233" s="581"/>
      <c r="AQ233" s="581"/>
      <c r="AR233" s="581"/>
      <c r="AS233" s="581"/>
      <c r="AT233" s="581"/>
      <c r="AU233" s="581"/>
      <c r="AV233" s="581"/>
      <c r="AW233" s="581"/>
      <c r="AX233" s="581"/>
      <c r="AY233" s="581"/>
      <c r="AZ233" s="581"/>
      <c r="BA233" s="581"/>
      <c r="BB233" s="581"/>
      <c r="BC233" s="581"/>
    </row>
    <row r="234" spans="1:55" x14ac:dyDescent="0.25">
      <c r="A234" s="923" t="s">
        <v>375</v>
      </c>
      <c r="B234" s="924"/>
      <c r="C234" s="924"/>
      <c r="D234" s="924"/>
      <c r="E234" s="924"/>
      <c r="F234" s="924"/>
      <c r="G234" s="924"/>
      <c r="H234" s="924"/>
      <c r="I234" s="925"/>
      <c r="J234" s="656"/>
      <c r="K234" s="657"/>
      <c r="L234" s="657"/>
      <c r="M234" s="657"/>
      <c r="N234" s="657"/>
      <c r="O234" s="657"/>
      <c r="P234" s="658"/>
      <c r="Q234" s="658"/>
      <c r="R234" s="658"/>
      <c r="S234" s="658"/>
      <c r="T234" s="659">
        <f>SUM(T236:T241)</f>
        <v>132572.19</v>
      </c>
      <c r="U234" s="581"/>
      <c r="V234" s="581"/>
      <c r="W234" s="581"/>
      <c r="X234" s="581"/>
      <c r="Y234" s="581"/>
      <c r="Z234" s="581"/>
      <c r="AA234" s="581"/>
      <c r="AB234" s="581"/>
      <c r="AC234" s="581"/>
      <c r="AD234" s="581"/>
      <c r="AE234" s="581"/>
      <c r="AF234" s="581"/>
      <c r="AG234" s="581"/>
      <c r="AH234" s="581"/>
      <c r="AI234" s="581"/>
      <c r="AJ234" s="581"/>
      <c r="AK234" s="581"/>
      <c r="AL234" s="581"/>
      <c r="AM234" s="581"/>
      <c r="AN234" s="581"/>
      <c r="AO234" s="581"/>
      <c r="AP234" s="581"/>
      <c r="AQ234" s="581"/>
      <c r="AR234" s="581"/>
      <c r="AS234" s="581"/>
      <c r="AT234" s="581"/>
      <c r="AU234" s="581"/>
      <c r="AV234" s="581"/>
      <c r="AW234" s="581"/>
      <c r="AX234" s="581"/>
      <c r="AY234" s="581"/>
      <c r="AZ234" s="581"/>
      <c r="BA234" s="581"/>
      <c r="BB234" s="581"/>
      <c r="BC234" s="581"/>
    </row>
    <row r="235" spans="1:55" x14ac:dyDescent="0.25">
      <c r="A235" s="912" t="s">
        <v>10</v>
      </c>
      <c r="B235" s="913"/>
      <c r="C235" s="913"/>
      <c r="D235" s="913"/>
      <c r="E235" s="913"/>
      <c r="F235" s="913"/>
      <c r="G235" s="913"/>
      <c r="H235" s="913"/>
      <c r="I235" s="914"/>
      <c r="J235" s="625"/>
      <c r="K235" s="626"/>
      <c r="L235" s="626"/>
      <c r="M235" s="626"/>
      <c r="N235" s="626"/>
      <c r="O235" s="626"/>
      <c r="P235" s="603"/>
      <c r="Q235" s="603"/>
      <c r="R235" s="603"/>
      <c r="S235" s="603"/>
      <c r="T235" s="604"/>
      <c r="U235" s="581"/>
      <c r="V235" s="581"/>
      <c r="W235" s="581"/>
      <c r="X235" s="581"/>
      <c r="Y235" s="581"/>
      <c r="Z235" s="581"/>
      <c r="AA235" s="581"/>
      <c r="AB235" s="581"/>
      <c r="AC235" s="581"/>
      <c r="AD235" s="581"/>
      <c r="AE235" s="581"/>
      <c r="AF235" s="581"/>
      <c r="AG235" s="581"/>
      <c r="AH235" s="581"/>
      <c r="AI235" s="581"/>
      <c r="AJ235" s="581"/>
      <c r="AK235" s="581"/>
      <c r="AL235" s="581"/>
      <c r="AM235" s="581"/>
      <c r="AN235" s="581"/>
      <c r="AO235" s="581"/>
      <c r="AP235" s="581"/>
      <c r="AQ235" s="581"/>
      <c r="AR235" s="581"/>
      <c r="AS235" s="581"/>
      <c r="AT235" s="581"/>
      <c r="AU235" s="581"/>
      <c r="AV235" s="581"/>
      <c r="AW235" s="581"/>
      <c r="AX235" s="581"/>
      <c r="AY235" s="581"/>
      <c r="AZ235" s="581"/>
      <c r="BA235" s="581"/>
      <c r="BB235" s="581"/>
      <c r="BC235" s="581"/>
    </row>
    <row r="236" spans="1:55" x14ac:dyDescent="0.25">
      <c r="A236" s="57" t="s">
        <v>376</v>
      </c>
      <c r="B236" s="691">
        <v>10</v>
      </c>
      <c r="C236" s="605" t="s">
        <v>12</v>
      </c>
      <c r="D236" s="317">
        <v>13</v>
      </c>
      <c r="E236" s="317">
        <v>3</v>
      </c>
      <c r="F236" s="319">
        <v>1917</v>
      </c>
      <c r="G236" s="357">
        <v>1917</v>
      </c>
      <c r="H236" s="357">
        <v>0</v>
      </c>
      <c r="I236" s="405">
        <v>1</v>
      </c>
      <c r="J236" s="607">
        <f>ROUND(G236*(1+'29_01_H_2020'!$F$14),2)</f>
        <v>2108.6999999999998</v>
      </c>
      <c r="K236" s="608">
        <f t="shared" ref="K236" si="287">IF(J236&lt;=F236,J236,F236)</f>
        <v>1917</v>
      </c>
      <c r="L236" s="608">
        <f t="shared" ref="L236" si="288">K236-G236</f>
        <v>0</v>
      </c>
      <c r="M236" s="608">
        <f t="shared" ref="M236" si="289">J236-K236</f>
        <v>191.69999999999982</v>
      </c>
      <c r="N236" s="608">
        <f t="shared" ref="N236" si="290">ROUND(H236/G236*K236-H236,2)</f>
        <v>0</v>
      </c>
      <c r="O236" s="608">
        <f t="shared" ref="O236" si="291">ROUND(H236/G236*J236-H236-N236,2)</f>
        <v>0</v>
      </c>
      <c r="P236" s="609">
        <f t="shared" ref="P236:P241" si="292">L236+M236+N236+O236</f>
        <v>191.69999999999982</v>
      </c>
      <c r="Q236" s="609">
        <f t="shared" ref="Q236:Q241" si="293">P236*I236</f>
        <v>191.69999999999982</v>
      </c>
      <c r="R236" s="609">
        <f t="shared" ref="R236:R241" si="294">Q236*12</f>
        <v>2300.3999999999978</v>
      </c>
      <c r="S236" s="609">
        <f t="shared" ref="S236:S241" si="295">ROUND(R236*0.2409,2)</f>
        <v>554.16999999999996</v>
      </c>
      <c r="T236" s="610">
        <f t="shared" ref="T236" si="296">SUM(R236:S236)</f>
        <v>2854.5699999999979</v>
      </c>
      <c r="U236" s="611"/>
      <c r="V236" s="612"/>
      <c r="W236" s="613"/>
      <c r="X236" s="614"/>
      <c r="Y236" s="614"/>
      <c r="Z236" s="581"/>
      <c r="AA236" s="581"/>
      <c r="AB236" s="615"/>
      <c r="AC236" s="615"/>
      <c r="AD236" s="615"/>
      <c r="AE236" s="615"/>
      <c r="AF236" s="615"/>
      <c r="AG236" s="615"/>
      <c r="AH236" s="615"/>
      <c r="AI236" s="615"/>
      <c r="AJ236" s="615"/>
      <c r="AK236" s="615"/>
      <c r="AL236" s="616"/>
      <c r="AM236" s="581"/>
      <c r="AN236" s="581"/>
      <c r="AO236" s="615"/>
      <c r="AP236" s="615"/>
      <c r="AQ236" s="615"/>
      <c r="AR236" s="615"/>
      <c r="AS236" s="615"/>
      <c r="AT236" s="615"/>
      <c r="AU236" s="615"/>
      <c r="AV236" s="615"/>
      <c r="AW236" s="615"/>
      <c r="AX236" s="615"/>
      <c r="AY236" s="616"/>
      <c r="AZ236" s="581"/>
      <c r="BA236" s="581"/>
      <c r="BB236" s="581"/>
      <c r="BC236" s="581"/>
    </row>
    <row r="237" spans="1:55" x14ac:dyDescent="0.25">
      <c r="A237" s="57" t="s">
        <v>376</v>
      </c>
      <c r="B237" s="691">
        <v>10</v>
      </c>
      <c r="C237" s="605" t="s">
        <v>18</v>
      </c>
      <c r="D237" s="317">
        <v>12</v>
      </c>
      <c r="E237" s="317">
        <v>3</v>
      </c>
      <c r="F237" s="319">
        <v>1647</v>
      </c>
      <c r="G237" s="357">
        <v>1600</v>
      </c>
      <c r="H237" s="357">
        <v>0</v>
      </c>
      <c r="I237" s="405">
        <v>1</v>
      </c>
      <c r="J237" s="607">
        <f>ROUND(G237*(1+'29_01_H_2020'!$F$14),2)</f>
        <v>1760</v>
      </c>
      <c r="K237" s="608">
        <f t="shared" ref="K237:K241" si="297">IF(J237&lt;=F237,J237,F237)</f>
        <v>1647</v>
      </c>
      <c r="L237" s="608">
        <f t="shared" ref="L237:L241" si="298">K237-G237</f>
        <v>47</v>
      </c>
      <c r="M237" s="608">
        <f t="shared" ref="M237:M241" si="299">J237-K237</f>
        <v>113</v>
      </c>
      <c r="N237" s="608">
        <f t="shared" ref="N237:N241" si="300">ROUND(H237/G237*K237-H237,2)</f>
        <v>0</v>
      </c>
      <c r="O237" s="608">
        <f t="shared" ref="O237:O241" si="301">ROUND(H237/G237*J237-H237-N237,2)</f>
        <v>0</v>
      </c>
      <c r="P237" s="609">
        <f t="shared" si="292"/>
        <v>160</v>
      </c>
      <c r="Q237" s="609">
        <f t="shared" si="293"/>
        <v>160</v>
      </c>
      <c r="R237" s="609">
        <f t="shared" si="294"/>
        <v>1920</v>
      </c>
      <c r="S237" s="609">
        <f t="shared" si="295"/>
        <v>462.53</v>
      </c>
      <c r="T237" s="610">
        <f t="shared" ref="T237:T241" si="302">SUM(R237:S237)</f>
        <v>2382.5299999999997</v>
      </c>
      <c r="U237" s="611"/>
      <c r="V237" s="612"/>
      <c r="W237" s="613"/>
      <c r="X237" s="614"/>
      <c r="Y237" s="614"/>
      <c r="Z237" s="581"/>
      <c r="AA237" s="581"/>
      <c r="AB237" s="615"/>
      <c r="AC237" s="615"/>
      <c r="AD237" s="615"/>
      <c r="AE237" s="615"/>
      <c r="AF237" s="615"/>
      <c r="AG237" s="615"/>
      <c r="AH237" s="615"/>
      <c r="AI237" s="615"/>
      <c r="AJ237" s="615"/>
      <c r="AK237" s="615"/>
      <c r="AL237" s="616"/>
      <c r="AM237" s="581"/>
      <c r="AN237" s="581"/>
      <c r="AO237" s="615"/>
      <c r="AP237" s="615"/>
      <c r="AQ237" s="615"/>
      <c r="AR237" s="615"/>
      <c r="AS237" s="615"/>
      <c r="AT237" s="615"/>
      <c r="AU237" s="615"/>
      <c r="AV237" s="615"/>
      <c r="AW237" s="615"/>
      <c r="AX237" s="615"/>
      <c r="AY237" s="616"/>
      <c r="AZ237" s="581"/>
      <c r="BA237" s="581"/>
      <c r="BB237" s="581"/>
      <c r="BC237" s="581"/>
    </row>
    <row r="238" spans="1:55" ht="26.25" x14ac:dyDescent="0.25">
      <c r="A238" s="156" t="s">
        <v>377</v>
      </c>
      <c r="B238" s="691">
        <v>10</v>
      </c>
      <c r="C238" s="605" t="s">
        <v>18</v>
      </c>
      <c r="D238" s="317">
        <v>12</v>
      </c>
      <c r="E238" s="317">
        <v>3</v>
      </c>
      <c r="F238" s="319">
        <v>1647</v>
      </c>
      <c r="G238" s="357">
        <v>1647</v>
      </c>
      <c r="H238" s="357">
        <v>0</v>
      </c>
      <c r="I238" s="405">
        <v>1</v>
      </c>
      <c r="J238" s="607">
        <f>ROUND(G238*(1+'29_01_H_2020'!$F$14),2)</f>
        <v>1811.7</v>
      </c>
      <c r="K238" s="608">
        <f t="shared" si="297"/>
        <v>1647</v>
      </c>
      <c r="L238" s="608">
        <f t="shared" si="298"/>
        <v>0</v>
      </c>
      <c r="M238" s="608">
        <f t="shared" si="299"/>
        <v>164.70000000000005</v>
      </c>
      <c r="N238" s="608">
        <f t="shared" si="300"/>
        <v>0</v>
      </c>
      <c r="O238" s="608">
        <f t="shared" si="301"/>
        <v>0</v>
      </c>
      <c r="P238" s="609">
        <f t="shared" si="292"/>
        <v>164.70000000000005</v>
      </c>
      <c r="Q238" s="609">
        <f t="shared" si="293"/>
        <v>164.70000000000005</v>
      </c>
      <c r="R238" s="609">
        <f t="shared" si="294"/>
        <v>1976.4000000000005</v>
      </c>
      <c r="S238" s="609">
        <f t="shared" si="295"/>
        <v>476.11</v>
      </c>
      <c r="T238" s="610">
        <f t="shared" si="302"/>
        <v>2452.5100000000007</v>
      </c>
      <c r="U238" s="611"/>
      <c r="V238" s="612"/>
      <c r="W238" s="613"/>
      <c r="X238" s="614"/>
      <c r="Y238" s="614"/>
      <c r="Z238" s="581"/>
      <c r="AA238" s="581"/>
      <c r="AB238" s="615"/>
      <c r="AC238" s="615"/>
      <c r="AD238" s="615"/>
      <c r="AE238" s="615"/>
      <c r="AF238" s="615"/>
      <c r="AG238" s="615"/>
      <c r="AH238" s="615"/>
      <c r="AI238" s="615"/>
      <c r="AJ238" s="615"/>
      <c r="AK238" s="615"/>
      <c r="AL238" s="616"/>
      <c r="AM238" s="581"/>
      <c r="AN238" s="581"/>
      <c r="AO238" s="615"/>
      <c r="AP238" s="615"/>
      <c r="AQ238" s="615"/>
      <c r="AR238" s="615"/>
      <c r="AS238" s="615"/>
      <c r="AT238" s="615"/>
      <c r="AU238" s="615"/>
      <c r="AV238" s="615"/>
      <c r="AW238" s="615"/>
      <c r="AX238" s="615"/>
      <c r="AY238" s="616"/>
      <c r="AZ238" s="581"/>
      <c r="BA238" s="581"/>
      <c r="BB238" s="581"/>
      <c r="BC238" s="581"/>
    </row>
    <row r="239" spans="1:55" ht="26.25" x14ac:dyDescent="0.25">
      <c r="A239" s="156" t="s">
        <v>377</v>
      </c>
      <c r="B239" s="691">
        <v>10</v>
      </c>
      <c r="C239" s="605" t="s">
        <v>18</v>
      </c>
      <c r="D239" s="317">
        <v>12</v>
      </c>
      <c r="E239" s="317">
        <v>3</v>
      </c>
      <c r="F239" s="319">
        <v>1647</v>
      </c>
      <c r="G239" s="357">
        <v>1600</v>
      </c>
      <c r="H239" s="357">
        <v>0</v>
      </c>
      <c r="I239" s="405">
        <v>9</v>
      </c>
      <c r="J239" s="607">
        <f>ROUND(G239*(1+'29_01_H_2020'!$F$14),2)</f>
        <v>1760</v>
      </c>
      <c r="K239" s="608">
        <f t="shared" si="297"/>
        <v>1647</v>
      </c>
      <c r="L239" s="608">
        <f t="shared" si="298"/>
        <v>47</v>
      </c>
      <c r="M239" s="608">
        <f t="shared" si="299"/>
        <v>113</v>
      </c>
      <c r="N239" s="608">
        <f t="shared" si="300"/>
        <v>0</v>
      </c>
      <c r="O239" s="608">
        <f t="shared" si="301"/>
        <v>0</v>
      </c>
      <c r="P239" s="609">
        <f t="shared" si="292"/>
        <v>160</v>
      </c>
      <c r="Q239" s="609">
        <f t="shared" si="293"/>
        <v>1440</v>
      </c>
      <c r="R239" s="609">
        <f t="shared" si="294"/>
        <v>17280</v>
      </c>
      <c r="S239" s="609">
        <f t="shared" si="295"/>
        <v>4162.75</v>
      </c>
      <c r="T239" s="610">
        <f t="shared" si="302"/>
        <v>21442.75</v>
      </c>
      <c r="U239" s="611"/>
      <c r="V239" s="612"/>
      <c r="W239" s="613"/>
      <c r="X239" s="614"/>
      <c r="Y239" s="614"/>
      <c r="Z239" s="581"/>
      <c r="AA239" s="581"/>
      <c r="AB239" s="615"/>
      <c r="AC239" s="615"/>
      <c r="AD239" s="615"/>
      <c r="AE239" s="615"/>
      <c r="AF239" s="615"/>
      <c r="AG239" s="615"/>
      <c r="AH239" s="615"/>
      <c r="AI239" s="615"/>
      <c r="AJ239" s="615"/>
      <c r="AK239" s="615"/>
      <c r="AL239" s="616"/>
      <c r="AM239" s="581"/>
      <c r="AN239" s="581"/>
      <c r="AO239" s="615"/>
      <c r="AP239" s="615"/>
      <c r="AQ239" s="615"/>
      <c r="AR239" s="615"/>
      <c r="AS239" s="615"/>
      <c r="AT239" s="615"/>
      <c r="AU239" s="615"/>
      <c r="AV239" s="615"/>
      <c r="AW239" s="615"/>
      <c r="AX239" s="615"/>
      <c r="AY239" s="616"/>
      <c r="AZ239" s="581"/>
      <c r="BA239" s="581"/>
      <c r="BB239" s="581"/>
      <c r="BC239" s="581"/>
    </row>
    <row r="240" spans="1:55" x14ac:dyDescent="0.25">
      <c r="A240" s="156" t="s">
        <v>378</v>
      </c>
      <c r="B240" s="691">
        <v>10</v>
      </c>
      <c r="C240" s="605" t="s">
        <v>18</v>
      </c>
      <c r="D240" s="317">
        <v>12</v>
      </c>
      <c r="E240" s="317">
        <v>3</v>
      </c>
      <c r="F240" s="319">
        <v>1647</v>
      </c>
      <c r="G240" s="357">
        <v>1550</v>
      </c>
      <c r="H240" s="357">
        <v>0</v>
      </c>
      <c r="I240" s="405">
        <v>12.6</v>
      </c>
      <c r="J240" s="607">
        <f>ROUND(G240*(1+'29_01_H_2020'!$F$14),2)</f>
        <v>1705</v>
      </c>
      <c r="K240" s="608">
        <f t="shared" si="297"/>
        <v>1647</v>
      </c>
      <c r="L240" s="608">
        <f t="shared" si="298"/>
        <v>97</v>
      </c>
      <c r="M240" s="608">
        <f t="shared" si="299"/>
        <v>58</v>
      </c>
      <c r="N240" s="608">
        <f t="shared" si="300"/>
        <v>0</v>
      </c>
      <c r="O240" s="608">
        <f t="shared" si="301"/>
        <v>0</v>
      </c>
      <c r="P240" s="609">
        <f t="shared" si="292"/>
        <v>155</v>
      </c>
      <c r="Q240" s="609">
        <f t="shared" si="293"/>
        <v>1953</v>
      </c>
      <c r="R240" s="609">
        <f t="shared" si="294"/>
        <v>23436</v>
      </c>
      <c r="S240" s="609">
        <f t="shared" si="295"/>
        <v>5645.73</v>
      </c>
      <c r="T240" s="610">
        <f t="shared" si="302"/>
        <v>29081.73</v>
      </c>
      <c r="U240" s="611"/>
      <c r="V240" s="612"/>
      <c r="W240" s="613"/>
      <c r="X240" s="614"/>
      <c r="Y240" s="614"/>
      <c r="Z240" s="581"/>
      <c r="AA240" s="581"/>
      <c r="AB240" s="615"/>
      <c r="AC240" s="615"/>
      <c r="AD240" s="615"/>
      <c r="AE240" s="615"/>
      <c r="AF240" s="615"/>
      <c r="AG240" s="615"/>
      <c r="AH240" s="615"/>
      <c r="AI240" s="615"/>
      <c r="AJ240" s="615"/>
      <c r="AK240" s="615"/>
      <c r="AL240" s="616"/>
      <c r="AM240" s="581"/>
      <c r="AN240" s="581"/>
      <c r="AO240" s="615"/>
      <c r="AP240" s="615"/>
      <c r="AQ240" s="615"/>
      <c r="AR240" s="615"/>
      <c r="AS240" s="615"/>
      <c r="AT240" s="615"/>
      <c r="AU240" s="615"/>
      <c r="AV240" s="615"/>
      <c r="AW240" s="615"/>
      <c r="AX240" s="615"/>
      <c r="AY240" s="616"/>
      <c r="AZ240" s="581"/>
      <c r="BA240" s="581"/>
      <c r="BB240" s="581"/>
      <c r="BC240" s="581"/>
    </row>
    <row r="241" spans="1:57" x14ac:dyDescent="0.25">
      <c r="A241" s="156" t="s">
        <v>379</v>
      </c>
      <c r="B241" s="692">
        <v>10</v>
      </c>
      <c r="C241" s="317" t="s">
        <v>25</v>
      </c>
      <c r="D241" s="317">
        <v>10</v>
      </c>
      <c r="E241" s="317">
        <v>3</v>
      </c>
      <c r="F241" s="319">
        <v>1287</v>
      </c>
      <c r="G241" s="357">
        <v>1287</v>
      </c>
      <c r="H241" s="357">
        <v>0</v>
      </c>
      <c r="I241" s="405">
        <v>38.799999999999997</v>
      </c>
      <c r="J241" s="607">
        <f>ROUND(G241*(1+'29_01_H_2020'!$F$14),2)</f>
        <v>1415.7</v>
      </c>
      <c r="K241" s="608">
        <f t="shared" si="297"/>
        <v>1287</v>
      </c>
      <c r="L241" s="608">
        <f t="shared" si="298"/>
        <v>0</v>
      </c>
      <c r="M241" s="608">
        <f t="shared" si="299"/>
        <v>128.70000000000005</v>
      </c>
      <c r="N241" s="608">
        <f t="shared" si="300"/>
        <v>0</v>
      </c>
      <c r="O241" s="608">
        <f t="shared" si="301"/>
        <v>0</v>
      </c>
      <c r="P241" s="609">
        <f t="shared" si="292"/>
        <v>128.70000000000005</v>
      </c>
      <c r="Q241" s="609">
        <f t="shared" si="293"/>
        <v>4993.5600000000013</v>
      </c>
      <c r="R241" s="609">
        <f t="shared" si="294"/>
        <v>59922.720000000016</v>
      </c>
      <c r="S241" s="609">
        <f t="shared" si="295"/>
        <v>14435.38</v>
      </c>
      <c r="T241" s="610">
        <f t="shared" si="302"/>
        <v>74358.10000000002</v>
      </c>
      <c r="U241" s="611"/>
      <c r="V241" s="612"/>
      <c r="W241" s="613"/>
      <c r="X241" s="614"/>
      <c r="Y241" s="614"/>
      <c r="Z241" s="581"/>
      <c r="AA241" s="581"/>
      <c r="AB241" s="615"/>
      <c r="AC241" s="615"/>
      <c r="AD241" s="615"/>
      <c r="AE241" s="615"/>
      <c r="AF241" s="615"/>
      <c r="AG241" s="615"/>
      <c r="AH241" s="615"/>
      <c r="AI241" s="615"/>
      <c r="AJ241" s="615"/>
      <c r="AK241" s="615"/>
      <c r="AL241" s="616"/>
      <c r="AM241" s="581"/>
      <c r="AN241" s="581"/>
      <c r="AO241" s="615"/>
      <c r="AP241" s="615"/>
      <c r="AQ241" s="615"/>
      <c r="AR241" s="615"/>
      <c r="AS241" s="615"/>
      <c r="AT241" s="615"/>
      <c r="AU241" s="615"/>
      <c r="AV241" s="615"/>
      <c r="AW241" s="615"/>
      <c r="AX241" s="615"/>
      <c r="AY241" s="616"/>
      <c r="AZ241" s="581"/>
      <c r="BA241" s="581"/>
      <c r="BB241" s="581"/>
      <c r="BC241" s="581"/>
    </row>
    <row r="242" spans="1:57" ht="15.75" thickBot="1" x14ac:dyDescent="0.3">
      <c r="A242" s="693" t="s">
        <v>55</v>
      </c>
      <c r="B242" s="694" t="s">
        <v>52</v>
      </c>
      <c r="C242" s="695" t="s">
        <v>52</v>
      </c>
      <c r="D242" s="695" t="s">
        <v>52</v>
      </c>
      <c r="E242" s="695" t="s">
        <v>52</v>
      </c>
      <c r="F242" s="696" t="s">
        <v>52</v>
      </c>
      <c r="G242" s="696" t="s">
        <v>52</v>
      </c>
      <c r="H242" s="696" t="s">
        <v>52</v>
      </c>
      <c r="I242" s="413">
        <f>SUM(I236:I241)</f>
        <v>63.4</v>
      </c>
      <c r="J242" s="621"/>
      <c r="K242" s="622"/>
      <c r="L242" s="622"/>
      <c r="M242" s="622"/>
      <c r="N242" s="622"/>
      <c r="O242" s="622"/>
      <c r="P242" s="623"/>
      <c r="Q242" s="623"/>
      <c r="R242" s="623"/>
      <c r="S242" s="623"/>
      <c r="T242" s="660"/>
      <c r="U242" s="615"/>
      <c r="V242" s="581"/>
      <c r="W242" s="581"/>
      <c r="X242" s="581"/>
      <c r="Y242" s="581"/>
      <c r="Z242" s="581"/>
      <c r="AA242" s="581"/>
      <c r="AB242" s="581"/>
      <c r="AC242" s="581"/>
      <c r="AD242" s="581"/>
      <c r="AE242" s="581"/>
      <c r="AF242" s="581"/>
      <c r="AG242" s="581"/>
      <c r="AH242" s="581"/>
      <c r="AI242" s="615"/>
      <c r="AJ242" s="581"/>
      <c r="AK242" s="581"/>
      <c r="AL242" s="581"/>
      <c r="AM242" s="581"/>
      <c r="AN242" s="581"/>
      <c r="AO242" s="581"/>
      <c r="AP242" s="581"/>
      <c r="AQ242" s="581"/>
      <c r="AR242" s="581"/>
      <c r="AS242" s="581"/>
      <c r="AT242" s="581"/>
      <c r="AU242" s="581"/>
      <c r="AV242" s="615"/>
      <c r="AW242" s="581"/>
      <c r="AX242" s="581"/>
      <c r="AY242" s="581"/>
      <c r="AZ242" s="581"/>
      <c r="BA242" s="581"/>
      <c r="BB242" s="581"/>
      <c r="BC242" s="581"/>
    </row>
    <row r="243" spans="1:57" x14ac:dyDescent="0.25">
      <c r="A243" s="92" t="s">
        <v>380</v>
      </c>
      <c r="B243" s="91"/>
      <c r="C243" s="91"/>
      <c r="D243" s="91"/>
      <c r="E243" s="91"/>
      <c r="F243" s="87"/>
      <c r="G243" s="87"/>
      <c r="H243" s="87"/>
      <c r="I243" s="414">
        <f>I242</f>
        <v>63.4</v>
      </c>
      <c r="J243" s="662"/>
      <c r="K243" s="663"/>
      <c r="L243" s="663"/>
      <c r="M243" s="663"/>
      <c r="N243" s="663"/>
      <c r="O243" s="663"/>
      <c r="P243" s="664"/>
      <c r="Q243" s="664"/>
      <c r="R243" s="664"/>
      <c r="S243" s="664"/>
      <c r="T243" s="697"/>
      <c r="U243" s="640"/>
      <c r="V243" s="581"/>
      <c r="W243" s="581"/>
      <c r="X243" s="640"/>
      <c r="Y243" s="640"/>
      <c r="Z243" s="581"/>
      <c r="AA243" s="581"/>
      <c r="AB243" s="581"/>
      <c r="AC243" s="581"/>
      <c r="AD243" s="581"/>
      <c r="AE243" s="581"/>
      <c r="AF243" s="581"/>
      <c r="AG243" s="581"/>
      <c r="AH243" s="581"/>
      <c r="AI243" s="640"/>
      <c r="AJ243" s="640"/>
      <c r="AK243" s="640"/>
      <c r="AL243" s="581"/>
      <c r="AM243" s="581"/>
      <c r="AN243" s="581"/>
      <c r="AO243" s="581"/>
      <c r="AP243" s="581"/>
      <c r="AQ243" s="581"/>
      <c r="AR243" s="581"/>
      <c r="AS243" s="581"/>
      <c r="AT243" s="581"/>
      <c r="AU243" s="581"/>
      <c r="AV243" s="640"/>
      <c r="AW243" s="640"/>
      <c r="AX243" s="640"/>
      <c r="AY243" s="581"/>
      <c r="AZ243" s="581"/>
      <c r="BA243" s="581"/>
      <c r="BB243" s="581"/>
      <c r="BC243" s="581"/>
    </row>
    <row r="244" spans="1:57" x14ac:dyDescent="0.25">
      <c r="A244" s="940" t="s">
        <v>10</v>
      </c>
      <c r="B244" s="941"/>
      <c r="C244" s="941"/>
      <c r="D244" s="79"/>
      <c r="E244" s="79"/>
      <c r="F244" s="80"/>
      <c r="G244" s="81"/>
      <c r="H244" s="82"/>
      <c r="I244" s="415">
        <f>I74+I83+I112+I132+I164+I183+I214+I242</f>
        <v>162.75</v>
      </c>
      <c r="J244" s="698"/>
      <c r="K244" s="699"/>
      <c r="L244" s="699"/>
      <c r="M244" s="699"/>
      <c r="N244" s="699"/>
      <c r="O244" s="699"/>
      <c r="P244" s="700"/>
      <c r="Q244" s="700"/>
      <c r="R244" s="700"/>
      <c r="S244" s="700"/>
      <c r="T244" s="701"/>
      <c r="U244" s="640"/>
      <c r="V244" s="581"/>
      <c r="W244" s="581"/>
      <c r="X244" s="641"/>
      <c r="Y244" s="651"/>
      <c r="Z244" s="581"/>
      <c r="AA244" s="581"/>
      <c r="AB244" s="581"/>
      <c r="AC244" s="581"/>
      <c r="AD244" s="581"/>
      <c r="AE244" s="581"/>
      <c r="AF244" s="581"/>
      <c r="AG244" s="581"/>
      <c r="AH244" s="581"/>
      <c r="AI244" s="581"/>
      <c r="AJ244" s="641"/>
      <c r="AK244" s="651"/>
      <c r="AL244" s="581"/>
      <c r="AM244" s="581"/>
      <c r="AN244" s="581"/>
      <c r="AO244" s="581"/>
      <c r="AP244" s="581"/>
      <c r="AQ244" s="581"/>
      <c r="AR244" s="581"/>
      <c r="AS244" s="581"/>
      <c r="AT244" s="581"/>
      <c r="AU244" s="581"/>
      <c r="AV244" s="581"/>
      <c r="AW244" s="641"/>
      <c r="AX244" s="651"/>
      <c r="AY244" s="581"/>
      <c r="AZ244" s="581"/>
      <c r="BA244" s="581"/>
      <c r="BB244" s="581"/>
      <c r="BC244" s="581"/>
    </row>
    <row r="245" spans="1:57" x14ac:dyDescent="0.25">
      <c r="A245" s="940" t="s">
        <v>27</v>
      </c>
      <c r="B245" s="941"/>
      <c r="C245" s="941"/>
      <c r="D245" s="79"/>
      <c r="E245" s="79"/>
      <c r="F245" s="80"/>
      <c r="G245" s="81"/>
      <c r="H245" s="82"/>
      <c r="I245" s="415">
        <f>I89+I124+I142+I178+I191+I226</f>
        <v>292.14999999999998</v>
      </c>
      <c r="J245" s="698"/>
      <c r="K245" s="699"/>
      <c r="L245" s="699"/>
      <c r="M245" s="699"/>
      <c r="N245" s="699"/>
      <c r="O245" s="699"/>
      <c r="P245" s="700"/>
      <c r="Q245" s="700"/>
      <c r="R245" s="700"/>
      <c r="S245" s="700"/>
      <c r="T245" s="702"/>
      <c r="U245" s="581"/>
      <c r="V245" s="581"/>
      <c r="W245" s="581"/>
      <c r="X245" s="581"/>
      <c r="Y245" s="581"/>
      <c r="Z245" s="581"/>
      <c r="AA245" s="581"/>
      <c r="AB245" s="581"/>
      <c r="AC245" s="581"/>
      <c r="AD245" s="581"/>
      <c r="AE245" s="581"/>
      <c r="AF245" s="581"/>
      <c r="AG245" s="581"/>
      <c r="AH245" s="581"/>
      <c r="AI245" s="581"/>
      <c r="AJ245" s="581"/>
      <c r="AK245" s="581"/>
      <c r="AL245" s="581"/>
      <c r="AM245" s="581"/>
      <c r="AN245" s="581"/>
      <c r="AO245" s="581"/>
      <c r="AP245" s="581"/>
      <c r="AQ245" s="581"/>
      <c r="AR245" s="581"/>
      <c r="AS245" s="581"/>
      <c r="AT245" s="581"/>
      <c r="AU245" s="581"/>
      <c r="AV245" s="581"/>
      <c r="AW245" s="581"/>
      <c r="AX245" s="581"/>
      <c r="AY245" s="581"/>
      <c r="AZ245" s="581"/>
      <c r="BA245" s="581"/>
      <c r="BB245" s="581"/>
      <c r="BC245" s="581"/>
    </row>
    <row r="246" spans="1:57" x14ac:dyDescent="0.25">
      <c r="A246" s="940" t="s">
        <v>46</v>
      </c>
      <c r="B246" s="941"/>
      <c r="C246" s="941"/>
      <c r="D246" s="79"/>
      <c r="E246" s="79"/>
      <c r="F246" s="80"/>
      <c r="G246" s="81"/>
      <c r="H246" s="82"/>
      <c r="I246" s="415">
        <f>I96+I145+I232</f>
        <v>29</v>
      </c>
      <c r="J246" s="698"/>
      <c r="K246" s="699"/>
      <c r="L246" s="699"/>
      <c r="M246" s="699"/>
      <c r="N246" s="699"/>
      <c r="O246" s="699"/>
      <c r="P246" s="700"/>
      <c r="Q246" s="700"/>
      <c r="R246" s="700"/>
      <c r="S246" s="700"/>
      <c r="T246" s="702"/>
      <c r="U246" s="581"/>
      <c r="V246" s="581"/>
      <c r="W246" s="581"/>
      <c r="X246" s="581"/>
      <c r="Y246" s="581"/>
      <c r="Z246" s="581"/>
      <c r="AA246" s="581"/>
      <c r="AB246" s="581"/>
      <c r="AC246" s="581"/>
      <c r="AD246" s="581"/>
      <c r="AE246" s="581"/>
      <c r="AF246" s="581"/>
      <c r="AG246" s="581"/>
      <c r="AH246" s="581"/>
      <c r="AI246" s="581"/>
      <c r="AJ246" s="581"/>
      <c r="AK246" s="581"/>
      <c r="AL246" s="581"/>
      <c r="AM246" s="581"/>
      <c r="AN246" s="581"/>
      <c r="AO246" s="581"/>
      <c r="AP246" s="581"/>
      <c r="AQ246" s="581"/>
      <c r="AR246" s="581"/>
      <c r="AS246" s="581"/>
      <c r="AT246" s="581"/>
      <c r="AU246" s="581"/>
      <c r="AV246" s="581"/>
      <c r="AW246" s="581"/>
      <c r="AX246" s="581"/>
      <c r="AY246" s="581"/>
      <c r="AZ246" s="581"/>
      <c r="BA246" s="581"/>
      <c r="BB246" s="581"/>
      <c r="BC246" s="581"/>
    </row>
    <row r="247" spans="1:57" ht="68.25" customHeight="1" thickBot="1" x14ac:dyDescent="0.3">
      <c r="A247" s="940" t="s">
        <v>381</v>
      </c>
      <c r="B247" s="941"/>
      <c r="C247" s="941"/>
      <c r="D247" s="79"/>
      <c r="E247" s="79"/>
      <c r="F247" s="80"/>
      <c r="G247" s="81"/>
      <c r="H247" s="82"/>
      <c r="I247" s="415">
        <v>113.03</v>
      </c>
      <c r="J247" s="703"/>
      <c r="K247" s="704"/>
      <c r="L247" s="704"/>
      <c r="M247" s="704"/>
      <c r="N247" s="704"/>
      <c r="O247" s="704"/>
      <c r="P247" s="705"/>
      <c r="Q247" s="705"/>
      <c r="R247" s="705"/>
      <c r="S247" s="705"/>
      <c r="T247" s="706"/>
      <c r="U247" s="581"/>
      <c r="V247" s="581"/>
      <c r="W247" s="581"/>
      <c r="X247" s="581"/>
      <c r="Y247" s="581"/>
      <c r="Z247" s="581"/>
      <c r="AA247" s="581"/>
      <c r="AB247" s="581"/>
      <c r="AC247" s="581"/>
      <c r="AD247" s="581"/>
      <c r="AE247" s="581"/>
      <c r="AF247" s="581"/>
      <c r="AG247" s="581"/>
      <c r="AH247" s="581"/>
      <c r="AI247" s="581"/>
      <c r="AJ247" s="581"/>
      <c r="AK247" s="581"/>
      <c r="AL247" s="581"/>
      <c r="AM247" s="581"/>
      <c r="AN247" s="581"/>
      <c r="AO247" s="581"/>
      <c r="AP247" s="581"/>
      <c r="AQ247" s="581"/>
      <c r="AR247" s="581"/>
      <c r="AS247" s="581"/>
      <c r="AT247" s="581"/>
      <c r="AU247" s="581"/>
      <c r="AV247" s="581"/>
      <c r="AW247" s="581"/>
      <c r="AX247" s="581"/>
      <c r="AY247" s="581"/>
      <c r="AZ247" s="581"/>
      <c r="BA247" s="581"/>
      <c r="BB247" s="581"/>
      <c r="BC247" s="581"/>
    </row>
    <row r="248" spans="1:57" ht="15.75" thickBot="1" x14ac:dyDescent="0.3">
      <c r="A248" s="83" t="s">
        <v>382</v>
      </c>
      <c r="B248" s="84"/>
      <c r="C248" s="84"/>
      <c r="D248" s="84"/>
      <c r="E248" s="84"/>
      <c r="F248" s="85"/>
      <c r="G248" s="86"/>
      <c r="H248" s="86"/>
      <c r="I248" s="416">
        <f>I244+I245+I246+I247</f>
        <v>596.92999999999995</v>
      </c>
      <c r="J248" s="707"/>
      <c r="K248" s="708"/>
      <c r="L248" s="708"/>
      <c r="M248" s="708"/>
      <c r="N248" s="708"/>
      <c r="O248" s="708"/>
      <c r="P248" s="709"/>
      <c r="Q248" s="709"/>
      <c r="R248" s="709"/>
      <c r="S248" s="709"/>
      <c r="T248" s="710">
        <f>SUM(T72:T73,T79:T82,T85:T88,T91:T95,T100:T111,T114:T123,T128:T131,T134:T141,T144,T149:T163,T166:T177,T182,T185:T190,T196:T213,T216:T225,T228:T231,T236:T241)</f>
        <v>784957.46799999999</v>
      </c>
      <c r="U248" s="581"/>
      <c r="V248" s="581"/>
      <c r="W248" s="581"/>
      <c r="X248" s="581"/>
      <c r="Y248" s="581"/>
      <c r="Z248" s="581"/>
      <c r="AA248" s="581"/>
      <c r="AB248" s="581"/>
      <c r="AC248" s="581"/>
      <c r="AD248" s="581"/>
      <c r="AE248" s="581"/>
      <c r="AF248" s="581"/>
      <c r="AG248" s="581"/>
      <c r="AH248" s="581"/>
      <c r="AI248" s="581"/>
      <c r="AJ248" s="581"/>
      <c r="AK248" s="581"/>
      <c r="AL248" s="581"/>
      <c r="AM248" s="581"/>
      <c r="AN248" s="581"/>
      <c r="AO248" s="581"/>
      <c r="AP248" s="581"/>
      <c r="AQ248" s="581"/>
      <c r="AR248" s="581"/>
      <c r="AS248" s="581"/>
      <c r="AT248" s="581"/>
      <c r="AU248" s="581"/>
      <c r="AV248" s="581"/>
      <c r="AW248" s="581"/>
      <c r="AX248" s="581"/>
      <c r="AY248" s="581"/>
      <c r="AZ248" s="581"/>
      <c r="BA248" s="581"/>
      <c r="BB248" s="581"/>
      <c r="BC248" s="581"/>
    </row>
    <row r="249" spans="1:57" ht="15.75" thickBot="1" x14ac:dyDescent="0.3">
      <c r="J249" s="711"/>
      <c r="K249" s="712"/>
      <c r="L249" s="712"/>
      <c r="M249" s="712"/>
      <c r="N249" s="712"/>
      <c r="O249" s="712"/>
      <c r="P249" s="713"/>
      <c r="Q249" s="713"/>
      <c r="R249" s="713"/>
      <c r="S249" s="713"/>
      <c r="T249" s="714"/>
      <c r="U249" s="581"/>
      <c r="V249" s="581"/>
      <c r="W249" s="581"/>
      <c r="X249" s="581"/>
      <c r="Y249" s="581"/>
      <c r="Z249" s="581"/>
      <c r="AA249" s="581"/>
      <c r="AB249" s="581"/>
      <c r="AC249" s="581"/>
      <c r="AD249" s="581"/>
      <c r="AE249" s="581"/>
      <c r="AF249" s="581"/>
      <c r="AG249" s="581"/>
      <c r="AH249" s="581"/>
      <c r="AI249" s="581"/>
      <c r="AJ249" s="581"/>
      <c r="AK249" s="581"/>
      <c r="AL249" s="581"/>
      <c r="AM249" s="581"/>
      <c r="AN249" s="581"/>
      <c r="AO249" s="581"/>
      <c r="AP249" s="581"/>
      <c r="AQ249" s="581"/>
      <c r="AR249" s="581"/>
      <c r="AS249" s="581"/>
      <c r="AT249" s="581"/>
      <c r="AU249" s="581"/>
      <c r="AV249" s="581"/>
      <c r="AW249" s="581"/>
      <c r="AX249" s="581"/>
      <c r="AY249" s="581"/>
      <c r="AZ249" s="581"/>
      <c r="BA249" s="581"/>
      <c r="BB249" s="581"/>
      <c r="BC249" s="581"/>
    </row>
    <row r="250" spans="1:57" x14ac:dyDescent="0.25">
      <c r="A250" s="906" t="s">
        <v>385</v>
      </c>
      <c r="B250" s="907"/>
      <c r="C250" s="907"/>
      <c r="D250" s="907"/>
      <c r="E250" s="907"/>
      <c r="F250" s="907"/>
      <c r="G250" s="907"/>
      <c r="H250" s="907"/>
      <c r="I250" s="908"/>
      <c r="J250" s="652"/>
      <c r="K250" s="653"/>
      <c r="L250" s="653"/>
      <c r="M250" s="653"/>
      <c r="N250" s="653"/>
      <c r="O250" s="653"/>
      <c r="P250" s="654"/>
      <c r="Q250" s="654"/>
      <c r="R250" s="654"/>
      <c r="S250" s="654"/>
      <c r="T250" s="655"/>
      <c r="U250" s="581"/>
      <c r="V250" s="581"/>
      <c r="W250" s="581"/>
      <c r="X250" s="581"/>
      <c r="Y250" s="581"/>
      <c r="Z250" s="581"/>
      <c r="AA250" s="581"/>
      <c r="AB250" s="581"/>
      <c r="AC250" s="581"/>
      <c r="AD250" s="581"/>
      <c r="AE250" s="581"/>
      <c r="AF250" s="581"/>
      <c r="AG250" s="581"/>
      <c r="AH250" s="581"/>
      <c r="AI250" s="581"/>
      <c r="AJ250" s="581"/>
      <c r="AK250" s="581"/>
      <c r="AL250" s="581"/>
      <c r="AM250" s="581"/>
      <c r="AN250" s="581"/>
      <c r="AO250" s="581"/>
      <c r="AP250" s="581"/>
      <c r="AQ250" s="581"/>
      <c r="AR250" s="581"/>
      <c r="AS250" s="581"/>
      <c r="AT250" s="581"/>
      <c r="AU250" s="581"/>
      <c r="AV250" s="581"/>
      <c r="AW250" s="581"/>
      <c r="AX250" s="581"/>
      <c r="AY250" s="581"/>
      <c r="AZ250" s="581"/>
      <c r="BA250" s="581"/>
      <c r="BB250" s="581"/>
      <c r="BC250" s="581"/>
    </row>
    <row r="251" spans="1:57" x14ac:dyDescent="0.25">
      <c r="A251" s="902" t="s">
        <v>386</v>
      </c>
      <c r="B251" s="903"/>
      <c r="C251" s="903"/>
      <c r="D251" s="903"/>
      <c r="E251" s="903"/>
      <c r="F251" s="903"/>
      <c r="G251" s="903"/>
      <c r="H251" s="903"/>
      <c r="I251" s="903"/>
      <c r="J251" s="656"/>
      <c r="K251" s="657"/>
      <c r="L251" s="657"/>
      <c r="M251" s="657"/>
      <c r="N251" s="657"/>
      <c r="O251" s="657"/>
      <c r="P251" s="658"/>
      <c r="Q251" s="658"/>
      <c r="R251" s="658"/>
      <c r="S251" s="658"/>
      <c r="T251" s="659">
        <f>SUM(T253,T255:T258)</f>
        <v>11180.010000000002</v>
      </c>
      <c r="U251" s="581"/>
      <c r="V251" s="581"/>
      <c r="W251" s="581"/>
      <c r="X251" s="581"/>
      <c r="Y251" s="581"/>
      <c r="Z251" s="581"/>
      <c r="AA251" s="581"/>
      <c r="AB251" s="581"/>
      <c r="AC251" s="581"/>
      <c r="AD251" s="581"/>
      <c r="AE251" s="581"/>
      <c r="AF251" s="581"/>
      <c r="AG251" s="581"/>
      <c r="AH251" s="581"/>
      <c r="AI251" s="581"/>
      <c r="AJ251" s="581"/>
      <c r="AK251" s="581"/>
      <c r="AL251" s="581"/>
      <c r="AM251" s="581"/>
      <c r="AN251" s="581"/>
      <c r="AO251" s="581"/>
      <c r="AP251" s="581"/>
      <c r="AQ251" s="581"/>
      <c r="AR251" s="581"/>
      <c r="AS251" s="581"/>
      <c r="AT251" s="581"/>
      <c r="AU251" s="581"/>
      <c r="AV251" s="581"/>
      <c r="AW251" s="581"/>
      <c r="AX251" s="581"/>
      <c r="AY251" s="581"/>
      <c r="AZ251" s="581"/>
      <c r="BA251" s="581"/>
      <c r="BB251" s="581"/>
      <c r="BC251" s="581"/>
      <c r="BD251" s="581"/>
      <c r="BE251" s="581"/>
    </row>
    <row r="252" spans="1:57" x14ac:dyDescent="0.25">
      <c r="A252" s="900" t="s">
        <v>10</v>
      </c>
      <c r="B252" s="901"/>
      <c r="C252" s="901"/>
      <c r="D252" s="901"/>
      <c r="E252" s="901"/>
      <c r="F252" s="901"/>
      <c r="G252" s="901"/>
      <c r="H252" s="901"/>
      <c r="I252" s="901"/>
      <c r="J252" s="625"/>
      <c r="K252" s="626"/>
      <c r="L252" s="626"/>
      <c r="M252" s="626"/>
      <c r="N252" s="626"/>
      <c r="O252" s="626"/>
      <c r="P252" s="603"/>
      <c r="Q252" s="603"/>
      <c r="R252" s="603"/>
      <c r="S252" s="603"/>
      <c r="T252" s="604"/>
      <c r="U252" s="581"/>
      <c r="V252" s="581"/>
      <c r="W252" s="581"/>
      <c r="X252" s="581"/>
      <c r="Y252" s="581"/>
      <c r="Z252" s="581"/>
      <c r="AA252" s="581"/>
      <c r="AB252" s="581"/>
      <c r="AC252" s="581"/>
      <c r="AD252" s="581"/>
      <c r="AE252" s="581"/>
      <c r="AF252" s="581"/>
      <c r="AG252" s="581"/>
      <c r="AH252" s="581"/>
      <c r="AI252" s="581"/>
      <c r="AJ252" s="581"/>
      <c r="AK252" s="581"/>
      <c r="AL252" s="581"/>
      <c r="AM252" s="581"/>
      <c r="AN252" s="581"/>
      <c r="AO252" s="581"/>
      <c r="AP252" s="581"/>
      <c r="AQ252" s="581"/>
      <c r="AR252" s="581"/>
      <c r="AS252" s="581"/>
      <c r="AT252" s="581"/>
      <c r="AU252" s="581"/>
      <c r="AV252" s="581"/>
      <c r="AW252" s="581"/>
      <c r="AX252" s="581"/>
      <c r="AY252" s="581"/>
      <c r="AZ252" s="581"/>
      <c r="BA252" s="581"/>
      <c r="BB252" s="581"/>
      <c r="BC252" s="581"/>
      <c r="BD252" s="581"/>
      <c r="BE252" s="581"/>
    </row>
    <row r="253" spans="1:57" x14ac:dyDescent="0.25">
      <c r="A253" s="715" t="s">
        <v>24</v>
      </c>
      <c r="B253" s="682" t="s">
        <v>15</v>
      </c>
      <c r="C253" s="605" t="s">
        <v>25</v>
      </c>
      <c r="D253" s="317">
        <v>10</v>
      </c>
      <c r="E253" s="317">
        <v>3</v>
      </c>
      <c r="F253" s="320">
        <v>1287</v>
      </c>
      <c r="G253" s="373">
        <v>1085</v>
      </c>
      <c r="H253" s="373">
        <v>531</v>
      </c>
      <c r="I253" s="332">
        <v>1</v>
      </c>
      <c r="J253" s="607">
        <f>ROUND(G253*(1+'29_01_H_2020'!$F$14),2)</f>
        <v>1193.5</v>
      </c>
      <c r="K253" s="608">
        <f t="shared" ref="K253" si="303">IF(J253&lt;=F253,J253,F253)</f>
        <v>1193.5</v>
      </c>
      <c r="L253" s="608">
        <f t="shared" ref="L253" si="304">K253-G253</f>
        <v>108.5</v>
      </c>
      <c r="M253" s="608">
        <f t="shared" ref="M253" si="305">J253-K253</f>
        <v>0</v>
      </c>
      <c r="N253" s="608">
        <f t="shared" ref="N253" si="306">ROUND(H253/G253*K253-H253,2)</f>
        <v>53.1</v>
      </c>
      <c r="O253" s="608">
        <f t="shared" ref="O253" si="307">ROUND(H253/G253*J253-H253-N253,2)</f>
        <v>0</v>
      </c>
      <c r="P253" s="609">
        <f t="shared" ref="P253:P258" si="308">L253+M253+N253+O253</f>
        <v>161.6</v>
      </c>
      <c r="Q253" s="609">
        <f>P253*I253</f>
        <v>161.6</v>
      </c>
      <c r="R253" s="609">
        <f t="shared" ref="R253:R258" si="309">Q253*12</f>
        <v>1939.1999999999998</v>
      </c>
      <c r="S253" s="609">
        <f t="shared" ref="S253:S258" si="310">ROUND(R253*0.2409,2)</f>
        <v>467.15</v>
      </c>
      <c r="T253" s="610">
        <f t="shared" ref="T253" si="311">SUM(R253:S253)</f>
        <v>2406.35</v>
      </c>
      <c r="U253" s="611"/>
      <c r="V253" s="612"/>
      <c r="W253" s="613"/>
      <c r="X253" s="614"/>
      <c r="Y253" s="614"/>
      <c r="Z253" s="581"/>
      <c r="AA253" s="581"/>
      <c r="AB253" s="615"/>
      <c r="AC253" s="615"/>
      <c r="AD253" s="615"/>
      <c r="AE253" s="615"/>
      <c r="AF253" s="615"/>
      <c r="AG253" s="615"/>
      <c r="AH253" s="615"/>
      <c r="AI253" s="615"/>
      <c r="AJ253" s="615"/>
      <c r="AK253" s="615"/>
      <c r="AL253" s="616"/>
      <c r="AM253" s="581"/>
      <c r="AN253" s="581"/>
      <c r="AO253" s="615"/>
      <c r="AP253" s="615"/>
      <c r="AQ253" s="615"/>
      <c r="AR253" s="615"/>
      <c r="AS253" s="615"/>
      <c r="AT253" s="615"/>
      <c r="AU253" s="615"/>
      <c r="AV253" s="615"/>
      <c r="AW253" s="615"/>
      <c r="AX253" s="615"/>
      <c r="AY253" s="616"/>
      <c r="AZ253" s="581"/>
      <c r="BA253" s="581"/>
      <c r="BB253" s="581"/>
      <c r="BC253" s="581"/>
      <c r="BD253" s="581"/>
      <c r="BE253" s="581"/>
    </row>
    <row r="254" spans="1:57" x14ac:dyDescent="0.25">
      <c r="A254" s="894" t="s">
        <v>27</v>
      </c>
      <c r="B254" s="895"/>
      <c r="C254" s="895"/>
      <c r="D254" s="895"/>
      <c r="E254" s="895"/>
      <c r="F254" s="895"/>
      <c r="G254" s="895"/>
      <c r="H254" s="895"/>
      <c r="I254" s="895"/>
      <c r="J254" s="625"/>
      <c r="K254" s="626"/>
      <c r="L254" s="626"/>
      <c r="M254" s="626"/>
      <c r="N254" s="626"/>
      <c r="O254" s="626"/>
      <c r="P254" s="603"/>
      <c r="Q254" s="603"/>
      <c r="R254" s="603"/>
      <c r="S254" s="603"/>
      <c r="T254" s="604"/>
      <c r="U254" s="581"/>
      <c r="V254" s="581"/>
      <c r="W254" s="581"/>
      <c r="X254" s="581"/>
      <c r="Y254" s="581"/>
      <c r="Z254" s="581"/>
      <c r="AA254" s="581"/>
      <c r="AB254" s="581"/>
      <c r="AC254" s="581"/>
      <c r="AD254" s="581"/>
      <c r="AE254" s="581"/>
      <c r="AF254" s="581"/>
      <c r="AG254" s="581"/>
      <c r="AH254" s="581"/>
      <c r="AI254" s="581"/>
      <c r="AJ254" s="581"/>
      <c r="AK254" s="581"/>
      <c r="AL254" s="581"/>
      <c r="AM254" s="581"/>
      <c r="AN254" s="581"/>
      <c r="AO254" s="581"/>
      <c r="AP254" s="581"/>
      <c r="AQ254" s="581"/>
      <c r="AR254" s="581"/>
      <c r="AS254" s="581"/>
      <c r="AT254" s="581"/>
      <c r="AU254" s="581"/>
      <c r="AV254" s="581"/>
      <c r="AW254" s="581"/>
      <c r="AX254" s="581"/>
      <c r="AY254" s="581"/>
      <c r="AZ254" s="581"/>
      <c r="BA254" s="581"/>
      <c r="BB254" s="581"/>
      <c r="BC254" s="581"/>
      <c r="BD254" s="581"/>
      <c r="BE254" s="581"/>
    </row>
    <row r="255" spans="1:57" x14ac:dyDescent="0.25">
      <c r="A255" s="716" t="s">
        <v>37</v>
      </c>
      <c r="B255" s="682" t="s">
        <v>15</v>
      </c>
      <c r="C255" s="605" t="s">
        <v>36</v>
      </c>
      <c r="D255" s="317">
        <v>8</v>
      </c>
      <c r="E255" s="317">
        <v>3</v>
      </c>
      <c r="F255" s="320">
        <v>1093</v>
      </c>
      <c r="G255" s="373">
        <v>982</v>
      </c>
      <c r="H255" s="373">
        <v>482</v>
      </c>
      <c r="I255" s="332">
        <v>1</v>
      </c>
      <c r="J255" s="607">
        <f>ROUND(G255*(1+'29_01_H_2020'!$F$10),2)</f>
        <v>1080.2</v>
      </c>
      <c r="K255" s="608">
        <f t="shared" ref="K255" si="312">IF(J255&lt;=F255,J255,F255)</f>
        <v>1080.2</v>
      </c>
      <c r="L255" s="608">
        <f t="shared" ref="L255" si="313">K255-G255</f>
        <v>98.200000000000045</v>
      </c>
      <c r="M255" s="608">
        <f t="shared" ref="M255" si="314">J255-K255</f>
        <v>0</v>
      </c>
      <c r="N255" s="608">
        <f t="shared" ref="N255" si="315">ROUND(H255/G255*K255-H255,2)</f>
        <v>48.2</v>
      </c>
      <c r="O255" s="608">
        <f t="shared" ref="O255" si="316">ROUND(H255/G255*J255-H255-N255,2)</f>
        <v>0</v>
      </c>
      <c r="P255" s="609">
        <f t="shared" si="308"/>
        <v>146.40000000000003</v>
      </c>
      <c r="Q255" s="609">
        <f>P255*I255</f>
        <v>146.40000000000003</v>
      </c>
      <c r="R255" s="609">
        <f t="shared" si="309"/>
        <v>1756.8000000000004</v>
      </c>
      <c r="S255" s="609">
        <f t="shared" si="310"/>
        <v>423.21</v>
      </c>
      <c r="T255" s="610">
        <f t="shared" ref="T255" si="317">SUM(R255:S255)</f>
        <v>2180.0100000000002</v>
      </c>
      <c r="U255" s="611"/>
      <c r="V255" s="612"/>
      <c r="W255" s="613"/>
      <c r="X255" s="614"/>
      <c r="Y255" s="614"/>
      <c r="Z255" s="581"/>
      <c r="AA255" s="581"/>
      <c r="AB255" s="615"/>
      <c r="AC255" s="615"/>
      <c r="AD255" s="615"/>
      <c r="AE255" s="615"/>
      <c r="AF255" s="615"/>
      <c r="AG255" s="615"/>
      <c r="AH255" s="615"/>
      <c r="AI255" s="615"/>
      <c r="AJ255" s="615"/>
      <c r="AK255" s="615"/>
      <c r="AL255" s="616"/>
      <c r="AM255" s="581"/>
      <c r="AN255" s="581"/>
      <c r="AO255" s="615"/>
      <c r="AP255" s="615"/>
      <c r="AQ255" s="615"/>
      <c r="AR255" s="615"/>
      <c r="AS255" s="615"/>
      <c r="AT255" s="615"/>
      <c r="AU255" s="615"/>
      <c r="AV255" s="615"/>
      <c r="AW255" s="615"/>
      <c r="AX255" s="615"/>
      <c r="AY255" s="616"/>
      <c r="AZ255" s="581"/>
      <c r="BA255" s="581"/>
      <c r="BB255" s="581"/>
      <c r="BC255" s="581"/>
      <c r="BD255" s="581"/>
      <c r="BE255" s="581"/>
    </row>
    <row r="256" spans="1:57" x14ac:dyDescent="0.25">
      <c r="A256" s="716" t="s">
        <v>37</v>
      </c>
      <c r="B256" s="682" t="s">
        <v>15</v>
      </c>
      <c r="C256" s="605" t="s">
        <v>36</v>
      </c>
      <c r="D256" s="317">
        <v>8</v>
      </c>
      <c r="E256" s="317">
        <v>3</v>
      </c>
      <c r="F256" s="320">
        <v>1093</v>
      </c>
      <c r="G256" s="373">
        <v>982</v>
      </c>
      <c r="H256" s="373">
        <v>518</v>
      </c>
      <c r="I256" s="332">
        <v>1</v>
      </c>
      <c r="J256" s="607">
        <f>ROUND(G256*(1+'29_01_H_2020'!$F$10),2)</f>
        <v>1080.2</v>
      </c>
      <c r="K256" s="608">
        <f t="shared" ref="K256:K258" si="318">IF(J256&lt;=F256,J256,F256)</f>
        <v>1080.2</v>
      </c>
      <c r="L256" s="608">
        <f t="shared" ref="L256:L258" si="319">K256-G256</f>
        <v>98.200000000000045</v>
      </c>
      <c r="M256" s="608">
        <f t="shared" ref="M256:M258" si="320">J256-K256</f>
        <v>0</v>
      </c>
      <c r="N256" s="608">
        <f t="shared" ref="N256:N258" si="321">ROUND(H256/G256*K256-H256,2)</f>
        <v>51.8</v>
      </c>
      <c r="O256" s="608">
        <f t="shared" ref="O256:O258" si="322">ROUND(H256/G256*J256-H256-N256,2)</f>
        <v>0</v>
      </c>
      <c r="P256" s="609">
        <f t="shared" si="308"/>
        <v>150.00000000000006</v>
      </c>
      <c r="Q256" s="609">
        <f>P256*I256</f>
        <v>150.00000000000006</v>
      </c>
      <c r="R256" s="609">
        <f t="shared" si="309"/>
        <v>1800.0000000000007</v>
      </c>
      <c r="S256" s="609">
        <f t="shared" si="310"/>
        <v>433.62</v>
      </c>
      <c r="T256" s="610">
        <f t="shared" ref="T256:T258" si="323">SUM(R256:S256)</f>
        <v>2233.6200000000008</v>
      </c>
      <c r="U256" s="611"/>
      <c r="V256" s="612"/>
      <c r="W256" s="613"/>
      <c r="X256" s="614"/>
      <c r="Y256" s="614"/>
      <c r="Z256" s="581"/>
      <c r="AA256" s="581"/>
      <c r="AB256" s="615"/>
      <c r="AC256" s="615"/>
      <c r="AD256" s="615"/>
      <c r="AE256" s="615"/>
      <c r="AF256" s="615"/>
      <c r="AG256" s="615"/>
      <c r="AH256" s="615"/>
      <c r="AI256" s="615"/>
      <c r="AJ256" s="615"/>
      <c r="AK256" s="615"/>
      <c r="AL256" s="616"/>
      <c r="AM256" s="581"/>
      <c r="AN256" s="581"/>
      <c r="AO256" s="615"/>
      <c r="AP256" s="615"/>
      <c r="AQ256" s="615"/>
      <c r="AR256" s="615"/>
      <c r="AS256" s="615"/>
      <c r="AT256" s="615"/>
      <c r="AU256" s="615"/>
      <c r="AV256" s="615"/>
      <c r="AW256" s="615"/>
      <c r="AX256" s="615"/>
      <c r="AY256" s="616"/>
      <c r="AZ256" s="581"/>
      <c r="BA256" s="581"/>
      <c r="BB256" s="581"/>
      <c r="BC256" s="581"/>
      <c r="BD256" s="581"/>
      <c r="BE256" s="581"/>
    </row>
    <row r="257" spans="1:57" x14ac:dyDescent="0.25">
      <c r="A257" s="716" t="s">
        <v>37</v>
      </c>
      <c r="B257" s="682" t="s">
        <v>15</v>
      </c>
      <c r="C257" s="605" t="s">
        <v>36</v>
      </c>
      <c r="D257" s="317">
        <v>8</v>
      </c>
      <c r="E257" s="317">
        <v>3</v>
      </c>
      <c r="F257" s="320">
        <v>1093</v>
      </c>
      <c r="G257" s="373">
        <v>982</v>
      </c>
      <c r="H257" s="373">
        <v>463</v>
      </c>
      <c r="I257" s="332">
        <v>1</v>
      </c>
      <c r="J257" s="607">
        <f>ROUND(G257*(1+'29_01_H_2020'!$F$10),2)</f>
        <v>1080.2</v>
      </c>
      <c r="K257" s="608">
        <f t="shared" si="318"/>
        <v>1080.2</v>
      </c>
      <c r="L257" s="608">
        <f t="shared" si="319"/>
        <v>98.200000000000045</v>
      </c>
      <c r="M257" s="608">
        <f t="shared" si="320"/>
        <v>0</v>
      </c>
      <c r="N257" s="608">
        <f t="shared" si="321"/>
        <v>46.3</v>
      </c>
      <c r="O257" s="608">
        <f t="shared" si="322"/>
        <v>0</v>
      </c>
      <c r="P257" s="609">
        <f t="shared" si="308"/>
        <v>144.50000000000006</v>
      </c>
      <c r="Q257" s="609">
        <f>P257*I257</f>
        <v>144.50000000000006</v>
      </c>
      <c r="R257" s="609">
        <f t="shared" si="309"/>
        <v>1734.0000000000007</v>
      </c>
      <c r="S257" s="609">
        <f t="shared" si="310"/>
        <v>417.72</v>
      </c>
      <c r="T257" s="610">
        <f t="shared" si="323"/>
        <v>2151.7200000000007</v>
      </c>
      <c r="U257" s="611"/>
      <c r="V257" s="612"/>
      <c r="W257" s="613"/>
      <c r="X257" s="614"/>
      <c r="Y257" s="614"/>
      <c r="Z257" s="581"/>
      <c r="AA257" s="581"/>
      <c r="AB257" s="615"/>
      <c r="AC257" s="615"/>
      <c r="AD257" s="615"/>
      <c r="AE257" s="615"/>
      <c r="AF257" s="615"/>
      <c r="AG257" s="615"/>
      <c r="AH257" s="615"/>
      <c r="AI257" s="615"/>
      <c r="AJ257" s="615"/>
      <c r="AK257" s="615"/>
      <c r="AL257" s="616"/>
      <c r="AM257" s="581"/>
      <c r="AN257" s="581"/>
      <c r="AO257" s="615"/>
      <c r="AP257" s="615"/>
      <c r="AQ257" s="615"/>
      <c r="AR257" s="615"/>
      <c r="AS257" s="615"/>
      <c r="AT257" s="615"/>
      <c r="AU257" s="615"/>
      <c r="AV257" s="615"/>
      <c r="AW257" s="615"/>
      <c r="AX257" s="615"/>
      <c r="AY257" s="616"/>
      <c r="AZ257" s="581"/>
      <c r="BA257" s="581"/>
      <c r="BB257" s="581"/>
      <c r="BC257" s="581"/>
      <c r="BD257" s="581"/>
      <c r="BE257" s="581"/>
    </row>
    <row r="258" spans="1:57" x14ac:dyDescent="0.25">
      <c r="A258" s="716" t="s">
        <v>37</v>
      </c>
      <c r="B258" s="682" t="s">
        <v>15</v>
      </c>
      <c r="C258" s="605" t="s">
        <v>36</v>
      </c>
      <c r="D258" s="317">
        <v>8</v>
      </c>
      <c r="E258" s="317">
        <v>3</v>
      </c>
      <c r="F258" s="320">
        <v>1093</v>
      </c>
      <c r="G258" s="373">
        <v>982</v>
      </c>
      <c r="H258" s="373">
        <v>501</v>
      </c>
      <c r="I258" s="332">
        <v>1</v>
      </c>
      <c r="J258" s="607">
        <f>ROUND(G258*(1+'29_01_H_2020'!$F$10),2)</f>
        <v>1080.2</v>
      </c>
      <c r="K258" s="608">
        <f t="shared" si="318"/>
        <v>1080.2</v>
      </c>
      <c r="L258" s="608">
        <f t="shared" si="319"/>
        <v>98.200000000000045</v>
      </c>
      <c r="M258" s="608">
        <f t="shared" si="320"/>
        <v>0</v>
      </c>
      <c r="N258" s="608">
        <f t="shared" si="321"/>
        <v>50.1</v>
      </c>
      <c r="O258" s="608">
        <f t="shared" si="322"/>
        <v>0</v>
      </c>
      <c r="P258" s="609">
        <f t="shared" si="308"/>
        <v>148.30000000000004</v>
      </c>
      <c r="Q258" s="609">
        <f>P258*I258</f>
        <v>148.30000000000004</v>
      </c>
      <c r="R258" s="609">
        <f t="shared" si="309"/>
        <v>1779.6000000000004</v>
      </c>
      <c r="S258" s="609">
        <f t="shared" si="310"/>
        <v>428.71</v>
      </c>
      <c r="T258" s="610">
        <f t="shared" si="323"/>
        <v>2208.3100000000004</v>
      </c>
      <c r="U258" s="611"/>
      <c r="V258" s="612"/>
      <c r="W258" s="613"/>
      <c r="X258" s="614"/>
      <c r="Y258" s="614"/>
      <c r="Z258" s="581"/>
      <c r="AA258" s="581"/>
      <c r="AB258" s="615"/>
      <c r="AC258" s="615"/>
      <c r="AD258" s="615"/>
      <c r="AE258" s="615"/>
      <c r="AF258" s="615"/>
      <c r="AG258" s="615"/>
      <c r="AH258" s="615"/>
      <c r="AI258" s="615"/>
      <c r="AJ258" s="615"/>
      <c r="AK258" s="615"/>
      <c r="AL258" s="616"/>
      <c r="AM258" s="581"/>
      <c r="AN258" s="581"/>
      <c r="AO258" s="615"/>
      <c r="AP258" s="615"/>
      <c r="AQ258" s="615"/>
      <c r="AR258" s="615"/>
      <c r="AS258" s="615"/>
      <c r="AT258" s="615"/>
      <c r="AU258" s="615"/>
      <c r="AV258" s="615"/>
      <c r="AW258" s="615"/>
      <c r="AX258" s="615"/>
      <c r="AY258" s="616"/>
      <c r="AZ258" s="581"/>
      <c r="BA258" s="581"/>
      <c r="BB258" s="581"/>
      <c r="BC258" s="581"/>
      <c r="BD258" s="581"/>
      <c r="BE258" s="581"/>
    </row>
    <row r="259" spans="1:57" x14ac:dyDescent="0.25">
      <c r="A259" s="894" t="s">
        <v>46</v>
      </c>
      <c r="B259" s="895"/>
      <c r="C259" s="895"/>
      <c r="D259" s="895"/>
      <c r="E259" s="895"/>
      <c r="F259" s="895"/>
      <c r="G259" s="895"/>
      <c r="H259" s="895"/>
      <c r="I259" s="895"/>
      <c r="J259" s="625"/>
      <c r="K259" s="626"/>
      <c r="L259" s="626"/>
      <c r="M259" s="626"/>
      <c r="N259" s="626"/>
      <c r="O259" s="626"/>
      <c r="P259" s="603"/>
      <c r="Q259" s="603"/>
      <c r="R259" s="603"/>
      <c r="S259" s="603"/>
      <c r="T259" s="717"/>
      <c r="U259" s="640"/>
      <c r="V259" s="581"/>
      <c r="W259" s="581"/>
      <c r="X259" s="581"/>
      <c r="Y259" s="581"/>
      <c r="Z259" s="581"/>
      <c r="AA259" s="581"/>
      <c r="AB259" s="581"/>
      <c r="AC259" s="581"/>
      <c r="AD259" s="581"/>
      <c r="AE259" s="581"/>
      <c r="AF259" s="581"/>
      <c r="AG259" s="581"/>
      <c r="AH259" s="581"/>
      <c r="AI259" s="640"/>
      <c r="AJ259" s="581"/>
      <c r="AK259" s="581"/>
      <c r="AL259" s="581"/>
      <c r="AM259" s="581"/>
      <c r="AN259" s="581"/>
      <c r="AO259" s="581"/>
      <c r="AP259" s="581"/>
      <c r="AQ259" s="581"/>
      <c r="AR259" s="581"/>
      <c r="AS259" s="581"/>
      <c r="AT259" s="581"/>
      <c r="AU259" s="581"/>
      <c r="AV259" s="640"/>
      <c r="AW259" s="581"/>
      <c r="AX259" s="581"/>
      <c r="AY259" s="581"/>
      <c r="AZ259" s="581"/>
      <c r="BA259" s="581"/>
      <c r="BB259" s="581"/>
      <c r="BC259" s="581"/>
      <c r="BD259" s="581"/>
      <c r="BE259" s="581"/>
    </row>
    <row r="260" spans="1:57" x14ac:dyDescent="0.25">
      <c r="A260" s="902" t="s">
        <v>387</v>
      </c>
      <c r="B260" s="903"/>
      <c r="C260" s="903"/>
      <c r="D260" s="903"/>
      <c r="E260" s="903"/>
      <c r="F260" s="903"/>
      <c r="G260" s="903"/>
      <c r="H260" s="903"/>
      <c r="I260" s="903"/>
      <c r="J260" s="656"/>
      <c r="K260" s="657"/>
      <c r="L260" s="657"/>
      <c r="M260" s="657"/>
      <c r="N260" s="657"/>
      <c r="O260" s="657"/>
      <c r="P260" s="658"/>
      <c r="Q260" s="658"/>
      <c r="R260" s="658"/>
      <c r="S260" s="658"/>
      <c r="T260" s="659">
        <f>SUM(T263:T266)</f>
        <v>4777.72</v>
      </c>
      <c r="U260" s="581"/>
      <c r="V260" s="581"/>
      <c r="W260" s="581"/>
      <c r="X260" s="581"/>
      <c r="Y260" s="581"/>
      <c r="Z260" s="581"/>
      <c r="AA260" s="581"/>
      <c r="AB260" s="581"/>
      <c r="AC260" s="581"/>
      <c r="AD260" s="581"/>
      <c r="AE260" s="581"/>
      <c r="AF260" s="581"/>
      <c r="AG260" s="581"/>
      <c r="AH260" s="581"/>
      <c r="AI260" s="581"/>
      <c r="AJ260" s="581"/>
      <c r="AK260" s="581"/>
      <c r="AL260" s="581"/>
      <c r="AM260" s="581"/>
      <c r="AN260" s="581"/>
      <c r="AO260" s="581"/>
      <c r="AP260" s="581"/>
      <c r="AQ260" s="581"/>
      <c r="AR260" s="581"/>
      <c r="AS260" s="581"/>
      <c r="AT260" s="581"/>
      <c r="AU260" s="581"/>
      <c r="AV260" s="581"/>
      <c r="AW260" s="581"/>
      <c r="AX260" s="581"/>
      <c r="AY260" s="581"/>
      <c r="AZ260" s="581"/>
      <c r="BA260" s="581"/>
      <c r="BB260" s="581"/>
      <c r="BC260" s="581"/>
      <c r="BD260" s="581"/>
      <c r="BE260" s="581"/>
    </row>
    <row r="261" spans="1:57" x14ac:dyDescent="0.25">
      <c r="A261" s="900" t="s">
        <v>10</v>
      </c>
      <c r="B261" s="901"/>
      <c r="C261" s="901"/>
      <c r="D261" s="901"/>
      <c r="E261" s="901"/>
      <c r="F261" s="901"/>
      <c r="G261" s="901"/>
      <c r="H261" s="901"/>
      <c r="I261" s="901"/>
      <c r="J261" s="625"/>
      <c r="K261" s="626"/>
      <c r="L261" s="626"/>
      <c r="M261" s="626"/>
      <c r="N261" s="626"/>
      <c r="O261" s="626"/>
      <c r="P261" s="603"/>
      <c r="Q261" s="603"/>
      <c r="R261" s="603"/>
      <c r="S261" s="603"/>
      <c r="T261" s="604"/>
      <c r="U261" s="581"/>
      <c r="V261" s="581"/>
      <c r="W261" s="581"/>
      <c r="X261" s="581"/>
      <c r="Y261" s="581"/>
      <c r="Z261" s="581"/>
      <c r="AA261" s="581"/>
      <c r="AB261" s="581"/>
      <c r="AC261" s="581"/>
      <c r="AD261" s="581"/>
      <c r="AE261" s="581"/>
      <c r="AF261" s="581"/>
      <c r="AG261" s="581"/>
      <c r="AH261" s="581"/>
      <c r="AI261" s="581"/>
      <c r="AJ261" s="581"/>
      <c r="AK261" s="581"/>
      <c r="AL261" s="581"/>
      <c r="AM261" s="581"/>
      <c r="AN261" s="581"/>
      <c r="AO261" s="581"/>
      <c r="AP261" s="581"/>
      <c r="AQ261" s="581"/>
      <c r="AR261" s="581"/>
      <c r="AS261" s="581"/>
      <c r="AT261" s="581"/>
      <c r="AU261" s="581"/>
      <c r="AV261" s="581"/>
      <c r="AW261" s="581"/>
      <c r="AX261" s="581"/>
      <c r="AY261" s="581"/>
      <c r="AZ261" s="581"/>
      <c r="BA261" s="581"/>
      <c r="BB261" s="581"/>
      <c r="BC261" s="581"/>
      <c r="BD261" s="581"/>
      <c r="BE261" s="581"/>
    </row>
    <row r="262" spans="1:57" x14ac:dyDescent="0.25">
      <c r="A262" s="894" t="s">
        <v>27</v>
      </c>
      <c r="B262" s="895"/>
      <c r="C262" s="895"/>
      <c r="D262" s="895"/>
      <c r="E262" s="895"/>
      <c r="F262" s="895"/>
      <c r="G262" s="895"/>
      <c r="H262" s="895"/>
      <c r="I262" s="895"/>
      <c r="J262" s="625"/>
      <c r="K262" s="626"/>
      <c r="L262" s="626"/>
      <c r="M262" s="626"/>
      <c r="N262" s="626"/>
      <c r="O262" s="626"/>
      <c r="P262" s="603"/>
      <c r="Q262" s="603"/>
      <c r="R262" s="603"/>
      <c r="S262" s="603"/>
      <c r="T262" s="604"/>
      <c r="U262" s="581"/>
      <c r="V262" s="581"/>
      <c r="W262" s="581"/>
      <c r="X262" s="581"/>
      <c r="Y262" s="581"/>
      <c r="Z262" s="581"/>
      <c r="AA262" s="581"/>
      <c r="AB262" s="581"/>
      <c r="AC262" s="581"/>
      <c r="AD262" s="581"/>
      <c r="AE262" s="581"/>
      <c r="AF262" s="581"/>
      <c r="AG262" s="581"/>
      <c r="AH262" s="581"/>
      <c r="AI262" s="581"/>
      <c r="AJ262" s="581"/>
      <c r="AK262" s="581"/>
      <c r="AL262" s="581"/>
      <c r="AM262" s="581"/>
      <c r="AN262" s="581"/>
      <c r="AO262" s="581"/>
      <c r="AP262" s="581"/>
      <c r="AQ262" s="581"/>
      <c r="AR262" s="581"/>
      <c r="AS262" s="581"/>
      <c r="AT262" s="581"/>
      <c r="AU262" s="581"/>
      <c r="AV262" s="581"/>
      <c r="AW262" s="581"/>
      <c r="AX262" s="581"/>
      <c r="AY262" s="581"/>
      <c r="AZ262" s="581"/>
      <c r="BA262" s="581"/>
      <c r="BB262" s="581"/>
      <c r="BC262" s="581"/>
      <c r="BD262" s="581"/>
      <c r="BE262" s="581"/>
    </row>
    <row r="263" spans="1:57" x14ac:dyDescent="0.25">
      <c r="A263" s="718" t="s">
        <v>388</v>
      </c>
      <c r="B263" s="682" t="s">
        <v>15</v>
      </c>
      <c r="C263" s="605" t="s">
        <v>36</v>
      </c>
      <c r="D263" s="317">
        <v>8</v>
      </c>
      <c r="E263" s="317">
        <v>3</v>
      </c>
      <c r="F263" s="320">
        <v>1093</v>
      </c>
      <c r="G263" s="373">
        <v>720</v>
      </c>
      <c r="H263" s="373">
        <v>108</v>
      </c>
      <c r="I263" s="332">
        <v>1</v>
      </c>
      <c r="J263" s="607">
        <f>ROUND(G263*(1+'29_01_H_2020'!$F$10),2)</f>
        <v>792</v>
      </c>
      <c r="K263" s="608">
        <f t="shared" ref="K263" si="324">IF(J263&lt;=F263,J263,F263)</f>
        <v>792</v>
      </c>
      <c r="L263" s="608">
        <f t="shared" ref="L263" si="325">K263-G263</f>
        <v>72</v>
      </c>
      <c r="M263" s="608">
        <f t="shared" ref="M263" si="326">J263-K263</f>
        <v>0</v>
      </c>
      <c r="N263" s="608">
        <f t="shared" ref="N263" si="327">ROUND(H263/G263*K263-H263,2)</f>
        <v>10.8</v>
      </c>
      <c r="O263" s="608">
        <f t="shared" ref="O263" si="328">ROUND(H263/G263*J263-H263-N263,2)</f>
        <v>0</v>
      </c>
      <c r="P263" s="609">
        <f t="shared" ref="P263:P266" si="329">L263+M263+N263+O263</f>
        <v>82.8</v>
      </c>
      <c r="Q263" s="609">
        <f>P263*I263</f>
        <v>82.8</v>
      </c>
      <c r="R263" s="609">
        <f t="shared" ref="R263:R266" si="330">Q263*12</f>
        <v>993.59999999999991</v>
      </c>
      <c r="S263" s="609">
        <f t="shared" ref="S263:S266" si="331">ROUND(R263*0.2409,2)</f>
        <v>239.36</v>
      </c>
      <c r="T263" s="610">
        <f t="shared" ref="T263" si="332">SUM(R263:S263)</f>
        <v>1232.96</v>
      </c>
      <c r="U263" s="611"/>
      <c r="V263" s="612"/>
      <c r="W263" s="613"/>
      <c r="X263" s="614"/>
      <c r="Y263" s="614"/>
      <c r="Z263" s="581"/>
      <c r="AA263" s="581"/>
      <c r="AB263" s="615"/>
      <c r="AC263" s="615"/>
      <c r="AD263" s="615"/>
      <c r="AE263" s="615"/>
      <c r="AF263" s="615"/>
      <c r="AG263" s="615"/>
      <c r="AH263" s="615"/>
      <c r="AI263" s="615"/>
      <c r="AJ263" s="615"/>
      <c r="AK263" s="615"/>
      <c r="AL263" s="616"/>
      <c r="AM263" s="616"/>
      <c r="AN263" s="581"/>
      <c r="AO263" s="615"/>
      <c r="AP263" s="615"/>
      <c r="AQ263" s="615"/>
      <c r="AR263" s="615"/>
      <c r="AS263" s="615"/>
      <c r="AT263" s="615"/>
      <c r="AU263" s="615"/>
      <c r="AV263" s="615"/>
      <c r="AW263" s="615"/>
      <c r="AX263" s="615"/>
      <c r="AY263" s="616"/>
      <c r="AZ263" s="581"/>
      <c r="BA263" s="581"/>
      <c r="BB263" s="581"/>
      <c r="BC263" s="581"/>
      <c r="BD263" s="581"/>
      <c r="BE263" s="581"/>
    </row>
    <row r="264" spans="1:57" x14ac:dyDescent="0.25">
      <c r="A264" s="718" t="s">
        <v>388</v>
      </c>
      <c r="B264" s="682" t="s">
        <v>15</v>
      </c>
      <c r="C264" s="605" t="s">
        <v>36</v>
      </c>
      <c r="D264" s="317">
        <v>8</v>
      </c>
      <c r="E264" s="317">
        <v>3</v>
      </c>
      <c r="F264" s="320">
        <v>1093</v>
      </c>
      <c r="G264" s="373">
        <v>720</v>
      </c>
      <c r="H264" s="373">
        <v>108</v>
      </c>
      <c r="I264" s="332">
        <v>1</v>
      </c>
      <c r="J264" s="607">
        <f>ROUND(G264*(1+'29_01_H_2020'!$F$10),2)</f>
        <v>792</v>
      </c>
      <c r="K264" s="608">
        <f t="shared" ref="K264:K266" si="333">IF(J264&lt;=F264,J264,F264)</f>
        <v>792</v>
      </c>
      <c r="L264" s="608">
        <f t="shared" ref="L264:L266" si="334">K264-G264</f>
        <v>72</v>
      </c>
      <c r="M264" s="608">
        <f t="shared" ref="M264:M266" si="335">J264-K264</f>
        <v>0</v>
      </c>
      <c r="N264" s="608">
        <f t="shared" ref="N264:N266" si="336">ROUND(H264/G264*K264-H264,2)</f>
        <v>10.8</v>
      </c>
      <c r="O264" s="608">
        <f t="shared" ref="O264:O266" si="337">ROUND(H264/G264*J264-H264-N264,2)</f>
        <v>0</v>
      </c>
      <c r="P264" s="609">
        <f t="shared" si="329"/>
        <v>82.8</v>
      </c>
      <c r="Q264" s="609">
        <f>P264*I264</f>
        <v>82.8</v>
      </c>
      <c r="R264" s="609">
        <f t="shared" si="330"/>
        <v>993.59999999999991</v>
      </c>
      <c r="S264" s="609">
        <f t="shared" si="331"/>
        <v>239.36</v>
      </c>
      <c r="T264" s="610">
        <f t="shared" ref="T264:T266" si="338">SUM(R264:S264)</f>
        <v>1232.96</v>
      </c>
      <c r="U264" s="611"/>
      <c r="V264" s="612"/>
      <c r="W264" s="613"/>
      <c r="X264" s="614"/>
      <c r="Y264" s="614"/>
      <c r="Z264" s="581"/>
      <c r="AA264" s="581"/>
      <c r="AB264" s="615"/>
      <c r="AC264" s="615"/>
      <c r="AD264" s="615"/>
      <c r="AE264" s="615"/>
      <c r="AF264" s="615"/>
      <c r="AG264" s="615"/>
      <c r="AH264" s="615"/>
      <c r="AI264" s="615"/>
      <c r="AJ264" s="615"/>
      <c r="AK264" s="615"/>
      <c r="AL264" s="616"/>
      <c r="AM264" s="616"/>
      <c r="AN264" s="581"/>
      <c r="AO264" s="615"/>
      <c r="AP264" s="615"/>
      <c r="AQ264" s="615"/>
      <c r="AR264" s="615"/>
      <c r="AS264" s="615"/>
      <c r="AT264" s="615"/>
      <c r="AU264" s="615"/>
      <c r="AV264" s="615"/>
      <c r="AW264" s="615"/>
      <c r="AX264" s="615"/>
      <c r="AY264" s="616"/>
      <c r="AZ264" s="581"/>
      <c r="BA264" s="581"/>
      <c r="BB264" s="581"/>
      <c r="BC264" s="581"/>
      <c r="BD264" s="581"/>
      <c r="BE264" s="581"/>
    </row>
    <row r="265" spans="1:57" x14ac:dyDescent="0.25">
      <c r="A265" s="718" t="s">
        <v>388</v>
      </c>
      <c r="B265" s="682" t="s">
        <v>15</v>
      </c>
      <c r="C265" s="605" t="s">
        <v>36</v>
      </c>
      <c r="D265" s="317">
        <v>8</v>
      </c>
      <c r="E265" s="317">
        <v>2</v>
      </c>
      <c r="F265" s="320">
        <v>1093</v>
      </c>
      <c r="G265" s="373">
        <v>670</v>
      </c>
      <c r="H265" s="373">
        <v>100.5</v>
      </c>
      <c r="I265" s="332">
        <v>1</v>
      </c>
      <c r="J265" s="607">
        <f>ROUND(G265*(1+'29_01_H_2020'!$F$10),2)</f>
        <v>737</v>
      </c>
      <c r="K265" s="608">
        <f t="shared" si="333"/>
        <v>737</v>
      </c>
      <c r="L265" s="608">
        <f t="shared" si="334"/>
        <v>67</v>
      </c>
      <c r="M265" s="608">
        <f t="shared" si="335"/>
        <v>0</v>
      </c>
      <c r="N265" s="608">
        <f t="shared" si="336"/>
        <v>10.050000000000001</v>
      </c>
      <c r="O265" s="608">
        <f t="shared" si="337"/>
        <v>0</v>
      </c>
      <c r="P265" s="609">
        <f t="shared" si="329"/>
        <v>77.05</v>
      </c>
      <c r="Q265" s="609">
        <f>P265*I265</f>
        <v>77.05</v>
      </c>
      <c r="R265" s="609">
        <f t="shared" si="330"/>
        <v>924.59999999999991</v>
      </c>
      <c r="S265" s="609">
        <f t="shared" si="331"/>
        <v>222.74</v>
      </c>
      <c r="T265" s="610">
        <f t="shared" si="338"/>
        <v>1147.3399999999999</v>
      </c>
      <c r="U265" s="611"/>
      <c r="V265" s="612"/>
      <c r="W265" s="613"/>
      <c r="X265" s="614"/>
      <c r="Y265" s="614"/>
      <c r="Z265" s="581"/>
      <c r="AA265" s="581"/>
      <c r="AB265" s="615"/>
      <c r="AC265" s="615"/>
      <c r="AD265" s="615"/>
      <c r="AE265" s="615"/>
      <c r="AF265" s="615"/>
      <c r="AG265" s="615"/>
      <c r="AH265" s="615"/>
      <c r="AI265" s="615"/>
      <c r="AJ265" s="615"/>
      <c r="AK265" s="615"/>
      <c r="AL265" s="616"/>
      <c r="AM265" s="616"/>
      <c r="AN265" s="581"/>
      <c r="AO265" s="615"/>
      <c r="AP265" s="615"/>
      <c r="AQ265" s="615"/>
      <c r="AR265" s="615"/>
      <c r="AS265" s="615"/>
      <c r="AT265" s="615"/>
      <c r="AU265" s="615"/>
      <c r="AV265" s="615"/>
      <c r="AW265" s="615"/>
      <c r="AX265" s="615"/>
      <c r="AY265" s="616"/>
      <c r="AZ265" s="581"/>
      <c r="BA265" s="581"/>
      <c r="BB265" s="581"/>
      <c r="BC265" s="581"/>
      <c r="BD265" s="581"/>
      <c r="BE265" s="581"/>
    </row>
    <row r="266" spans="1:57" x14ac:dyDescent="0.25">
      <c r="A266" s="718" t="s">
        <v>388</v>
      </c>
      <c r="B266" s="680" t="s">
        <v>22</v>
      </c>
      <c r="C266" s="605" t="s">
        <v>25</v>
      </c>
      <c r="D266" s="317">
        <v>7</v>
      </c>
      <c r="E266" s="317">
        <v>3</v>
      </c>
      <c r="F266" s="320">
        <v>996</v>
      </c>
      <c r="G266" s="373">
        <v>680</v>
      </c>
      <c r="H266" s="373">
        <v>102</v>
      </c>
      <c r="I266" s="332">
        <v>1</v>
      </c>
      <c r="J266" s="607">
        <f>ROUND(G266*(1+'29_01_H_2020'!$F$10),2)</f>
        <v>748</v>
      </c>
      <c r="K266" s="608">
        <f t="shared" si="333"/>
        <v>748</v>
      </c>
      <c r="L266" s="608">
        <f t="shared" si="334"/>
        <v>68</v>
      </c>
      <c r="M266" s="608">
        <f t="shared" si="335"/>
        <v>0</v>
      </c>
      <c r="N266" s="608">
        <f t="shared" si="336"/>
        <v>10.199999999999999</v>
      </c>
      <c r="O266" s="608">
        <f t="shared" si="337"/>
        <v>0</v>
      </c>
      <c r="P266" s="609">
        <f t="shared" si="329"/>
        <v>78.2</v>
      </c>
      <c r="Q266" s="609">
        <f>P266*I266</f>
        <v>78.2</v>
      </c>
      <c r="R266" s="609">
        <f t="shared" si="330"/>
        <v>938.40000000000009</v>
      </c>
      <c r="S266" s="609">
        <f t="shared" si="331"/>
        <v>226.06</v>
      </c>
      <c r="T266" s="610">
        <f t="shared" si="338"/>
        <v>1164.46</v>
      </c>
      <c r="U266" s="611"/>
      <c r="V266" s="612"/>
      <c r="W266" s="613"/>
      <c r="X266" s="614"/>
      <c r="Y266" s="614"/>
      <c r="Z266" s="581"/>
      <c r="AA266" s="581"/>
      <c r="AB266" s="615"/>
      <c r="AC266" s="615"/>
      <c r="AD266" s="615"/>
      <c r="AE266" s="615"/>
      <c r="AF266" s="615"/>
      <c r="AG266" s="615"/>
      <c r="AH266" s="615"/>
      <c r="AI266" s="615"/>
      <c r="AJ266" s="615"/>
      <c r="AK266" s="615"/>
      <c r="AL266" s="616"/>
      <c r="AM266" s="616"/>
      <c r="AN266" s="581"/>
      <c r="AO266" s="615"/>
      <c r="AP266" s="615"/>
      <c r="AQ266" s="615"/>
      <c r="AR266" s="615"/>
      <c r="AS266" s="615"/>
      <c r="AT266" s="615"/>
      <c r="AU266" s="615"/>
      <c r="AV266" s="615"/>
      <c r="AW266" s="615"/>
      <c r="AX266" s="615"/>
      <c r="AY266" s="616"/>
      <c r="AZ266" s="581"/>
      <c r="BA266" s="581"/>
      <c r="BB266" s="581"/>
      <c r="BC266" s="581"/>
      <c r="BD266" s="581"/>
      <c r="BE266" s="581"/>
    </row>
    <row r="267" spans="1:57" x14ac:dyDescent="0.25">
      <c r="A267" s="894" t="s">
        <v>46</v>
      </c>
      <c r="B267" s="895"/>
      <c r="C267" s="895"/>
      <c r="D267" s="895"/>
      <c r="E267" s="895"/>
      <c r="F267" s="895"/>
      <c r="G267" s="895"/>
      <c r="H267" s="895"/>
      <c r="I267" s="895"/>
      <c r="J267" s="625"/>
      <c r="K267" s="626"/>
      <c r="L267" s="626"/>
      <c r="M267" s="626"/>
      <c r="N267" s="626"/>
      <c r="O267" s="626"/>
      <c r="P267" s="603"/>
      <c r="Q267" s="603"/>
      <c r="R267" s="603"/>
      <c r="S267" s="603"/>
      <c r="T267" s="717"/>
      <c r="U267" s="640"/>
      <c r="V267" s="581"/>
      <c r="W267" s="581"/>
      <c r="X267" s="581"/>
      <c r="Y267" s="581"/>
      <c r="Z267" s="581"/>
      <c r="AA267" s="581"/>
      <c r="AB267" s="581"/>
      <c r="AC267" s="581"/>
      <c r="AD267" s="581"/>
      <c r="AE267" s="581"/>
      <c r="AF267" s="581"/>
      <c r="AG267" s="581"/>
      <c r="AH267" s="581"/>
      <c r="AI267" s="640"/>
      <c r="AJ267" s="581"/>
      <c r="AK267" s="581"/>
      <c r="AL267" s="581"/>
      <c r="AM267" s="581"/>
      <c r="AN267" s="581"/>
      <c r="AO267" s="581"/>
      <c r="AP267" s="581"/>
      <c r="AQ267" s="581"/>
      <c r="AR267" s="581"/>
      <c r="AS267" s="581"/>
      <c r="AT267" s="581"/>
      <c r="AU267" s="581"/>
      <c r="AV267" s="640"/>
      <c r="AW267" s="581"/>
      <c r="AX267" s="581"/>
      <c r="AY267" s="581"/>
      <c r="AZ267" s="581"/>
      <c r="BA267" s="581"/>
      <c r="BB267" s="581"/>
      <c r="BC267" s="581"/>
      <c r="BD267" s="581"/>
      <c r="BE267" s="581"/>
    </row>
    <row r="268" spans="1:57" x14ac:dyDescent="0.25">
      <c r="A268" s="902" t="s">
        <v>389</v>
      </c>
      <c r="B268" s="903"/>
      <c r="C268" s="903"/>
      <c r="D268" s="903"/>
      <c r="E268" s="903"/>
      <c r="F268" s="903"/>
      <c r="G268" s="903"/>
      <c r="H268" s="903"/>
      <c r="I268" s="903"/>
      <c r="J268" s="656"/>
      <c r="K268" s="657"/>
      <c r="L268" s="657"/>
      <c r="M268" s="657"/>
      <c r="N268" s="657"/>
      <c r="O268" s="657"/>
      <c r="P268" s="658"/>
      <c r="Q268" s="658"/>
      <c r="R268" s="658"/>
      <c r="S268" s="658"/>
      <c r="T268" s="719">
        <f>SUM(T270:T273)</f>
        <v>6849.76</v>
      </c>
      <c r="U268" s="581"/>
      <c r="V268" s="581"/>
      <c r="W268" s="581"/>
      <c r="X268" s="581"/>
      <c r="Y268" s="581"/>
      <c r="Z268" s="581"/>
      <c r="AA268" s="581"/>
      <c r="AB268" s="581"/>
      <c r="AC268" s="581"/>
      <c r="AD268" s="581"/>
      <c r="AE268" s="581"/>
      <c r="AF268" s="581"/>
      <c r="AG268" s="581"/>
      <c r="AH268" s="581"/>
      <c r="AI268" s="581"/>
      <c r="AJ268" s="581"/>
      <c r="AK268" s="581"/>
      <c r="AL268" s="581"/>
      <c r="AM268" s="581"/>
      <c r="AN268" s="581"/>
      <c r="AO268" s="581"/>
      <c r="AP268" s="581"/>
      <c r="AQ268" s="581"/>
      <c r="AR268" s="581"/>
      <c r="AS268" s="581"/>
      <c r="AT268" s="581"/>
      <c r="AU268" s="581"/>
      <c r="AV268" s="581"/>
      <c r="AW268" s="581"/>
      <c r="AX268" s="581"/>
      <c r="AY268" s="581"/>
      <c r="AZ268" s="581"/>
      <c r="BA268" s="581"/>
      <c r="BB268" s="581"/>
      <c r="BC268" s="581"/>
      <c r="BD268" s="581"/>
      <c r="BE268" s="581"/>
    </row>
    <row r="269" spans="1:57" x14ac:dyDescent="0.25">
      <c r="A269" s="904" t="s">
        <v>10</v>
      </c>
      <c r="B269" s="905"/>
      <c r="C269" s="905"/>
      <c r="D269" s="905"/>
      <c r="E269" s="905"/>
      <c r="F269" s="905"/>
      <c r="G269" s="905"/>
      <c r="H269" s="905"/>
      <c r="I269" s="905"/>
      <c r="J269" s="625"/>
      <c r="K269" s="626"/>
      <c r="L269" s="626"/>
      <c r="M269" s="626"/>
      <c r="N269" s="626"/>
      <c r="O269" s="626"/>
      <c r="P269" s="603"/>
      <c r="Q269" s="603"/>
      <c r="R269" s="603"/>
      <c r="S269" s="603"/>
      <c r="T269" s="720"/>
      <c r="U269" s="581"/>
      <c r="V269" s="581"/>
      <c r="W269" s="581"/>
      <c r="X269" s="581"/>
      <c r="Y269" s="581"/>
      <c r="Z269" s="581"/>
      <c r="AA269" s="581"/>
      <c r="AB269" s="581"/>
      <c r="AC269" s="581"/>
      <c r="AD269" s="581"/>
      <c r="AE269" s="581"/>
      <c r="AF269" s="581"/>
      <c r="AG269" s="581"/>
      <c r="AH269" s="581"/>
      <c r="AI269" s="581"/>
      <c r="AJ269" s="581"/>
      <c r="AK269" s="581"/>
      <c r="AL269" s="581"/>
      <c r="AM269" s="581"/>
      <c r="AN269" s="581"/>
      <c r="AO269" s="581"/>
      <c r="AP269" s="581"/>
      <c r="AQ269" s="581"/>
      <c r="AR269" s="581"/>
      <c r="AS269" s="581"/>
      <c r="AT269" s="581"/>
      <c r="AU269" s="581"/>
      <c r="AV269" s="581"/>
      <c r="AW269" s="581"/>
      <c r="AX269" s="581"/>
      <c r="AY269" s="581"/>
      <c r="AZ269" s="581"/>
      <c r="BA269" s="581"/>
      <c r="BB269" s="581"/>
      <c r="BC269" s="581"/>
      <c r="BD269" s="581"/>
      <c r="BE269" s="581"/>
    </row>
    <row r="270" spans="1:57" x14ac:dyDescent="0.25">
      <c r="A270" s="721" t="s">
        <v>390</v>
      </c>
      <c r="B270" s="722">
        <v>10</v>
      </c>
      <c r="C270" s="605" t="s">
        <v>25</v>
      </c>
      <c r="D270" s="317">
        <v>10</v>
      </c>
      <c r="E270" s="317">
        <v>3</v>
      </c>
      <c r="F270" s="320">
        <v>1287</v>
      </c>
      <c r="G270" s="373">
        <v>1150</v>
      </c>
      <c r="H270" s="373">
        <v>0</v>
      </c>
      <c r="I270" s="393">
        <v>1</v>
      </c>
      <c r="J270" s="607">
        <f>ROUND(G270*(1+'29_01_H_2020'!$F$14),2)</f>
        <v>1265</v>
      </c>
      <c r="K270" s="608">
        <f t="shared" ref="K270" si="339">IF(J270&lt;=F270,J270,F270)</f>
        <v>1265</v>
      </c>
      <c r="L270" s="608">
        <f t="shared" ref="L270" si="340">K270-G270</f>
        <v>115</v>
      </c>
      <c r="M270" s="608">
        <f t="shared" ref="M270" si="341">J270-K270</f>
        <v>0</v>
      </c>
      <c r="N270" s="608">
        <f t="shared" ref="N270" si="342">ROUND(H270/G270*K270-H270,2)</f>
        <v>0</v>
      </c>
      <c r="O270" s="608">
        <f t="shared" ref="O270" si="343">ROUND(H270/G270*J270-H270-N270,2)</f>
        <v>0</v>
      </c>
      <c r="P270" s="609">
        <f t="shared" ref="P270:P273" si="344">L270+M270+N270+O270</f>
        <v>115</v>
      </c>
      <c r="Q270" s="609">
        <f>P270*I270</f>
        <v>115</v>
      </c>
      <c r="R270" s="609">
        <f t="shared" ref="R270:R273" si="345">Q270*12</f>
        <v>1380</v>
      </c>
      <c r="S270" s="609">
        <f t="shared" ref="S270:S273" si="346">ROUND(R270*0.2409,2)</f>
        <v>332.44</v>
      </c>
      <c r="T270" s="610">
        <f t="shared" ref="T270" si="347">SUM(R270:S270)</f>
        <v>1712.44</v>
      </c>
      <c r="U270" s="611"/>
      <c r="V270" s="612"/>
      <c r="W270" s="613"/>
      <c r="X270" s="614"/>
      <c r="Y270" s="614"/>
      <c r="Z270" s="581"/>
      <c r="AA270" s="581"/>
      <c r="AB270" s="615"/>
      <c r="AC270" s="615"/>
      <c r="AD270" s="615"/>
      <c r="AE270" s="615"/>
      <c r="AF270" s="615"/>
      <c r="AG270" s="615"/>
      <c r="AH270" s="615"/>
      <c r="AI270" s="615"/>
      <c r="AJ270" s="615"/>
      <c r="AK270" s="615"/>
      <c r="AL270" s="616"/>
      <c r="AM270" s="616"/>
      <c r="AN270" s="581"/>
      <c r="AO270" s="615"/>
      <c r="AP270" s="615"/>
      <c r="AQ270" s="615"/>
      <c r="AR270" s="615"/>
      <c r="AS270" s="615"/>
      <c r="AT270" s="615"/>
      <c r="AU270" s="615"/>
      <c r="AV270" s="615"/>
      <c r="AW270" s="615"/>
      <c r="AX270" s="615"/>
      <c r="AY270" s="616"/>
      <c r="AZ270" s="581"/>
      <c r="BA270" s="581"/>
      <c r="BB270" s="581"/>
      <c r="BC270" s="581"/>
      <c r="BD270" s="581"/>
      <c r="BE270" s="581"/>
    </row>
    <row r="271" spans="1:57" x14ac:dyDescent="0.25">
      <c r="A271" s="721" t="s">
        <v>390</v>
      </c>
      <c r="B271" s="722">
        <v>10</v>
      </c>
      <c r="C271" s="605" t="s">
        <v>25</v>
      </c>
      <c r="D271" s="317">
        <v>10</v>
      </c>
      <c r="E271" s="317">
        <v>3</v>
      </c>
      <c r="F271" s="320">
        <v>1287</v>
      </c>
      <c r="G271" s="373">
        <v>1150</v>
      </c>
      <c r="H271" s="373">
        <v>0</v>
      </c>
      <c r="I271" s="393">
        <v>1</v>
      </c>
      <c r="J271" s="607">
        <f>ROUND(G271*(1+'29_01_H_2020'!$F$14),2)</f>
        <v>1265</v>
      </c>
      <c r="K271" s="608">
        <f t="shared" ref="K271:K273" si="348">IF(J271&lt;=F271,J271,F271)</f>
        <v>1265</v>
      </c>
      <c r="L271" s="608">
        <f t="shared" ref="L271:L273" si="349">K271-G271</f>
        <v>115</v>
      </c>
      <c r="M271" s="608">
        <f t="shared" ref="M271:M273" si="350">J271-K271</f>
        <v>0</v>
      </c>
      <c r="N271" s="608">
        <f t="shared" ref="N271:N273" si="351">ROUND(H271/G271*K271-H271,2)</f>
        <v>0</v>
      </c>
      <c r="O271" s="608">
        <f t="shared" ref="O271:O273" si="352">ROUND(H271/G271*J271-H271-N271,2)</f>
        <v>0</v>
      </c>
      <c r="P271" s="609">
        <f t="shared" si="344"/>
        <v>115</v>
      </c>
      <c r="Q271" s="609">
        <f>P271*I271</f>
        <v>115</v>
      </c>
      <c r="R271" s="609">
        <f t="shared" si="345"/>
        <v>1380</v>
      </c>
      <c r="S271" s="609">
        <f t="shared" si="346"/>
        <v>332.44</v>
      </c>
      <c r="T271" s="610">
        <f t="shared" ref="T271:T273" si="353">SUM(R271:S271)</f>
        <v>1712.44</v>
      </c>
      <c r="U271" s="611"/>
      <c r="V271" s="612"/>
      <c r="W271" s="613"/>
      <c r="X271" s="614"/>
      <c r="Y271" s="614"/>
      <c r="Z271" s="581"/>
      <c r="AA271" s="581"/>
      <c r="AB271" s="615"/>
      <c r="AC271" s="615"/>
      <c r="AD271" s="615"/>
      <c r="AE271" s="615"/>
      <c r="AF271" s="615"/>
      <c r="AG271" s="615"/>
      <c r="AH271" s="615"/>
      <c r="AI271" s="615"/>
      <c r="AJ271" s="615"/>
      <c r="AK271" s="615"/>
      <c r="AL271" s="616"/>
      <c r="AM271" s="581"/>
      <c r="AN271" s="581"/>
      <c r="AO271" s="615"/>
      <c r="AP271" s="615"/>
      <c r="AQ271" s="615"/>
      <c r="AR271" s="615"/>
      <c r="AS271" s="615"/>
      <c r="AT271" s="615"/>
      <c r="AU271" s="615"/>
      <c r="AV271" s="615"/>
      <c r="AW271" s="615"/>
      <c r="AX271" s="615"/>
      <c r="AY271" s="616"/>
      <c r="AZ271" s="581"/>
      <c r="BA271" s="581"/>
      <c r="BB271" s="581"/>
      <c r="BC271" s="581"/>
      <c r="BD271" s="581"/>
      <c r="BE271" s="581"/>
    </row>
    <row r="272" spans="1:57" x14ac:dyDescent="0.25">
      <c r="A272" s="721" t="s">
        <v>390</v>
      </c>
      <c r="B272" s="722">
        <v>10</v>
      </c>
      <c r="C272" s="605" t="s">
        <v>25</v>
      </c>
      <c r="D272" s="317">
        <v>10</v>
      </c>
      <c r="E272" s="317">
        <v>3</v>
      </c>
      <c r="F272" s="320">
        <v>1287</v>
      </c>
      <c r="G272" s="373">
        <v>1150</v>
      </c>
      <c r="H272" s="373">
        <v>0</v>
      </c>
      <c r="I272" s="393">
        <v>1</v>
      </c>
      <c r="J272" s="607">
        <f>ROUND(G272*(1+'29_01_H_2020'!$F$14),2)</f>
        <v>1265</v>
      </c>
      <c r="K272" s="608">
        <f t="shared" si="348"/>
        <v>1265</v>
      </c>
      <c r="L272" s="608">
        <f t="shared" si="349"/>
        <v>115</v>
      </c>
      <c r="M272" s="608">
        <f t="shared" si="350"/>
        <v>0</v>
      </c>
      <c r="N272" s="608">
        <f t="shared" si="351"/>
        <v>0</v>
      </c>
      <c r="O272" s="608">
        <f t="shared" si="352"/>
        <v>0</v>
      </c>
      <c r="P272" s="609">
        <f t="shared" si="344"/>
        <v>115</v>
      </c>
      <c r="Q272" s="609">
        <f>P272*I272</f>
        <v>115</v>
      </c>
      <c r="R272" s="609">
        <f t="shared" si="345"/>
        <v>1380</v>
      </c>
      <c r="S272" s="609">
        <f t="shared" si="346"/>
        <v>332.44</v>
      </c>
      <c r="T272" s="610">
        <f t="shared" si="353"/>
        <v>1712.44</v>
      </c>
      <c r="U272" s="611"/>
      <c r="V272" s="612"/>
      <c r="W272" s="613"/>
      <c r="X272" s="614"/>
      <c r="Y272" s="614"/>
      <c r="Z272" s="581"/>
      <c r="AA272" s="581"/>
      <c r="AB272" s="615"/>
      <c r="AC272" s="615"/>
      <c r="AD272" s="615"/>
      <c r="AE272" s="615"/>
      <c r="AF272" s="615"/>
      <c r="AG272" s="615"/>
      <c r="AH272" s="615"/>
      <c r="AI272" s="615"/>
      <c r="AJ272" s="615"/>
      <c r="AK272" s="615"/>
      <c r="AL272" s="616"/>
      <c r="AM272" s="581"/>
      <c r="AN272" s="581"/>
      <c r="AO272" s="615"/>
      <c r="AP272" s="615"/>
      <c r="AQ272" s="615"/>
      <c r="AR272" s="615"/>
      <c r="AS272" s="615"/>
      <c r="AT272" s="615"/>
      <c r="AU272" s="615"/>
      <c r="AV272" s="615"/>
      <c r="AW272" s="615"/>
      <c r="AX272" s="615"/>
      <c r="AY272" s="616"/>
      <c r="AZ272" s="581"/>
      <c r="BA272" s="581"/>
      <c r="BB272" s="581"/>
      <c r="BC272" s="581"/>
      <c r="BD272" s="581"/>
      <c r="BE272" s="581"/>
    </row>
    <row r="273" spans="1:57" x14ac:dyDescent="0.25">
      <c r="A273" s="721" t="s">
        <v>390</v>
      </c>
      <c r="B273" s="722">
        <v>10</v>
      </c>
      <c r="C273" s="605" t="s">
        <v>25</v>
      </c>
      <c r="D273" s="317">
        <v>10</v>
      </c>
      <c r="E273" s="317">
        <v>3</v>
      </c>
      <c r="F273" s="320">
        <v>1287</v>
      </c>
      <c r="G273" s="373">
        <v>1150</v>
      </c>
      <c r="H273" s="373">
        <v>0</v>
      </c>
      <c r="I273" s="393">
        <v>1</v>
      </c>
      <c r="J273" s="607">
        <f>ROUND(G273*(1+'29_01_H_2020'!$F$14),2)</f>
        <v>1265</v>
      </c>
      <c r="K273" s="608">
        <f t="shared" si="348"/>
        <v>1265</v>
      </c>
      <c r="L273" s="608">
        <f t="shared" si="349"/>
        <v>115</v>
      </c>
      <c r="M273" s="608">
        <f t="shared" si="350"/>
        <v>0</v>
      </c>
      <c r="N273" s="608">
        <f t="shared" si="351"/>
        <v>0</v>
      </c>
      <c r="O273" s="608">
        <f t="shared" si="352"/>
        <v>0</v>
      </c>
      <c r="P273" s="609">
        <f t="shared" si="344"/>
        <v>115</v>
      </c>
      <c r="Q273" s="609">
        <f>P273*I273</f>
        <v>115</v>
      </c>
      <c r="R273" s="609">
        <f t="shared" si="345"/>
        <v>1380</v>
      </c>
      <c r="S273" s="609">
        <f t="shared" si="346"/>
        <v>332.44</v>
      </c>
      <c r="T273" s="610">
        <f t="shared" si="353"/>
        <v>1712.44</v>
      </c>
      <c r="U273" s="611"/>
      <c r="V273" s="612"/>
      <c r="W273" s="613"/>
      <c r="X273" s="614"/>
      <c r="Y273" s="614"/>
      <c r="Z273" s="581"/>
      <c r="AA273" s="581"/>
      <c r="AB273" s="615"/>
      <c r="AC273" s="615"/>
      <c r="AD273" s="615"/>
      <c r="AE273" s="615"/>
      <c r="AF273" s="615"/>
      <c r="AG273" s="615"/>
      <c r="AH273" s="615"/>
      <c r="AI273" s="615"/>
      <c r="AJ273" s="615"/>
      <c r="AK273" s="615"/>
      <c r="AL273" s="616"/>
      <c r="AM273" s="581"/>
      <c r="AN273" s="581"/>
      <c r="AO273" s="615"/>
      <c r="AP273" s="615"/>
      <c r="AQ273" s="615"/>
      <c r="AR273" s="615"/>
      <c r="AS273" s="615"/>
      <c r="AT273" s="615"/>
      <c r="AU273" s="615"/>
      <c r="AV273" s="615"/>
      <c r="AW273" s="615"/>
      <c r="AX273" s="615"/>
      <c r="AY273" s="616"/>
      <c r="AZ273" s="581"/>
      <c r="BA273" s="581"/>
      <c r="BB273" s="581"/>
      <c r="BC273" s="581"/>
      <c r="BD273" s="581"/>
      <c r="BE273" s="581"/>
    </row>
    <row r="274" spans="1:57" x14ac:dyDescent="0.25">
      <c r="A274" s="894" t="s">
        <v>27</v>
      </c>
      <c r="B274" s="895"/>
      <c r="C274" s="895"/>
      <c r="D274" s="895"/>
      <c r="E274" s="895"/>
      <c r="F274" s="895"/>
      <c r="G274" s="895"/>
      <c r="H274" s="895"/>
      <c r="I274" s="895"/>
      <c r="J274" s="625"/>
      <c r="K274" s="626"/>
      <c r="L274" s="626"/>
      <c r="M274" s="626"/>
      <c r="N274" s="626"/>
      <c r="O274" s="626"/>
      <c r="P274" s="603"/>
      <c r="Q274" s="603"/>
      <c r="R274" s="603"/>
      <c r="S274" s="603"/>
      <c r="T274" s="717"/>
      <c r="U274" s="640"/>
      <c r="V274" s="581"/>
      <c r="W274" s="581"/>
      <c r="X274" s="581"/>
      <c r="Y274" s="581"/>
      <c r="Z274" s="581"/>
      <c r="AA274" s="581"/>
      <c r="AB274" s="581"/>
      <c r="AC274" s="581"/>
      <c r="AD274" s="581"/>
      <c r="AE274" s="581"/>
      <c r="AF274" s="581"/>
      <c r="AG274" s="581"/>
      <c r="AH274" s="581"/>
      <c r="AI274" s="640"/>
      <c r="AJ274" s="581"/>
      <c r="AK274" s="581"/>
      <c r="AL274" s="581"/>
      <c r="AM274" s="581"/>
      <c r="AN274" s="581"/>
      <c r="AO274" s="581"/>
      <c r="AP274" s="581"/>
      <c r="AQ274" s="581"/>
      <c r="AR274" s="581"/>
      <c r="AS274" s="581"/>
      <c r="AT274" s="581"/>
      <c r="AU274" s="581"/>
      <c r="AV274" s="640"/>
      <c r="AW274" s="581"/>
      <c r="AX274" s="581"/>
      <c r="AY274" s="581"/>
      <c r="AZ274" s="581"/>
      <c r="BA274" s="581"/>
      <c r="BB274" s="581"/>
      <c r="BC274" s="581"/>
      <c r="BD274" s="581"/>
      <c r="BE274" s="581"/>
    </row>
    <row r="275" spans="1:57" ht="15.75" thickBot="1" x14ac:dyDescent="0.3">
      <c r="A275" s="894" t="s">
        <v>46</v>
      </c>
      <c r="B275" s="895"/>
      <c r="C275" s="895"/>
      <c r="D275" s="895"/>
      <c r="E275" s="895"/>
      <c r="F275" s="895"/>
      <c r="G275" s="895"/>
      <c r="H275" s="895"/>
      <c r="I275" s="895"/>
      <c r="J275" s="723"/>
      <c r="K275" s="724"/>
      <c r="L275" s="724"/>
      <c r="M275" s="724"/>
      <c r="N275" s="724"/>
      <c r="O275" s="724"/>
      <c r="P275" s="725"/>
      <c r="Q275" s="725"/>
      <c r="R275" s="725"/>
      <c r="S275" s="725"/>
      <c r="T275" s="720"/>
      <c r="U275" s="640"/>
      <c r="V275" s="581"/>
      <c r="W275" s="581"/>
      <c r="X275" s="640"/>
      <c r="Y275" s="640"/>
      <c r="Z275" s="581"/>
      <c r="AA275" s="581"/>
      <c r="AB275" s="581"/>
      <c r="AC275" s="581"/>
      <c r="AD275" s="581"/>
      <c r="AE275" s="581"/>
      <c r="AF275" s="581"/>
      <c r="AG275" s="581"/>
      <c r="AH275" s="581"/>
      <c r="AI275" s="640"/>
      <c r="AJ275" s="640"/>
      <c r="AK275" s="640"/>
      <c r="AL275" s="581"/>
      <c r="AM275" s="581"/>
      <c r="AN275" s="581"/>
      <c r="AO275" s="581"/>
      <c r="AP275" s="581"/>
      <c r="AQ275" s="581"/>
      <c r="AR275" s="581"/>
      <c r="AS275" s="581"/>
      <c r="AT275" s="581"/>
      <c r="AU275" s="581"/>
      <c r="AV275" s="640"/>
      <c r="AW275" s="640"/>
      <c r="AX275" s="640"/>
      <c r="AY275" s="581"/>
      <c r="AZ275" s="581"/>
      <c r="BA275" s="581"/>
      <c r="BB275" s="581"/>
      <c r="BC275" s="581"/>
      <c r="BD275" s="581"/>
      <c r="BE275" s="581"/>
    </row>
    <row r="276" spans="1:57" ht="15.75" thickBot="1" x14ac:dyDescent="0.3">
      <c r="A276" s="726" t="s">
        <v>55</v>
      </c>
      <c r="B276" s="727" t="s">
        <v>52</v>
      </c>
      <c r="C276" s="727"/>
      <c r="D276" s="727" t="s">
        <v>52</v>
      </c>
      <c r="E276" s="727" t="s">
        <v>52</v>
      </c>
      <c r="F276" s="727" t="s">
        <v>52</v>
      </c>
      <c r="G276" s="727" t="s">
        <v>52</v>
      </c>
      <c r="H276" s="727" t="s">
        <v>52</v>
      </c>
      <c r="I276" s="381">
        <f>SUM(I253,I255:I258,I263:I266,I270:I273)</f>
        <v>13</v>
      </c>
      <c r="J276" s="728"/>
      <c r="K276" s="729"/>
      <c r="L276" s="729"/>
      <c r="M276" s="729"/>
      <c r="N276" s="729"/>
      <c r="O276" s="729"/>
      <c r="P276" s="730"/>
      <c r="Q276" s="730"/>
      <c r="R276" s="730"/>
      <c r="S276" s="730"/>
      <c r="T276" s="731">
        <f>SUM(T253,T255:T258,T263:T266,T270:T273)</f>
        <v>22807.489999999994</v>
      </c>
      <c r="U276" s="640"/>
      <c r="V276" s="581"/>
      <c r="W276" s="581"/>
      <c r="X276" s="641"/>
      <c r="Y276" s="651"/>
      <c r="Z276" s="581"/>
      <c r="AA276" s="581"/>
      <c r="AB276" s="581"/>
      <c r="AC276" s="581"/>
      <c r="AD276" s="581"/>
      <c r="AE276" s="581"/>
      <c r="AF276" s="581"/>
      <c r="AG276" s="581"/>
      <c r="AH276" s="581"/>
      <c r="AI276" s="581"/>
      <c r="AJ276" s="641"/>
      <c r="AK276" s="651"/>
      <c r="AL276" s="581"/>
      <c r="AM276" s="581"/>
      <c r="AN276" s="581"/>
      <c r="AO276" s="581"/>
      <c r="AP276" s="581"/>
      <c r="AQ276" s="581"/>
      <c r="AR276" s="581"/>
      <c r="AS276" s="581"/>
      <c r="AT276" s="581"/>
      <c r="AU276" s="581"/>
      <c r="AV276" s="581"/>
      <c r="AW276" s="641"/>
      <c r="AX276" s="651"/>
      <c r="AY276" s="581"/>
      <c r="AZ276" s="581"/>
      <c r="BA276" s="581"/>
      <c r="BB276" s="581"/>
      <c r="BC276" s="581"/>
      <c r="BD276" s="581"/>
      <c r="BE276" s="581"/>
    </row>
    <row r="277" spans="1:57" ht="15.75" thickBot="1" x14ac:dyDescent="0.3">
      <c r="J277" s="647"/>
      <c r="K277" s="648"/>
      <c r="L277" s="648"/>
      <c r="M277" s="648"/>
      <c r="N277" s="648"/>
      <c r="O277" s="648"/>
      <c r="P277" s="649"/>
      <c r="Q277" s="649"/>
      <c r="R277" s="649"/>
      <c r="S277" s="649"/>
      <c r="T277" s="732"/>
      <c r="U277" s="581"/>
      <c r="V277" s="581"/>
      <c r="W277" s="581"/>
      <c r="X277" s="581"/>
      <c r="Y277" s="581"/>
      <c r="Z277" s="581"/>
      <c r="AA277" s="581"/>
      <c r="AB277" s="581"/>
      <c r="AC277" s="581"/>
      <c r="AD277" s="581"/>
      <c r="AE277" s="581"/>
      <c r="AF277" s="581"/>
      <c r="AG277" s="581"/>
      <c r="AH277" s="581"/>
      <c r="AI277" s="581"/>
      <c r="AJ277" s="581"/>
      <c r="AK277" s="581"/>
      <c r="AL277" s="581"/>
      <c r="AM277" s="581"/>
      <c r="AN277" s="581"/>
      <c r="AO277" s="581"/>
      <c r="AP277" s="581"/>
      <c r="AQ277" s="581"/>
      <c r="AR277" s="581"/>
      <c r="AS277" s="581"/>
      <c r="AT277" s="581"/>
      <c r="AU277" s="581"/>
      <c r="AV277" s="581"/>
      <c r="AW277" s="581"/>
      <c r="AX277" s="581"/>
      <c r="AY277" s="581"/>
      <c r="AZ277" s="581"/>
      <c r="BA277" s="581"/>
      <c r="BB277" s="581"/>
      <c r="BC277" s="581"/>
      <c r="BD277" s="581"/>
      <c r="BE277" s="581"/>
    </row>
    <row r="278" spans="1:57" ht="15.75" thickBot="1" x14ac:dyDescent="0.3">
      <c r="A278" s="898" t="s">
        <v>447</v>
      </c>
      <c r="B278" s="899"/>
      <c r="C278" s="899"/>
      <c r="D278" s="899"/>
      <c r="E278" s="899"/>
      <c r="F278" s="899"/>
      <c r="G278" s="899"/>
      <c r="H278" s="899"/>
      <c r="I278" s="899"/>
      <c r="J278" s="652"/>
      <c r="K278" s="653"/>
      <c r="L278" s="653"/>
      <c r="M278" s="653"/>
      <c r="N278" s="653"/>
      <c r="O278" s="653"/>
      <c r="P278" s="654"/>
      <c r="Q278" s="654"/>
      <c r="R278" s="654"/>
      <c r="S278" s="654"/>
      <c r="T278" s="655"/>
      <c r="U278" s="581"/>
      <c r="V278" s="581"/>
      <c r="W278" s="581"/>
      <c r="X278" s="581"/>
      <c r="Y278" s="581"/>
      <c r="Z278" s="581"/>
      <c r="AA278" s="581"/>
      <c r="AB278" s="581"/>
      <c r="AC278" s="581"/>
      <c r="AD278" s="581"/>
      <c r="AE278" s="581"/>
      <c r="AF278" s="581"/>
      <c r="AG278" s="581"/>
      <c r="AH278" s="581"/>
      <c r="AI278" s="581"/>
      <c r="AJ278" s="581"/>
      <c r="AK278" s="581"/>
      <c r="AL278" s="581"/>
      <c r="AM278" s="581"/>
      <c r="AN278" s="581"/>
      <c r="AO278" s="581"/>
      <c r="AP278" s="581"/>
      <c r="AQ278" s="581"/>
      <c r="AR278" s="581"/>
      <c r="AS278" s="581"/>
      <c r="AT278" s="581"/>
      <c r="AU278" s="581"/>
      <c r="AV278" s="581"/>
      <c r="AW278" s="581"/>
      <c r="AX278" s="581"/>
      <c r="AY278" s="581"/>
      <c r="AZ278" s="581"/>
      <c r="BA278" s="581"/>
      <c r="BB278" s="581"/>
      <c r="BC278" s="581"/>
    </row>
    <row r="279" spans="1:57" x14ac:dyDescent="0.25">
      <c r="A279" s="892" t="s">
        <v>448</v>
      </c>
      <c r="B279" s="893"/>
      <c r="C279" s="893"/>
      <c r="D279" s="893"/>
      <c r="E279" s="893"/>
      <c r="F279" s="893"/>
      <c r="G279" s="893"/>
      <c r="H279" s="893"/>
      <c r="I279" s="893"/>
      <c r="J279" s="656"/>
      <c r="K279" s="657"/>
      <c r="L279" s="657"/>
      <c r="M279" s="657"/>
      <c r="N279" s="657"/>
      <c r="O279" s="657"/>
      <c r="P279" s="658"/>
      <c r="Q279" s="658"/>
      <c r="R279" s="658"/>
      <c r="S279" s="658"/>
      <c r="T279" s="659">
        <f>SUM(T281:T282,T284:T302)</f>
        <v>23340.883999999995</v>
      </c>
      <c r="U279" s="581"/>
      <c r="V279" s="581"/>
      <c r="W279" s="581"/>
      <c r="X279" s="581"/>
      <c r="Y279" s="581"/>
      <c r="Z279" s="581"/>
      <c r="AA279" s="581"/>
      <c r="AB279" s="581"/>
      <c r="AC279" s="581"/>
      <c r="AD279" s="581"/>
      <c r="AE279" s="581"/>
      <c r="AF279" s="581"/>
      <c r="AG279" s="581"/>
      <c r="AH279" s="581"/>
      <c r="AI279" s="581"/>
      <c r="AJ279" s="581"/>
      <c r="AK279" s="581"/>
      <c r="AL279" s="581"/>
      <c r="AM279" s="581"/>
      <c r="AN279" s="581"/>
      <c r="AO279" s="581"/>
      <c r="AP279" s="581"/>
      <c r="AQ279" s="581"/>
      <c r="AR279" s="581"/>
      <c r="AS279" s="581"/>
      <c r="AT279" s="581"/>
      <c r="AU279" s="581"/>
      <c r="AV279" s="581"/>
      <c r="AW279" s="581"/>
      <c r="AX279" s="581"/>
      <c r="AY279" s="581"/>
      <c r="AZ279" s="581"/>
      <c r="BA279" s="581"/>
      <c r="BB279" s="581"/>
      <c r="BC279" s="581"/>
    </row>
    <row r="280" spans="1:57" x14ac:dyDescent="0.25">
      <c r="A280" s="896" t="s">
        <v>10</v>
      </c>
      <c r="B280" s="897"/>
      <c r="C280" s="897"/>
      <c r="D280" s="897"/>
      <c r="E280" s="897"/>
      <c r="F280" s="897"/>
      <c r="G280" s="897"/>
      <c r="H280" s="897"/>
      <c r="I280" s="897"/>
      <c r="J280" s="625"/>
      <c r="K280" s="626"/>
      <c r="L280" s="626"/>
      <c r="M280" s="626"/>
      <c r="N280" s="626"/>
      <c r="O280" s="626"/>
      <c r="P280" s="603"/>
      <c r="Q280" s="603"/>
      <c r="R280" s="603"/>
      <c r="S280" s="603"/>
      <c r="T280" s="604"/>
      <c r="U280" s="581"/>
      <c r="V280" s="581"/>
      <c r="W280" s="581"/>
      <c r="X280" s="581"/>
      <c r="Y280" s="581"/>
      <c r="Z280" s="581"/>
      <c r="AA280" s="581"/>
      <c r="AB280" s="581"/>
      <c r="AC280" s="581"/>
      <c r="AD280" s="581"/>
      <c r="AE280" s="581"/>
      <c r="AF280" s="581"/>
      <c r="AG280" s="581"/>
      <c r="AH280" s="581"/>
      <c r="AI280" s="581"/>
      <c r="AJ280" s="581"/>
      <c r="AK280" s="581"/>
      <c r="AL280" s="581"/>
      <c r="AM280" s="581"/>
      <c r="AN280" s="581"/>
      <c r="AO280" s="581"/>
      <c r="AP280" s="581"/>
      <c r="AQ280" s="581"/>
      <c r="AR280" s="581"/>
      <c r="AS280" s="581"/>
      <c r="AT280" s="581"/>
      <c r="AU280" s="581"/>
      <c r="AV280" s="581"/>
      <c r="AW280" s="581"/>
      <c r="AX280" s="581"/>
      <c r="AY280" s="581"/>
      <c r="AZ280" s="581"/>
      <c r="BA280" s="581"/>
      <c r="BB280" s="581"/>
      <c r="BC280" s="581"/>
    </row>
    <row r="281" spans="1:57" x14ac:dyDescent="0.25">
      <c r="A281" s="57" t="s">
        <v>24</v>
      </c>
      <c r="B281" s="682" t="s">
        <v>122</v>
      </c>
      <c r="C281" s="605" t="s">
        <v>25</v>
      </c>
      <c r="D281" s="605">
        <v>10</v>
      </c>
      <c r="E281" s="605">
        <v>3</v>
      </c>
      <c r="F281" s="320">
        <v>1287</v>
      </c>
      <c r="G281" s="373">
        <v>1287</v>
      </c>
      <c r="H281" s="373">
        <v>128.69999999999999</v>
      </c>
      <c r="I281" s="393">
        <v>0.15</v>
      </c>
      <c r="J281" s="607">
        <f>ROUND(G281*(1+'29_01_H_2020'!$F$14),2)</f>
        <v>1415.7</v>
      </c>
      <c r="K281" s="608">
        <f t="shared" ref="K281" si="354">IF(J281&lt;=F281,J281,F281)</f>
        <v>1287</v>
      </c>
      <c r="L281" s="608">
        <f t="shared" ref="L281" si="355">K281-G281</f>
        <v>0</v>
      </c>
      <c r="M281" s="608">
        <f t="shared" ref="M281" si="356">J281-K281</f>
        <v>128.70000000000005</v>
      </c>
      <c r="N281" s="608">
        <f t="shared" ref="N281" si="357">ROUND(H281/G281*K281-H281,2)</f>
        <v>0</v>
      </c>
      <c r="O281" s="608">
        <f t="shared" ref="O281" si="358">ROUND(H281/G281*J281-H281-N281,2)</f>
        <v>12.87</v>
      </c>
      <c r="P281" s="609">
        <f t="shared" ref="P281:P302" si="359">L281+M281+N281+O281</f>
        <v>141.57000000000005</v>
      </c>
      <c r="Q281" s="609">
        <f>P281*I281</f>
        <v>21.235500000000005</v>
      </c>
      <c r="R281" s="609">
        <f t="shared" ref="R281:R302" si="360">Q281*12</f>
        <v>254.82600000000008</v>
      </c>
      <c r="S281" s="609">
        <f t="shared" ref="S281:S302" si="361">ROUND(R281*0.2409,2)</f>
        <v>61.39</v>
      </c>
      <c r="T281" s="610">
        <f t="shared" ref="T281" si="362">SUM(R281:S281)</f>
        <v>316.21600000000007</v>
      </c>
      <c r="U281" s="611"/>
      <c r="V281" s="612"/>
      <c r="W281" s="613"/>
      <c r="X281" s="614"/>
      <c r="Y281" s="614"/>
      <c r="Z281" s="581"/>
      <c r="AA281" s="581"/>
      <c r="AB281" s="615"/>
      <c r="AC281" s="615"/>
      <c r="AD281" s="615"/>
      <c r="AE281" s="615"/>
      <c r="AF281" s="615"/>
      <c r="AG281" s="615"/>
      <c r="AH281" s="615"/>
      <c r="AI281" s="615"/>
      <c r="AJ281" s="615"/>
      <c r="AK281" s="615"/>
      <c r="AL281" s="616"/>
      <c r="AM281" s="581"/>
      <c r="AN281" s="581"/>
      <c r="AO281" s="615"/>
      <c r="AP281" s="615"/>
      <c r="AQ281" s="615"/>
      <c r="AR281" s="615"/>
      <c r="AS281" s="615"/>
      <c r="AT281" s="615"/>
      <c r="AU281" s="615"/>
      <c r="AV281" s="615"/>
      <c r="AW281" s="615"/>
      <c r="AX281" s="615"/>
      <c r="AY281" s="616"/>
      <c r="AZ281" s="581"/>
      <c r="BA281" s="581"/>
      <c r="BB281" s="581"/>
      <c r="BC281" s="581"/>
    </row>
    <row r="282" spans="1:57" x14ac:dyDescent="0.25">
      <c r="A282" s="57" t="s">
        <v>24</v>
      </c>
      <c r="B282" s="682" t="s">
        <v>122</v>
      </c>
      <c r="C282" s="605" t="s">
        <v>25</v>
      </c>
      <c r="D282" s="605">
        <v>10</v>
      </c>
      <c r="E282" s="605">
        <v>3</v>
      </c>
      <c r="F282" s="320">
        <v>1287</v>
      </c>
      <c r="G282" s="373">
        <v>990</v>
      </c>
      <c r="H282" s="373"/>
      <c r="I282" s="393">
        <v>1</v>
      </c>
      <c r="J282" s="607">
        <f>ROUND(G282*(1+'29_01_H_2020'!$F$14),2)</f>
        <v>1089</v>
      </c>
      <c r="K282" s="608">
        <f t="shared" ref="K282" si="363">IF(J282&lt;=F282,J282,F282)</f>
        <v>1089</v>
      </c>
      <c r="L282" s="608">
        <f t="shared" ref="L282" si="364">K282-G282</f>
        <v>99</v>
      </c>
      <c r="M282" s="608">
        <f t="shared" ref="M282" si="365">J282-K282</f>
        <v>0</v>
      </c>
      <c r="N282" s="608">
        <f t="shared" ref="N282" si="366">ROUND(H282/G282*K282-H282,2)</f>
        <v>0</v>
      </c>
      <c r="O282" s="608">
        <f t="shared" ref="O282" si="367">ROUND(H282/G282*J282-H282-N282,2)</f>
        <v>0</v>
      </c>
      <c r="P282" s="609">
        <f t="shared" si="359"/>
        <v>99</v>
      </c>
      <c r="Q282" s="609">
        <f>P282*I282</f>
        <v>99</v>
      </c>
      <c r="R282" s="609">
        <f t="shared" si="360"/>
        <v>1188</v>
      </c>
      <c r="S282" s="609">
        <f t="shared" si="361"/>
        <v>286.19</v>
      </c>
      <c r="T282" s="610">
        <f t="shared" ref="T282" si="368">SUM(R282:S282)</f>
        <v>1474.19</v>
      </c>
      <c r="U282" s="611"/>
      <c r="V282" s="612"/>
      <c r="W282" s="613"/>
      <c r="X282" s="614"/>
      <c r="Y282" s="614"/>
      <c r="Z282" s="581"/>
      <c r="AA282" s="581"/>
      <c r="AB282" s="615"/>
      <c r="AC282" s="615"/>
      <c r="AD282" s="615"/>
      <c r="AE282" s="615"/>
      <c r="AF282" s="615"/>
      <c r="AG282" s="615"/>
      <c r="AH282" s="615"/>
      <c r="AI282" s="615"/>
      <c r="AJ282" s="615"/>
      <c r="AK282" s="615"/>
      <c r="AL282" s="616"/>
      <c r="AM282" s="581"/>
      <c r="AN282" s="581"/>
      <c r="AO282" s="615"/>
      <c r="AP282" s="615"/>
      <c r="AQ282" s="615"/>
      <c r="AR282" s="615"/>
      <c r="AS282" s="615"/>
      <c r="AT282" s="615"/>
      <c r="AU282" s="615"/>
      <c r="AV282" s="615"/>
      <c r="AW282" s="615"/>
      <c r="AX282" s="615"/>
      <c r="AY282" s="616"/>
      <c r="AZ282" s="581"/>
      <c r="BA282" s="581"/>
      <c r="BB282" s="581"/>
      <c r="BC282" s="581"/>
    </row>
    <row r="283" spans="1:57" x14ac:dyDescent="0.25">
      <c r="A283" s="894" t="s">
        <v>27</v>
      </c>
      <c r="B283" s="895"/>
      <c r="C283" s="895"/>
      <c r="D283" s="895"/>
      <c r="E283" s="895"/>
      <c r="F283" s="895"/>
      <c r="G283" s="895"/>
      <c r="H283" s="895"/>
      <c r="I283" s="895"/>
      <c r="J283" s="625"/>
      <c r="K283" s="626"/>
      <c r="L283" s="626"/>
      <c r="M283" s="626"/>
      <c r="N283" s="626"/>
      <c r="O283" s="626"/>
      <c r="P283" s="603"/>
      <c r="Q283" s="603"/>
      <c r="R283" s="603"/>
      <c r="S283" s="603"/>
      <c r="T283" s="604"/>
      <c r="U283" s="581"/>
      <c r="V283" s="581"/>
      <c r="W283" s="581"/>
      <c r="X283" s="581"/>
      <c r="Y283" s="581"/>
      <c r="Z283" s="581"/>
      <c r="AA283" s="581"/>
      <c r="AB283" s="581"/>
      <c r="AC283" s="581"/>
      <c r="AD283" s="581"/>
      <c r="AE283" s="581"/>
      <c r="AF283" s="581"/>
      <c r="AG283" s="581"/>
      <c r="AH283" s="581"/>
      <c r="AI283" s="581"/>
      <c r="AJ283" s="581"/>
      <c r="AK283" s="581"/>
      <c r="AL283" s="581"/>
      <c r="AM283" s="581"/>
      <c r="AN283" s="581"/>
      <c r="AO283" s="581"/>
      <c r="AP283" s="581"/>
      <c r="AQ283" s="581"/>
      <c r="AR283" s="581"/>
      <c r="AS283" s="581"/>
      <c r="AT283" s="581"/>
      <c r="AU283" s="581"/>
      <c r="AV283" s="581"/>
      <c r="AW283" s="581"/>
      <c r="AX283" s="581"/>
      <c r="AY283" s="581"/>
      <c r="AZ283" s="581"/>
      <c r="BA283" s="581"/>
      <c r="BB283" s="581"/>
      <c r="BC283" s="581"/>
    </row>
    <row r="284" spans="1:57" x14ac:dyDescent="0.25">
      <c r="A284" s="489" t="s">
        <v>37</v>
      </c>
      <c r="B284" s="680" t="s">
        <v>122</v>
      </c>
      <c r="C284" s="605" t="s">
        <v>449</v>
      </c>
      <c r="D284" s="605">
        <v>8</v>
      </c>
      <c r="E284" s="605">
        <v>3</v>
      </c>
      <c r="F284" s="320">
        <v>1093</v>
      </c>
      <c r="G284" s="373">
        <v>1093</v>
      </c>
      <c r="H284" s="373"/>
      <c r="I284" s="393">
        <v>1.25</v>
      </c>
      <c r="J284" s="607">
        <f>ROUND(G284*(1+'29_01_H_2020'!$F$10),2)</f>
        <v>1202.3</v>
      </c>
      <c r="K284" s="608">
        <f t="shared" ref="K284" si="369">IF(J284&lt;=F284,J284,F284)</f>
        <v>1093</v>
      </c>
      <c r="L284" s="608">
        <f t="shared" ref="L284" si="370">K284-G284</f>
        <v>0</v>
      </c>
      <c r="M284" s="608">
        <f t="shared" ref="M284" si="371">J284-K284</f>
        <v>109.29999999999995</v>
      </c>
      <c r="N284" s="608">
        <f t="shared" ref="N284" si="372">ROUND(H284/G284*K284-H284,2)</f>
        <v>0</v>
      </c>
      <c r="O284" s="608">
        <f t="shared" ref="O284" si="373">ROUND(H284/G284*J284-H284-N284,2)</f>
        <v>0</v>
      </c>
      <c r="P284" s="609">
        <f t="shared" si="359"/>
        <v>109.29999999999995</v>
      </c>
      <c r="Q284" s="609">
        <f t="shared" ref="Q284:Q302" si="374">P284*I284</f>
        <v>136.62499999999994</v>
      </c>
      <c r="R284" s="609">
        <f t="shared" si="360"/>
        <v>1639.4999999999993</v>
      </c>
      <c r="S284" s="609">
        <f t="shared" si="361"/>
        <v>394.96</v>
      </c>
      <c r="T284" s="610">
        <f t="shared" ref="T284" si="375">SUM(R284:S284)</f>
        <v>2034.4599999999994</v>
      </c>
      <c r="U284" s="611"/>
      <c r="V284" s="612"/>
      <c r="W284" s="613"/>
      <c r="X284" s="614"/>
      <c r="Y284" s="614"/>
      <c r="Z284" s="581"/>
      <c r="AA284" s="581"/>
      <c r="AB284" s="615"/>
      <c r="AC284" s="615"/>
      <c r="AD284" s="615"/>
      <c r="AE284" s="615"/>
      <c r="AF284" s="615"/>
      <c r="AG284" s="615"/>
      <c r="AH284" s="615"/>
      <c r="AI284" s="615"/>
      <c r="AJ284" s="615"/>
      <c r="AK284" s="615"/>
      <c r="AL284" s="616"/>
      <c r="AM284" s="581"/>
      <c r="AN284" s="581"/>
      <c r="AO284" s="615"/>
      <c r="AP284" s="615"/>
      <c r="AQ284" s="615"/>
      <c r="AR284" s="615"/>
      <c r="AS284" s="615"/>
      <c r="AT284" s="615"/>
      <c r="AU284" s="615"/>
      <c r="AV284" s="615"/>
      <c r="AW284" s="615"/>
      <c r="AX284" s="615"/>
      <c r="AY284" s="616"/>
      <c r="AZ284" s="581"/>
      <c r="BA284" s="581"/>
      <c r="BB284" s="581"/>
      <c r="BC284" s="581"/>
    </row>
    <row r="285" spans="1:57" x14ac:dyDescent="0.25">
      <c r="A285" s="489" t="s">
        <v>37</v>
      </c>
      <c r="B285" s="680" t="s">
        <v>122</v>
      </c>
      <c r="C285" s="605" t="s">
        <v>449</v>
      </c>
      <c r="D285" s="605">
        <v>8</v>
      </c>
      <c r="E285" s="605">
        <v>3</v>
      </c>
      <c r="F285" s="320">
        <v>1093</v>
      </c>
      <c r="G285" s="373">
        <v>1067</v>
      </c>
      <c r="H285" s="373"/>
      <c r="I285" s="393">
        <v>1</v>
      </c>
      <c r="J285" s="607">
        <f>ROUND(G285*(1+'29_01_H_2020'!$F$10),2)</f>
        <v>1173.7</v>
      </c>
      <c r="K285" s="608">
        <f t="shared" ref="K285:K302" si="376">IF(J285&lt;=F285,J285,F285)</f>
        <v>1093</v>
      </c>
      <c r="L285" s="608">
        <f t="shared" ref="L285:L302" si="377">K285-G285</f>
        <v>26</v>
      </c>
      <c r="M285" s="608">
        <f t="shared" ref="M285:M302" si="378">J285-K285</f>
        <v>80.700000000000045</v>
      </c>
      <c r="N285" s="608">
        <f t="shared" ref="N285:N302" si="379">ROUND(H285/G285*K285-H285,2)</f>
        <v>0</v>
      </c>
      <c r="O285" s="608">
        <f t="shared" ref="O285:O302" si="380">ROUND(H285/G285*J285-H285-N285,2)</f>
        <v>0</v>
      </c>
      <c r="P285" s="609">
        <f t="shared" si="359"/>
        <v>106.70000000000005</v>
      </c>
      <c r="Q285" s="609">
        <f t="shared" si="374"/>
        <v>106.70000000000005</v>
      </c>
      <c r="R285" s="609">
        <f t="shared" si="360"/>
        <v>1280.4000000000005</v>
      </c>
      <c r="S285" s="609">
        <f t="shared" si="361"/>
        <v>308.45</v>
      </c>
      <c r="T285" s="610">
        <f t="shared" ref="T285:T302" si="381">SUM(R285:S285)</f>
        <v>1588.8500000000006</v>
      </c>
      <c r="U285" s="611"/>
      <c r="V285" s="612"/>
      <c r="W285" s="613"/>
      <c r="X285" s="614"/>
      <c r="Y285" s="614"/>
      <c r="Z285" s="581"/>
      <c r="AA285" s="581"/>
      <c r="AB285" s="615"/>
      <c r="AC285" s="615"/>
      <c r="AD285" s="615"/>
      <c r="AE285" s="615"/>
      <c r="AF285" s="615"/>
      <c r="AG285" s="615"/>
      <c r="AH285" s="615"/>
      <c r="AI285" s="615"/>
      <c r="AJ285" s="615"/>
      <c r="AK285" s="615"/>
      <c r="AL285" s="616"/>
      <c r="AM285" s="581"/>
      <c r="AN285" s="581"/>
      <c r="AO285" s="615"/>
      <c r="AP285" s="615"/>
      <c r="AQ285" s="615"/>
      <c r="AR285" s="615"/>
      <c r="AS285" s="615"/>
      <c r="AT285" s="615"/>
      <c r="AU285" s="615"/>
      <c r="AV285" s="615"/>
      <c r="AW285" s="615"/>
      <c r="AX285" s="615"/>
      <c r="AY285" s="616"/>
      <c r="AZ285" s="581"/>
      <c r="BA285" s="581"/>
      <c r="BB285" s="581"/>
      <c r="BC285" s="581"/>
    </row>
    <row r="286" spans="1:57" x14ac:dyDescent="0.25">
      <c r="A286" s="489" t="s">
        <v>37</v>
      </c>
      <c r="B286" s="680" t="s">
        <v>122</v>
      </c>
      <c r="C286" s="605" t="s">
        <v>449</v>
      </c>
      <c r="D286" s="605">
        <v>8</v>
      </c>
      <c r="E286" s="605">
        <v>3</v>
      </c>
      <c r="F286" s="320">
        <v>1093</v>
      </c>
      <c r="G286" s="373">
        <v>900</v>
      </c>
      <c r="H286" s="373"/>
      <c r="I286" s="393">
        <v>1</v>
      </c>
      <c r="J286" s="607">
        <f>ROUND(G286*(1+'29_01_H_2020'!$F$10),2)</f>
        <v>990</v>
      </c>
      <c r="K286" s="608">
        <f t="shared" si="376"/>
        <v>990</v>
      </c>
      <c r="L286" s="608">
        <f t="shared" si="377"/>
        <v>90</v>
      </c>
      <c r="M286" s="608">
        <f t="shared" si="378"/>
        <v>0</v>
      </c>
      <c r="N286" s="608">
        <f t="shared" si="379"/>
        <v>0</v>
      </c>
      <c r="O286" s="608">
        <f t="shared" si="380"/>
        <v>0</v>
      </c>
      <c r="P286" s="609">
        <f t="shared" si="359"/>
        <v>90</v>
      </c>
      <c r="Q286" s="609">
        <f t="shared" si="374"/>
        <v>90</v>
      </c>
      <c r="R286" s="609">
        <f t="shared" si="360"/>
        <v>1080</v>
      </c>
      <c r="S286" s="609">
        <f t="shared" si="361"/>
        <v>260.17</v>
      </c>
      <c r="T286" s="610">
        <f t="shared" si="381"/>
        <v>1340.17</v>
      </c>
      <c r="U286" s="611"/>
      <c r="V286" s="612"/>
      <c r="W286" s="613"/>
      <c r="X286" s="614"/>
      <c r="Y286" s="614"/>
      <c r="Z286" s="581"/>
      <c r="AA286" s="581"/>
      <c r="AB286" s="615"/>
      <c r="AC286" s="615"/>
      <c r="AD286" s="615"/>
      <c r="AE286" s="615"/>
      <c r="AF286" s="615"/>
      <c r="AG286" s="615"/>
      <c r="AH286" s="615"/>
      <c r="AI286" s="615"/>
      <c r="AJ286" s="615"/>
      <c r="AK286" s="615"/>
      <c r="AL286" s="616"/>
      <c r="AM286" s="581"/>
      <c r="AN286" s="581"/>
      <c r="AO286" s="615"/>
      <c r="AP286" s="615"/>
      <c r="AQ286" s="615"/>
      <c r="AR286" s="615"/>
      <c r="AS286" s="615"/>
      <c r="AT286" s="615"/>
      <c r="AU286" s="615"/>
      <c r="AV286" s="615"/>
      <c r="AW286" s="615"/>
      <c r="AX286" s="615"/>
      <c r="AY286" s="616"/>
      <c r="AZ286" s="581"/>
      <c r="BA286" s="581"/>
      <c r="BB286" s="581"/>
      <c r="BC286" s="581"/>
    </row>
    <row r="287" spans="1:57" x14ac:dyDescent="0.25">
      <c r="A287" s="489" t="s">
        <v>37</v>
      </c>
      <c r="B287" s="680" t="s">
        <v>122</v>
      </c>
      <c r="C287" s="605" t="s">
        <v>449</v>
      </c>
      <c r="D287" s="605">
        <v>8</v>
      </c>
      <c r="E287" s="605">
        <v>3</v>
      </c>
      <c r="F287" s="320">
        <v>1093</v>
      </c>
      <c r="G287" s="373">
        <v>915</v>
      </c>
      <c r="H287" s="373"/>
      <c r="I287" s="393">
        <v>0.25</v>
      </c>
      <c r="J287" s="607">
        <f>ROUND(G287*(1+'29_01_H_2020'!$F$10),2)</f>
        <v>1006.5</v>
      </c>
      <c r="K287" s="608">
        <f t="shared" si="376"/>
        <v>1006.5</v>
      </c>
      <c r="L287" s="608">
        <f t="shared" si="377"/>
        <v>91.5</v>
      </c>
      <c r="M287" s="608">
        <f t="shared" si="378"/>
        <v>0</v>
      </c>
      <c r="N287" s="608">
        <f t="shared" si="379"/>
        <v>0</v>
      </c>
      <c r="O287" s="608">
        <f t="shared" si="380"/>
        <v>0</v>
      </c>
      <c r="P287" s="609">
        <f t="shared" si="359"/>
        <v>91.5</v>
      </c>
      <c r="Q287" s="609">
        <f t="shared" si="374"/>
        <v>22.875</v>
      </c>
      <c r="R287" s="609">
        <f t="shared" si="360"/>
        <v>274.5</v>
      </c>
      <c r="S287" s="609">
        <f t="shared" si="361"/>
        <v>66.13</v>
      </c>
      <c r="T287" s="610">
        <f t="shared" si="381"/>
        <v>340.63</v>
      </c>
      <c r="U287" s="611"/>
      <c r="V287" s="612"/>
      <c r="W287" s="613"/>
      <c r="X287" s="614"/>
      <c r="Y287" s="614"/>
      <c r="Z287" s="581"/>
      <c r="AA287" s="581"/>
      <c r="AB287" s="615"/>
      <c r="AC287" s="615"/>
      <c r="AD287" s="615"/>
      <c r="AE287" s="615"/>
      <c r="AF287" s="615"/>
      <c r="AG287" s="615"/>
      <c r="AH287" s="615"/>
      <c r="AI287" s="615"/>
      <c r="AJ287" s="615"/>
      <c r="AK287" s="615"/>
      <c r="AL287" s="616"/>
      <c r="AM287" s="581"/>
      <c r="AN287" s="581"/>
      <c r="AO287" s="615"/>
      <c r="AP287" s="615"/>
      <c r="AQ287" s="615"/>
      <c r="AR287" s="615"/>
      <c r="AS287" s="615"/>
      <c r="AT287" s="615"/>
      <c r="AU287" s="615"/>
      <c r="AV287" s="615"/>
      <c r="AW287" s="615"/>
      <c r="AX287" s="615"/>
      <c r="AY287" s="616"/>
      <c r="AZ287" s="581"/>
      <c r="BA287" s="581"/>
      <c r="BB287" s="581"/>
      <c r="BC287" s="581"/>
    </row>
    <row r="288" spans="1:57" x14ac:dyDescent="0.25">
      <c r="A288" s="489" t="s">
        <v>37</v>
      </c>
      <c r="B288" s="680" t="s">
        <v>122</v>
      </c>
      <c r="C288" s="605" t="s">
        <v>449</v>
      </c>
      <c r="D288" s="605">
        <v>8</v>
      </c>
      <c r="E288" s="605">
        <v>3</v>
      </c>
      <c r="F288" s="320">
        <v>1093</v>
      </c>
      <c r="G288" s="373">
        <v>762</v>
      </c>
      <c r="H288" s="373"/>
      <c r="I288" s="393">
        <v>1</v>
      </c>
      <c r="J288" s="607">
        <f>ROUND(G288*(1+'29_01_H_2020'!$F$10),2)</f>
        <v>838.2</v>
      </c>
      <c r="K288" s="608">
        <f t="shared" si="376"/>
        <v>838.2</v>
      </c>
      <c r="L288" s="608">
        <f t="shared" si="377"/>
        <v>76.200000000000045</v>
      </c>
      <c r="M288" s="608">
        <f t="shared" si="378"/>
        <v>0</v>
      </c>
      <c r="N288" s="608">
        <f t="shared" si="379"/>
        <v>0</v>
      </c>
      <c r="O288" s="608">
        <f t="shared" si="380"/>
        <v>0</v>
      </c>
      <c r="P288" s="609">
        <f t="shared" si="359"/>
        <v>76.200000000000045</v>
      </c>
      <c r="Q288" s="609">
        <f t="shared" si="374"/>
        <v>76.200000000000045</v>
      </c>
      <c r="R288" s="609">
        <f t="shared" si="360"/>
        <v>914.40000000000055</v>
      </c>
      <c r="S288" s="609">
        <f t="shared" si="361"/>
        <v>220.28</v>
      </c>
      <c r="T288" s="610">
        <f t="shared" si="381"/>
        <v>1134.6800000000005</v>
      </c>
      <c r="U288" s="611"/>
      <c r="V288" s="612"/>
      <c r="W288" s="613"/>
      <c r="X288" s="614"/>
      <c r="Y288" s="614"/>
      <c r="Z288" s="581"/>
      <c r="AA288" s="581"/>
      <c r="AB288" s="615"/>
      <c r="AC288" s="615"/>
      <c r="AD288" s="615"/>
      <c r="AE288" s="615"/>
      <c r="AF288" s="615"/>
      <c r="AG288" s="615"/>
      <c r="AH288" s="615"/>
      <c r="AI288" s="615"/>
      <c r="AJ288" s="615"/>
      <c r="AK288" s="615"/>
      <c r="AL288" s="616"/>
      <c r="AM288" s="581"/>
      <c r="AN288" s="581"/>
      <c r="AO288" s="615"/>
      <c r="AP288" s="615"/>
      <c r="AQ288" s="615"/>
      <c r="AR288" s="615"/>
      <c r="AS288" s="615"/>
      <c r="AT288" s="615"/>
      <c r="AU288" s="615"/>
      <c r="AV288" s="615"/>
      <c r="AW288" s="615"/>
      <c r="AX288" s="615"/>
      <c r="AY288" s="616"/>
      <c r="AZ288" s="581"/>
      <c r="BA288" s="581"/>
      <c r="BB288" s="581"/>
      <c r="BC288" s="581"/>
    </row>
    <row r="289" spans="1:55" x14ac:dyDescent="0.25">
      <c r="A289" s="489" t="s">
        <v>37</v>
      </c>
      <c r="B289" s="680" t="s">
        <v>158</v>
      </c>
      <c r="C289" s="605" t="s">
        <v>41</v>
      </c>
      <c r="D289" s="605">
        <v>6</v>
      </c>
      <c r="E289" s="605">
        <v>3</v>
      </c>
      <c r="F289" s="320">
        <v>899</v>
      </c>
      <c r="G289" s="373">
        <v>558</v>
      </c>
      <c r="H289" s="373"/>
      <c r="I289" s="393">
        <v>1</v>
      </c>
      <c r="J289" s="607">
        <f>ROUND(G289*(1+'29_01_H_2020'!$F$10),2)</f>
        <v>613.79999999999995</v>
      </c>
      <c r="K289" s="608">
        <f t="shared" si="376"/>
        <v>613.79999999999995</v>
      </c>
      <c r="L289" s="608">
        <f t="shared" si="377"/>
        <v>55.799999999999955</v>
      </c>
      <c r="M289" s="608">
        <f t="shared" si="378"/>
        <v>0</v>
      </c>
      <c r="N289" s="608">
        <f t="shared" si="379"/>
        <v>0</v>
      </c>
      <c r="O289" s="608">
        <f t="shared" si="380"/>
        <v>0</v>
      </c>
      <c r="P289" s="609">
        <f t="shared" si="359"/>
        <v>55.799999999999955</v>
      </c>
      <c r="Q289" s="609">
        <f t="shared" si="374"/>
        <v>55.799999999999955</v>
      </c>
      <c r="R289" s="609">
        <f t="shared" si="360"/>
        <v>669.59999999999945</v>
      </c>
      <c r="S289" s="609">
        <f t="shared" si="361"/>
        <v>161.31</v>
      </c>
      <c r="T289" s="610">
        <f t="shared" si="381"/>
        <v>830.9099999999994</v>
      </c>
      <c r="U289" s="611"/>
      <c r="V289" s="612"/>
      <c r="W289" s="613"/>
      <c r="X289" s="614"/>
      <c r="Y289" s="614"/>
      <c r="Z289" s="581"/>
      <c r="AA289" s="581"/>
      <c r="AB289" s="615"/>
      <c r="AC289" s="615"/>
      <c r="AD289" s="615"/>
      <c r="AE289" s="615"/>
      <c r="AF289" s="615"/>
      <c r="AG289" s="615"/>
      <c r="AH289" s="615"/>
      <c r="AI289" s="615"/>
      <c r="AJ289" s="615"/>
      <c r="AK289" s="615"/>
      <c r="AL289" s="616"/>
      <c r="AM289" s="581"/>
      <c r="AN289" s="581"/>
      <c r="AO289" s="615"/>
      <c r="AP289" s="615"/>
      <c r="AQ289" s="615"/>
      <c r="AR289" s="615"/>
      <c r="AS289" s="615"/>
      <c r="AT289" s="615"/>
      <c r="AU289" s="615"/>
      <c r="AV289" s="615"/>
      <c r="AW289" s="615"/>
      <c r="AX289" s="615"/>
      <c r="AY289" s="616"/>
      <c r="AZ289" s="581"/>
      <c r="BA289" s="581"/>
      <c r="BB289" s="581"/>
      <c r="BC289" s="581"/>
    </row>
    <row r="290" spans="1:55" x14ac:dyDescent="0.25">
      <c r="A290" s="489" t="s">
        <v>450</v>
      </c>
      <c r="B290" s="680" t="s">
        <v>122</v>
      </c>
      <c r="C290" s="605" t="s">
        <v>451</v>
      </c>
      <c r="D290" s="605">
        <v>8</v>
      </c>
      <c r="E290" s="605">
        <v>1</v>
      </c>
      <c r="F290" s="320">
        <v>745</v>
      </c>
      <c r="G290" s="373">
        <v>745</v>
      </c>
      <c r="H290" s="373"/>
      <c r="I290" s="393">
        <v>0.25</v>
      </c>
      <c r="J290" s="607">
        <f>ROUND(G290*(1+'29_01_H_2020'!$F$10),2)</f>
        <v>819.5</v>
      </c>
      <c r="K290" s="608">
        <f t="shared" si="376"/>
        <v>745</v>
      </c>
      <c r="L290" s="608">
        <f t="shared" si="377"/>
        <v>0</v>
      </c>
      <c r="M290" s="608">
        <f t="shared" si="378"/>
        <v>74.5</v>
      </c>
      <c r="N290" s="608">
        <f t="shared" si="379"/>
        <v>0</v>
      </c>
      <c r="O290" s="608">
        <f t="shared" si="380"/>
        <v>0</v>
      </c>
      <c r="P290" s="609">
        <f t="shared" si="359"/>
        <v>74.5</v>
      </c>
      <c r="Q290" s="609">
        <f t="shared" si="374"/>
        <v>18.625</v>
      </c>
      <c r="R290" s="609">
        <f t="shared" si="360"/>
        <v>223.5</v>
      </c>
      <c r="S290" s="609">
        <f t="shared" si="361"/>
        <v>53.84</v>
      </c>
      <c r="T290" s="610">
        <f t="shared" si="381"/>
        <v>277.34000000000003</v>
      </c>
      <c r="U290" s="611"/>
      <c r="V290" s="612"/>
      <c r="W290" s="613"/>
      <c r="X290" s="614"/>
      <c r="Y290" s="614"/>
      <c r="Z290" s="581"/>
      <c r="AA290" s="581"/>
      <c r="AB290" s="615"/>
      <c r="AC290" s="615"/>
      <c r="AD290" s="615"/>
      <c r="AE290" s="615"/>
      <c r="AF290" s="615"/>
      <c r="AG290" s="615"/>
      <c r="AH290" s="615"/>
      <c r="AI290" s="615"/>
      <c r="AJ290" s="615"/>
      <c r="AK290" s="615"/>
      <c r="AL290" s="616"/>
      <c r="AM290" s="581"/>
      <c r="AN290" s="581"/>
      <c r="AO290" s="615"/>
      <c r="AP290" s="615"/>
      <c r="AQ290" s="615"/>
      <c r="AR290" s="615"/>
      <c r="AS290" s="615"/>
      <c r="AT290" s="615"/>
      <c r="AU290" s="615"/>
      <c r="AV290" s="615"/>
      <c r="AW290" s="615"/>
      <c r="AX290" s="615"/>
      <c r="AY290" s="616"/>
      <c r="AZ290" s="581"/>
      <c r="BA290" s="581"/>
      <c r="BB290" s="581"/>
      <c r="BC290" s="581"/>
    </row>
    <row r="291" spans="1:55" x14ac:dyDescent="0.25">
      <c r="A291" s="489" t="s">
        <v>313</v>
      </c>
      <c r="B291" s="680" t="s">
        <v>122</v>
      </c>
      <c r="C291" s="605" t="s">
        <v>451</v>
      </c>
      <c r="D291" s="605">
        <v>8</v>
      </c>
      <c r="E291" s="605">
        <v>3</v>
      </c>
      <c r="F291" s="320">
        <v>1093</v>
      </c>
      <c r="G291" s="373">
        <v>1093</v>
      </c>
      <c r="H291" s="373">
        <v>109.3</v>
      </c>
      <c r="I291" s="393">
        <v>0.3</v>
      </c>
      <c r="J291" s="607">
        <f>ROUND(G291*(1+'29_01_H_2020'!$F$10),2)</f>
        <v>1202.3</v>
      </c>
      <c r="K291" s="608">
        <f t="shared" si="376"/>
        <v>1093</v>
      </c>
      <c r="L291" s="608">
        <f t="shared" si="377"/>
        <v>0</v>
      </c>
      <c r="M291" s="608">
        <f t="shared" si="378"/>
        <v>109.29999999999995</v>
      </c>
      <c r="N291" s="608">
        <f t="shared" si="379"/>
        <v>0</v>
      </c>
      <c r="O291" s="608">
        <f t="shared" si="380"/>
        <v>10.93</v>
      </c>
      <c r="P291" s="609">
        <f t="shared" si="359"/>
        <v>120.22999999999996</v>
      </c>
      <c r="Q291" s="609">
        <f t="shared" si="374"/>
        <v>36.068999999999988</v>
      </c>
      <c r="R291" s="609">
        <f t="shared" si="360"/>
        <v>432.82799999999986</v>
      </c>
      <c r="S291" s="609">
        <f t="shared" si="361"/>
        <v>104.27</v>
      </c>
      <c r="T291" s="610">
        <f t="shared" si="381"/>
        <v>537.09799999999984</v>
      </c>
      <c r="U291" s="611"/>
      <c r="V291" s="612"/>
      <c r="W291" s="613"/>
      <c r="X291" s="614"/>
      <c r="Y291" s="614"/>
      <c r="Z291" s="581"/>
      <c r="AA291" s="581"/>
      <c r="AB291" s="615"/>
      <c r="AC291" s="615"/>
      <c r="AD291" s="615"/>
      <c r="AE291" s="615"/>
      <c r="AF291" s="615"/>
      <c r="AG291" s="615"/>
      <c r="AH291" s="615"/>
      <c r="AI291" s="615"/>
      <c r="AJ291" s="615"/>
      <c r="AK291" s="615"/>
      <c r="AL291" s="616"/>
      <c r="AM291" s="581"/>
      <c r="AN291" s="581"/>
      <c r="AO291" s="615"/>
      <c r="AP291" s="615"/>
      <c r="AQ291" s="615"/>
      <c r="AR291" s="615"/>
      <c r="AS291" s="615"/>
      <c r="AT291" s="615"/>
      <c r="AU291" s="615"/>
      <c r="AV291" s="615"/>
      <c r="AW291" s="615"/>
      <c r="AX291" s="615"/>
      <c r="AY291" s="616"/>
      <c r="AZ291" s="581"/>
      <c r="BA291" s="581"/>
      <c r="BB291" s="581"/>
      <c r="BC291" s="581"/>
    </row>
    <row r="292" spans="1:55" x14ac:dyDescent="0.25">
      <c r="A292" s="489" t="s">
        <v>271</v>
      </c>
      <c r="B292" s="680" t="s">
        <v>158</v>
      </c>
      <c r="C292" s="605" t="s">
        <v>18</v>
      </c>
      <c r="D292" s="605">
        <v>8</v>
      </c>
      <c r="E292" s="605">
        <v>3</v>
      </c>
      <c r="F292" s="320">
        <v>1093</v>
      </c>
      <c r="G292" s="373">
        <v>885</v>
      </c>
      <c r="H292" s="373">
        <v>88.5</v>
      </c>
      <c r="I292" s="393">
        <v>0.5</v>
      </c>
      <c r="J292" s="607">
        <f>ROUND(G292*(1+'29_01_H_2020'!$F$10),2)</f>
        <v>973.5</v>
      </c>
      <c r="K292" s="608">
        <f t="shared" si="376"/>
        <v>973.5</v>
      </c>
      <c r="L292" s="608">
        <f t="shared" si="377"/>
        <v>88.5</v>
      </c>
      <c r="M292" s="608">
        <f t="shared" si="378"/>
        <v>0</v>
      </c>
      <c r="N292" s="608">
        <f t="shared" si="379"/>
        <v>8.85</v>
      </c>
      <c r="O292" s="608">
        <f t="shared" si="380"/>
        <v>0</v>
      </c>
      <c r="P292" s="609">
        <f t="shared" si="359"/>
        <v>97.35</v>
      </c>
      <c r="Q292" s="609">
        <f t="shared" si="374"/>
        <v>48.674999999999997</v>
      </c>
      <c r="R292" s="609">
        <f t="shared" si="360"/>
        <v>584.09999999999991</v>
      </c>
      <c r="S292" s="609">
        <f t="shared" si="361"/>
        <v>140.71</v>
      </c>
      <c r="T292" s="610">
        <f t="shared" si="381"/>
        <v>724.81</v>
      </c>
      <c r="U292" s="611"/>
      <c r="V292" s="612"/>
      <c r="W292" s="613"/>
      <c r="X292" s="614"/>
      <c r="Y292" s="614"/>
      <c r="Z292" s="581"/>
      <c r="AA292" s="581"/>
      <c r="AB292" s="615"/>
      <c r="AC292" s="615"/>
      <c r="AD292" s="615"/>
      <c r="AE292" s="615"/>
      <c r="AF292" s="615"/>
      <c r="AG292" s="615"/>
      <c r="AH292" s="615"/>
      <c r="AI292" s="615"/>
      <c r="AJ292" s="615"/>
      <c r="AK292" s="615"/>
      <c r="AL292" s="616"/>
      <c r="AM292" s="581"/>
      <c r="AN292" s="581"/>
      <c r="AO292" s="615"/>
      <c r="AP292" s="615"/>
      <c r="AQ292" s="615"/>
      <c r="AR292" s="615"/>
      <c r="AS292" s="615"/>
      <c r="AT292" s="615"/>
      <c r="AU292" s="615"/>
      <c r="AV292" s="615"/>
      <c r="AW292" s="615"/>
      <c r="AX292" s="615"/>
      <c r="AY292" s="616"/>
      <c r="AZ292" s="581"/>
      <c r="BA292" s="581"/>
      <c r="BB292" s="581"/>
      <c r="BC292" s="581"/>
    </row>
    <row r="293" spans="1:55" x14ac:dyDescent="0.25">
      <c r="A293" s="489" t="s">
        <v>39</v>
      </c>
      <c r="B293" s="680" t="s">
        <v>158</v>
      </c>
      <c r="C293" s="605" t="s">
        <v>25</v>
      </c>
      <c r="D293" s="605">
        <v>7</v>
      </c>
      <c r="E293" s="605">
        <v>3</v>
      </c>
      <c r="F293" s="320">
        <v>996</v>
      </c>
      <c r="G293" s="373">
        <v>778</v>
      </c>
      <c r="H293" s="373">
        <v>23.34</v>
      </c>
      <c r="I293" s="393">
        <v>3</v>
      </c>
      <c r="J293" s="607">
        <f>ROUND(G293*(1+'29_01_H_2020'!$F$10),2)</f>
        <v>855.8</v>
      </c>
      <c r="K293" s="608">
        <f t="shared" si="376"/>
        <v>855.8</v>
      </c>
      <c r="L293" s="608">
        <f t="shared" si="377"/>
        <v>77.799999999999955</v>
      </c>
      <c r="M293" s="608">
        <f t="shared" si="378"/>
        <v>0</v>
      </c>
      <c r="N293" s="608">
        <f t="shared" si="379"/>
        <v>2.33</v>
      </c>
      <c r="O293" s="608">
        <f t="shared" si="380"/>
        <v>0</v>
      </c>
      <c r="P293" s="609">
        <f t="shared" si="359"/>
        <v>80.129999999999953</v>
      </c>
      <c r="Q293" s="609">
        <f t="shared" si="374"/>
        <v>240.38999999999987</v>
      </c>
      <c r="R293" s="609">
        <f t="shared" si="360"/>
        <v>2884.6799999999985</v>
      </c>
      <c r="S293" s="609">
        <f t="shared" si="361"/>
        <v>694.92</v>
      </c>
      <c r="T293" s="610">
        <f t="shared" si="381"/>
        <v>3579.5999999999985</v>
      </c>
      <c r="U293" s="611"/>
      <c r="V293" s="612"/>
      <c r="W293" s="613"/>
      <c r="X293" s="614"/>
      <c r="Y293" s="614"/>
      <c r="Z293" s="581"/>
      <c r="AA293" s="581"/>
      <c r="AB293" s="615"/>
      <c r="AC293" s="615"/>
      <c r="AD293" s="615"/>
      <c r="AE293" s="615"/>
      <c r="AF293" s="615"/>
      <c r="AG293" s="615"/>
      <c r="AH293" s="615"/>
      <c r="AI293" s="615"/>
      <c r="AJ293" s="615"/>
      <c r="AK293" s="615"/>
      <c r="AL293" s="616"/>
      <c r="AM293" s="581"/>
      <c r="AN293" s="581"/>
      <c r="AO293" s="615"/>
      <c r="AP293" s="615"/>
      <c r="AQ293" s="615"/>
      <c r="AR293" s="615"/>
      <c r="AS293" s="615"/>
      <c r="AT293" s="615"/>
      <c r="AU293" s="615"/>
      <c r="AV293" s="615"/>
      <c r="AW293" s="615"/>
      <c r="AX293" s="615"/>
      <c r="AY293" s="616"/>
      <c r="AZ293" s="581"/>
      <c r="BA293" s="581"/>
      <c r="BB293" s="581"/>
      <c r="BC293" s="581"/>
    </row>
    <row r="294" spans="1:55" x14ac:dyDescent="0.25">
      <c r="A294" s="489" t="s">
        <v>39</v>
      </c>
      <c r="B294" s="680" t="s">
        <v>158</v>
      </c>
      <c r="C294" s="605" t="s">
        <v>25</v>
      </c>
      <c r="D294" s="605">
        <v>7</v>
      </c>
      <c r="E294" s="605">
        <v>3</v>
      </c>
      <c r="F294" s="320">
        <v>996</v>
      </c>
      <c r="G294" s="373">
        <v>996</v>
      </c>
      <c r="H294" s="373"/>
      <c r="I294" s="393">
        <v>0.5</v>
      </c>
      <c r="J294" s="607">
        <f>ROUND(G294*(1+'29_01_H_2020'!$F$10),2)</f>
        <v>1095.5999999999999</v>
      </c>
      <c r="K294" s="608">
        <f t="shared" si="376"/>
        <v>996</v>
      </c>
      <c r="L294" s="608">
        <f t="shared" si="377"/>
        <v>0</v>
      </c>
      <c r="M294" s="608">
        <f t="shared" si="378"/>
        <v>99.599999999999909</v>
      </c>
      <c r="N294" s="608">
        <f t="shared" si="379"/>
        <v>0</v>
      </c>
      <c r="O294" s="608">
        <f t="shared" si="380"/>
        <v>0</v>
      </c>
      <c r="P294" s="609">
        <f t="shared" si="359"/>
        <v>99.599999999999909</v>
      </c>
      <c r="Q294" s="609">
        <f t="shared" si="374"/>
        <v>49.799999999999955</v>
      </c>
      <c r="R294" s="609">
        <f t="shared" si="360"/>
        <v>597.59999999999945</v>
      </c>
      <c r="S294" s="609">
        <f t="shared" si="361"/>
        <v>143.96</v>
      </c>
      <c r="T294" s="610">
        <f t="shared" si="381"/>
        <v>741.55999999999949</v>
      </c>
      <c r="U294" s="611"/>
      <c r="V294" s="612"/>
      <c r="W294" s="613"/>
      <c r="X294" s="614"/>
      <c r="Y294" s="614"/>
      <c r="Z294" s="581"/>
      <c r="AA294" s="581"/>
      <c r="AB294" s="615"/>
      <c r="AC294" s="615"/>
      <c r="AD294" s="615"/>
      <c r="AE294" s="615"/>
      <c r="AF294" s="615"/>
      <c r="AG294" s="615"/>
      <c r="AH294" s="615"/>
      <c r="AI294" s="615"/>
      <c r="AJ294" s="615"/>
      <c r="AK294" s="615"/>
      <c r="AL294" s="616"/>
      <c r="AM294" s="581"/>
      <c r="AN294" s="581"/>
      <c r="AO294" s="615"/>
      <c r="AP294" s="615"/>
      <c r="AQ294" s="615"/>
      <c r="AR294" s="615"/>
      <c r="AS294" s="615"/>
      <c r="AT294" s="615"/>
      <c r="AU294" s="615"/>
      <c r="AV294" s="615"/>
      <c r="AW294" s="615"/>
      <c r="AX294" s="615"/>
      <c r="AY294" s="616"/>
      <c r="AZ294" s="581"/>
      <c r="BA294" s="581"/>
      <c r="BB294" s="581"/>
      <c r="BC294" s="581"/>
    </row>
    <row r="295" spans="1:55" x14ac:dyDescent="0.25">
      <c r="A295" s="489" t="s">
        <v>39</v>
      </c>
      <c r="B295" s="680" t="s">
        <v>158</v>
      </c>
      <c r="C295" s="605" t="s">
        <v>25</v>
      </c>
      <c r="D295" s="605">
        <v>7</v>
      </c>
      <c r="E295" s="605">
        <v>3</v>
      </c>
      <c r="F295" s="320">
        <v>996</v>
      </c>
      <c r="G295" s="373">
        <v>915</v>
      </c>
      <c r="H295" s="373"/>
      <c r="I295" s="393">
        <v>0.75</v>
      </c>
      <c r="J295" s="607">
        <f>ROUND(G295*(1+'29_01_H_2020'!$F$10),2)</f>
        <v>1006.5</v>
      </c>
      <c r="K295" s="608">
        <f t="shared" si="376"/>
        <v>996</v>
      </c>
      <c r="L295" s="608">
        <f t="shared" si="377"/>
        <v>81</v>
      </c>
      <c r="M295" s="608">
        <f t="shared" si="378"/>
        <v>10.5</v>
      </c>
      <c r="N295" s="608">
        <f t="shared" si="379"/>
        <v>0</v>
      </c>
      <c r="O295" s="608">
        <f t="shared" si="380"/>
        <v>0</v>
      </c>
      <c r="P295" s="609">
        <f t="shared" si="359"/>
        <v>91.5</v>
      </c>
      <c r="Q295" s="609">
        <f t="shared" si="374"/>
        <v>68.625</v>
      </c>
      <c r="R295" s="609">
        <f t="shared" si="360"/>
        <v>823.5</v>
      </c>
      <c r="S295" s="609">
        <f t="shared" si="361"/>
        <v>198.38</v>
      </c>
      <c r="T295" s="610">
        <f t="shared" si="381"/>
        <v>1021.88</v>
      </c>
      <c r="U295" s="611"/>
      <c r="V295" s="612"/>
      <c r="W295" s="613"/>
      <c r="X295" s="614"/>
      <c r="Y295" s="614"/>
      <c r="Z295" s="581"/>
      <c r="AA295" s="581"/>
      <c r="AB295" s="615"/>
      <c r="AC295" s="615"/>
      <c r="AD295" s="615"/>
      <c r="AE295" s="615"/>
      <c r="AF295" s="615"/>
      <c r="AG295" s="615"/>
      <c r="AH295" s="615"/>
      <c r="AI295" s="615"/>
      <c r="AJ295" s="615"/>
      <c r="AK295" s="615"/>
      <c r="AL295" s="616"/>
      <c r="AM295" s="581"/>
      <c r="AN295" s="581"/>
      <c r="AO295" s="615"/>
      <c r="AP295" s="615"/>
      <c r="AQ295" s="615"/>
      <c r="AR295" s="615"/>
      <c r="AS295" s="615"/>
      <c r="AT295" s="615"/>
      <c r="AU295" s="615"/>
      <c r="AV295" s="615"/>
      <c r="AW295" s="615"/>
      <c r="AX295" s="615"/>
      <c r="AY295" s="616"/>
      <c r="AZ295" s="581"/>
      <c r="BA295" s="581"/>
      <c r="BB295" s="581"/>
      <c r="BC295" s="581"/>
    </row>
    <row r="296" spans="1:55" x14ac:dyDescent="0.25">
      <c r="A296" s="489" t="s">
        <v>39</v>
      </c>
      <c r="B296" s="680" t="s">
        <v>158</v>
      </c>
      <c r="C296" s="605" t="s">
        <v>25</v>
      </c>
      <c r="D296" s="605">
        <v>7</v>
      </c>
      <c r="E296" s="605">
        <v>3</v>
      </c>
      <c r="F296" s="320">
        <v>996</v>
      </c>
      <c r="G296" s="373">
        <v>868</v>
      </c>
      <c r="H296" s="373"/>
      <c r="I296" s="393">
        <v>1</v>
      </c>
      <c r="J296" s="607">
        <f>ROUND(G296*(1+'29_01_H_2020'!$F$10),2)</f>
        <v>954.8</v>
      </c>
      <c r="K296" s="608">
        <f t="shared" si="376"/>
        <v>954.8</v>
      </c>
      <c r="L296" s="608">
        <f t="shared" si="377"/>
        <v>86.799999999999955</v>
      </c>
      <c r="M296" s="608">
        <f t="shared" si="378"/>
        <v>0</v>
      </c>
      <c r="N296" s="608">
        <f t="shared" si="379"/>
        <v>0</v>
      </c>
      <c r="O296" s="608">
        <f t="shared" si="380"/>
        <v>0</v>
      </c>
      <c r="P296" s="609">
        <f t="shared" si="359"/>
        <v>86.799999999999955</v>
      </c>
      <c r="Q296" s="609">
        <f t="shared" si="374"/>
        <v>86.799999999999955</v>
      </c>
      <c r="R296" s="609">
        <f t="shared" si="360"/>
        <v>1041.5999999999995</v>
      </c>
      <c r="S296" s="609">
        <f t="shared" si="361"/>
        <v>250.92</v>
      </c>
      <c r="T296" s="610">
        <f t="shared" si="381"/>
        <v>1292.5199999999995</v>
      </c>
      <c r="U296" s="611"/>
      <c r="V296" s="612"/>
      <c r="W296" s="613"/>
      <c r="X296" s="614"/>
      <c r="Y296" s="614"/>
      <c r="Z296" s="581"/>
      <c r="AA296" s="581"/>
      <c r="AB296" s="615"/>
      <c r="AC296" s="615"/>
      <c r="AD296" s="615"/>
      <c r="AE296" s="615"/>
      <c r="AF296" s="615"/>
      <c r="AG296" s="615"/>
      <c r="AH296" s="615"/>
      <c r="AI296" s="615"/>
      <c r="AJ296" s="615"/>
      <c r="AK296" s="615"/>
      <c r="AL296" s="616"/>
      <c r="AM296" s="581"/>
      <c r="AN296" s="581"/>
      <c r="AO296" s="615"/>
      <c r="AP296" s="615"/>
      <c r="AQ296" s="615"/>
      <c r="AR296" s="615"/>
      <c r="AS296" s="615"/>
      <c r="AT296" s="615"/>
      <c r="AU296" s="615"/>
      <c r="AV296" s="615"/>
      <c r="AW296" s="615"/>
      <c r="AX296" s="615"/>
      <c r="AY296" s="616"/>
      <c r="AZ296" s="581"/>
      <c r="BA296" s="581"/>
      <c r="BB296" s="581"/>
      <c r="BC296" s="581"/>
    </row>
    <row r="297" spans="1:55" x14ac:dyDescent="0.25">
      <c r="A297" s="489" t="s">
        <v>39</v>
      </c>
      <c r="B297" s="680" t="s">
        <v>158</v>
      </c>
      <c r="C297" s="605" t="s">
        <v>25</v>
      </c>
      <c r="D297" s="605">
        <v>7</v>
      </c>
      <c r="E297" s="605">
        <v>3</v>
      </c>
      <c r="F297" s="320">
        <v>996</v>
      </c>
      <c r="G297" s="373">
        <v>840</v>
      </c>
      <c r="H297" s="373"/>
      <c r="I297" s="393">
        <v>1.7</v>
      </c>
      <c r="J297" s="607">
        <f>ROUND(G297*(1+'29_01_H_2020'!$F$10),2)</f>
        <v>924</v>
      </c>
      <c r="K297" s="608">
        <f t="shared" si="376"/>
        <v>924</v>
      </c>
      <c r="L297" s="608">
        <f t="shared" si="377"/>
        <v>84</v>
      </c>
      <c r="M297" s="608">
        <f t="shared" si="378"/>
        <v>0</v>
      </c>
      <c r="N297" s="608">
        <f t="shared" si="379"/>
        <v>0</v>
      </c>
      <c r="O297" s="608">
        <f t="shared" si="380"/>
        <v>0</v>
      </c>
      <c r="P297" s="609">
        <f t="shared" si="359"/>
        <v>84</v>
      </c>
      <c r="Q297" s="609">
        <f t="shared" si="374"/>
        <v>142.79999999999998</v>
      </c>
      <c r="R297" s="609">
        <f t="shared" si="360"/>
        <v>1713.6</v>
      </c>
      <c r="S297" s="609">
        <f t="shared" si="361"/>
        <v>412.81</v>
      </c>
      <c r="T297" s="610">
        <f t="shared" si="381"/>
        <v>2126.41</v>
      </c>
      <c r="U297" s="611"/>
      <c r="V297" s="612"/>
      <c r="W297" s="613"/>
      <c r="X297" s="614"/>
      <c r="Y297" s="614"/>
      <c r="Z297" s="581"/>
      <c r="AA297" s="581"/>
      <c r="AB297" s="615"/>
      <c r="AC297" s="615"/>
      <c r="AD297" s="615"/>
      <c r="AE297" s="615"/>
      <c r="AF297" s="615"/>
      <c r="AG297" s="615"/>
      <c r="AH297" s="615"/>
      <c r="AI297" s="615"/>
      <c r="AJ297" s="615"/>
      <c r="AK297" s="615"/>
      <c r="AL297" s="616"/>
      <c r="AM297" s="581"/>
      <c r="AN297" s="581"/>
      <c r="AO297" s="615"/>
      <c r="AP297" s="615"/>
      <c r="AQ297" s="615"/>
      <c r="AR297" s="615"/>
      <c r="AS297" s="615"/>
      <c r="AT297" s="615"/>
      <c r="AU297" s="615"/>
      <c r="AV297" s="615"/>
      <c r="AW297" s="615"/>
      <c r="AX297" s="615"/>
      <c r="AY297" s="616"/>
      <c r="AZ297" s="581"/>
      <c r="BA297" s="581"/>
      <c r="BB297" s="581"/>
      <c r="BC297" s="581"/>
    </row>
    <row r="298" spans="1:55" x14ac:dyDescent="0.25">
      <c r="A298" s="489" t="s">
        <v>39</v>
      </c>
      <c r="B298" s="680" t="s">
        <v>158</v>
      </c>
      <c r="C298" s="605" t="s">
        <v>25</v>
      </c>
      <c r="D298" s="605">
        <v>7</v>
      </c>
      <c r="E298" s="605">
        <v>2</v>
      </c>
      <c r="F298" s="320">
        <v>835</v>
      </c>
      <c r="G298" s="373">
        <v>835</v>
      </c>
      <c r="H298" s="373"/>
      <c r="I298" s="393">
        <v>0.5</v>
      </c>
      <c r="J298" s="607">
        <f>ROUND(G298*(1+'29_01_H_2020'!$F$10),2)</f>
        <v>918.5</v>
      </c>
      <c r="K298" s="608">
        <f t="shared" si="376"/>
        <v>835</v>
      </c>
      <c r="L298" s="608">
        <f t="shared" si="377"/>
        <v>0</v>
      </c>
      <c r="M298" s="608">
        <f t="shared" si="378"/>
        <v>83.5</v>
      </c>
      <c r="N298" s="608">
        <f t="shared" si="379"/>
        <v>0</v>
      </c>
      <c r="O298" s="608">
        <f t="shared" si="380"/>
        <v>0</v>
      </c>
      <c r="P298" s="609">
        <f t="shared" si="359"/>
        <v>83.5</v>
      </c>
      <c r="Q298" s="609">
        <f t="shared" si="374"/>
        <v>41.75</v>
      </c>
      <c r="R298" s="609">
        <f t="shared" si="360"/>
        <v>501</v>
      </c>
      <c r="S298" s="609">
        <f t="shared" si="361"/>
        <v>120.69</v>
      </c>
      <c r="T298" s="610">
        <f t="shared" si="381"/>
        <v>621.69000000000005</v>
      </c>
      <c r="U298" s="611"/>
      <c r="V298" s="612"/>
      <c r="W298" s="613"/>
      <c r="X298" s="614"/>
      <c r="Y298" s="614"/>
      <c r="Z298" s="581"/>
      <c r="AA298" s="581"/>
      <c r="AB298" s="615"/>
      <c r="AC298" s="615"/>
      <c r="AD298" s="615"/>
      <c r="AE298" s="615"/>
      <c r="AF298" s="615"/>
      <c r="AG298" s="615"/>
      <c r="AH298" s="615"/>
      <c r="AI298" s="615"/>
      <c r="AJ298" s="615"/>
      <c r="AK298" s="615"/>
      <c r="AL298" s="616"/>
      <c r="AM298" s="581"/>
      <c r="AN298" s="581"/>
      <c r="AO298" s="615"/>
      <c r="AP298" s="615"/>
      <c r="AQ298" s="615"/>
      <c r="AR298" s="615"/>
      <c r="AS298" s="615"/>
      <c r="AT298" s="615"/>
      <c r="AU298" s="615"/>
      <c r="AV298" s="615"/>
      <c r="AW298" s="615"/>
      <c r="AX298" s="615"/>
      <c r="AY298" s="616"/>
      <c r="AZ298" s="581"/>
      <c r="BA298" s="581"/>
      <c r="BB298" s="581"/>
      <c r="BC298" s="581"/>
    </row>
    <row r="299" spans="1:55" x14ac:dyDescent="0.25">
      <c r="A299" s="489" t="s">
        <v>39</v>
      </c>
      <c r="B299" s="680" t="s">
        <v>158</v>
      </c>
      <c r="C299" s="605" t="s">
        <v>25</v>
      </c>
      <c r="D299" s="605">
        <v>7</v>
      </c>
      <c r="E299" s="605">
        <v>3</v>
      </c>
      <c r="F299" s="320">
        <v>996</v>
      </c>
      <c r="G299" s="373">
        <v>762</v>
      </c>
      <c r="H299" s="373"/>
      <c r="I299" s="393">
        <v>1</v>
      </c>
      <c r="J299" s="607">
        <f>ROUND(G299*(1+'29_01_H_2020'!$F$10),2)</f>
        <v>838.2</v>
      </c>
      <c r="K299" s="608">
        <f t="shared" si="376"/>
        <v>838.2</v>
      </c>
      <c r="L299" s="608">
        <f t="shared" si="377"/>
        <v>76.200000000000045</v>
      </c>
      <c r="M299" s="608">
        <f t="shared" si="378"/>
        <v>0</v>
      </c>
      <c r="N299" s="608">
        <f t="shared" si="379"/>
        <v>0</v>
      </c>
      <c r="O299" s="608">
        <f t="shared" si="380"/>
        <v>0</v>
      </c>
      <c r="P299" s="609">
        <f t="shared" si="359"/>
        <v>76.200000000000045</v>
      </c>
      <c r="Q299" s="609">
        <f t="shared" si="374"/>
        <v>76.200000000000045</v>
      </c>
      <c r="R299" s="609">
        <f t="shared" si="360"/>
        <v>914.40000000000055</v>
      </c>
      <c r="S299" s="609">
        <f t="shared" si="361"/>
        <v>220.28</v>
      </c>
      <c r="T299" s="610">
        <f t="shared" si="381"/>
        <v>1134.6800000000005</v>
      </c>
      <c r="U299" s="611"/>
      <c r="V299" s="612"/>
      <c r="W299" s="613"/>
      <c r="X299" s="614"/>
      <c r="Y299" s="614"/>
      <c r="Z299" s="581"/>
      <c r="AA299" s="581"/>
      <c r="AB299" s="615"/>
      <c r="AC299" s="615"/>
      <c r="AD299" s="615"/>
      <c r="AE299" s="615"/>
      <c r="AF299" s="615"/>
      <c r="AG299" s="615"/>
      <c r="AH299" s="615"/>
      <c r="AI299" s="615"/>
      <c r="AJ299" s="615"/>
      <c r="AK299" s="615"/>
      <c r="AL299" s="616"/>
      <c r="AM299" s="581"/>
      <c r="AN299" s="581"/>
      <c r="AO299" s="615"/>
      <c r="AP299" s="615"/>
      <c r="AQ299" s="615"/>
      <c r="AR299" s="615"/>
      <c r="AS299" s="615"/>
      <c r="AT299" s="615"/>
      <c r="AU299" s="615"/>
      <c r="AV299" s="615"/>
      <c r="AW299" s="615"/>
      <c r="AX299" s="615"/>
      <c r="AY299" s="616"/>
      <c r="AZ299" s="581"/>
      <c r="BA299" s="581"/>
      <c r="BB299" s="581"/>
      <c r="BC299" s="581"/>
    </row>
    <row r="300" spans="1:55" x14ac:dyDescent="0.25">
      <c r="A300" s="489" t="s">
        <v>39</v>
      </c>
      <c r="B300" s="680" t="s">
        <v>158</v>
      </c>
      <c r="C300" s="605" t="s">
        <v>41</v>
      </c>
      <c r="D300" s="605">
        <v>6</v>
      </c>
      <c r="E300" s="605">
        <v>3</v>
      </c>
      <c r="F300" s="320">
        <v>899</v>
      </c>
      <c r="G300" s="373">
        <v>899</v>
      </c>
      <c r="H300" s="373"/>
      <c r="I300" s="393">
        <v>1</v>
      </c>
      <c r="J300" s="607">
        <f>ROUND(G300*(1+'29_01_H_2020'!$F$10),2)</f>
        <v>988.9</v>
      </c>
      <c r="K300" s="608">
        <f t="shared" si="376"/>
        <v>899</v>
      </c>
      <c r="L300" s="608">
        <f t="shared" si="377"/>
        <v>0</v>
      </c>
      <c r="M300" s="608">
        <f t="shared" si="378"/>
        <v>89.899999999999977</v>
      </c>
      <c r="N300" s="608">
        <f t="shared" si="379"/>
        <v>0</v>
      </c>
      <c r="O300" s="608">
        <f t="shared" si="380"/>
        <v>0</v>
      </c>
      <c r="P300" s="609">
        <f t="shared" si="359"/>
        <v>89.899999999999977</v>
      </c>
      <c r="Q300" s="609">
        <f t="shared" si="374"/>
        <v>89.899999999999977</v>
      </c>
      <c r="R300" s="609">
        <f t="shared" si="360"/>
        <v>1078.7999999999997</v>
      </c>
      <c r="S300" s="609">
        <f t="shared" si="361"/>
        <v>259.88</v>
      </c>
      <c r="T300" s="610">
        <f t="shared" si="381"/>
        <v>1338.6799999999998</v>
      </c>
      <c r="U300" s="611"/>
      <c r="V300" s="612"/>
      <c r="W300" s="613"/>
      <c r="X300" s="614"/>
      <c r="Y300" s="614"/>
      <c r="Z300" s="581"/>
      <c r="AA300" s="581"/>
      <c r="AB300" s="615"/>
      <c r="AC300" s="615"/>
      <c r="AD300" s="615"/>
      <c r="AE300" s="615"/>
      <c r="AF300" s="615"/>
      <c r="AG300" s="615"/>
      <c r="AH300" s="615"/>
      <c r="AI300" s="615"/>
      <c r="AJ300" s="615"/>
      <c r="AK300" s="615"/>
      <c r="AL300" s="616"/>
      <c r="AM300" s="581"/>
      <c r="AN300" s="581"/>
      <c r="AO300" s="615"/>
      <c r="AP300" s="615"/>
      <c r="AQ300" s="615"/>
      <c r="AR300" s="615"/>
      <c r="AS300" s="615"/>
      <c r="AT300" s="615"/>
      <c r="AU300" s="615"/>
      <c r="AV300" s="615"/>
      <c r="AW300" s="615"/>
      <c r="AX300" s="615"/>
      <c r="AY300" s="616"/>
      <c r="AZ300" s="581"/>
      <c r="BA300" s="581"/>
      <c r="BB300" s="581"/>
      <c r="BC300" s="581"/>
    </row>
    <row r="301" spans="1:55" x14ac:dyDescent="0.25">
      <c r="A301" s="489" t="s">
        <v>39</v>
      </c>
      <c r="B301" s="680" t="s">
        <v>158</v>
      </c>
      <c r="C301" s="605" t="s">
        <v>25</v>
      </c>
      <c r="D301" s="605">
        <v>7</v>
      </c>
      <c r="E301" s="605">
        <v>1</v>
      </c>
      <c r="F301" s="320">
        <v>675</v>
      </c>
      <c r="G301" s="373">
        <v>530</v>
      </c>
      <c r="H301" s="373"/>
      <c r="I301" s="393">
        <v>1</v>
      </c>
      <c r="J301" s="607">
        <f>ROUND(G301*(1+'29_01_H_2020'!$F$10),2)</f>
        <v>583</v>
      </c>
      <c r="K301" s="608">
        <f t="shared" si="376"/>
        <v>583</v>
      </c>
      <c r="L301" s="608">
        <f t="shared" si="377"/>
        <v>53</v>
      </c>
      <c r="M301" s="608">
        <f t="shared" si="378"/>
        <v>0</v>
      </c>
      <c r="N301" s="608">
        <f t="shared" si="379"/>
        <v>0</v>
      </c>
      <c r="O301" s="608">
        <f t="shared" si="380"/>
        <v>0</v>
      </c>
      <c r="P301" s="609">
        <f t="shared" si="359"/>
        <v>53</v>
      </c>
      <c r="Q301" s="609">
        <f t="shared" si="374"/>
        <v>53</v>
      </c>
      <c r="R301" s="609">
        <f t="shared" si="360"/>
        <v>636</v>
      </c>
      <c r="S301" s="609">
        <f t="shared" si="361"/>
        <v>153.21</v>
      </c>
      <c r="T301" s="610">
        <f t="shared" si="381"/>
        <v>789.21</v>
      </c>
      <c r="U301" s="611"/>
      <c r="V301" s="612"/>
      <c r="W301" s="613"/>
      <c r="X301" s="614"/>
      <c r="Y301" s="614"/>
      <c r="Z301" s="581"/>
      <c r="AA301" s="581"/>
      <c r="AB301" s="615"/>
      <c r="AC301" s="615"/>
      <c r="AD301" s="615"/>
      <c r="AE301" s="615"/>
      <c r="AF301" s="615"/>
      <c r="AG301" s="615"/>
      <c r="AH301" s="615"/>
      <c r="AI301" s="615"/>
      <c r="AJ301" s="615"/>
      <c r="AK301" s="615"/>
      <c r="AL301" s="616"/>
      <c r="AM301" s="581"/>
      <c r="AN301" s="581"/>
      <c r="AO301" s="615"/>
      <c r="AP301" s="615"/>
      <c r="AQ301" s="615"/>
      <c r="AR301" s="615"/>
      <c r="AS301" s="615"/>
      <c r="AT301" s="615"/>
      <c r="AU301" s="615"/>
      <c r="AV301" s="615"/>
      <c r="AW301" s="615"/>
      <c r="AX301" s="615"/>
      <c r="AY301" s="616"/>
      <c r="AZ301" s="581"/>
      <c r="BA301" s="581"/>
      <c r="BB301" s="581"/>
      <c r="BC301" s="581"/>
    </row>
    <row r="302" spans="1:55" ht="15.75" thickBot="1" x14ac:dyDescent="0.3">
      <c r="A302" s="489" t="s">
        <v>39</v>
      </c>
      <c r="B302" s="680" t="s">
        <v>158</v>
      </c>
      <c r="C302" s="605" t="s">
        <v>41</v>
      </c>
      <c r="D302" s="605">
        <v>6</v>
      </c>
      <c r="E302" s="605">
        <v>3</v>
      </c>
      <c r="F302" s="320">
        <v>899</v>
      </c>
      <c r="G302" s="373">
        <v>640</v>
      </c>
      <c r="H302" s="373"/>
      <c r="I302" s="393">
        <v>0.1</v>
      </c>
      <c r="J302" s="607">
        <f>ROUND(G302*(1+'29_01_H_2020'!$F$10),2)</f>
        <v>704</v>
      </c>
      <c r="K302" s="608">
        <f t="shared" si="376"/>
        <v>704</v>
      </c>
      <c r="L302" s="608">
        <f t="shared" si="377"/>
        <v>64</v>
      </c>
      <c r="M302" s="608">
        <f t="shared" si="378"/>
        <v>0</v>
      </c>
      <c r="N302" s="608">
        <f t="shared" si="379"/>
        <v>0</v>
      </c>
      <c r="O302" s="608">
        <f t="shared" si="380"/>
        <v>0</v>
      </c>
      <c r="P302" s="609">
        <f t="shared" si="359"/>
        <v>64</v>
      </c>
      <c r="Q302" s="609">
        <f t="shared" si="374"/>
        <v>6.4</v>
      </c>
      <c r="R302" s="609">
        <f t="shared" si="360"/>
        <v>76.800000000000011</v>
      </c>
      <c r="S302" s="609">
        <f t="shared" si="361"/>
        <v>18.5</v>
      </c>
      <c r="T302" s="610">
        <f t="shared" si="381"/>
        <v>95.300000000000011</v>
      </c>
      <c r="U302" s="611"/>
      <c r="V302" s="612"/>
      <c r="W302" s="613"/>
      <c r="X302" s="614"/>
      <c r="Y302" s="614"/>
      <c r="Z302" s="581"/>
      <c r="AA302" s="581"/>
      <c r="AB302" s="615"/>
      <c r="AC302" s="615"/>
      <c r="AD302" s="615"/>
      <c r="AE302" s="615"/>
      <c r="AF302" s="615"/>
      <c r="AG302" s="615"/>
      <c r="AH302" s="615"/>
      <c r="AI302" s="615"/>
      <c r="AJ302" s="615"/>
      <c r="AK302" s="615"/>
      <c r="AL302" s="616"/>
      <c r="AM302" s="581"/>
      <c r="AN302" s="581"/>
      <c r="AO302" s="615"/>
      <c r="AP302" s="615"/>
      <c r="AQ302" s="615"/>
      <c r="AR302" s="615"/>
      <c r="AS302" s="615"/>
      <c r="AT302" s="615"/>
      <c r="AU302" s="615"/>
      <c r="AV302" s="615"/>
      <c r="AW302" s="615"/>
      <c r="AX302" s="615"/>
      <c r="AY302" s="616"/>
      <c r="AZ302" s="581"/>
      <c r="BA302" s="581"/>
      <c r="BB302" s="581"/>
      <c r="BC302" s="581"/>
    </row>
    <row r="303" spans="1:55" x14ac:dyDescent="0.25">
      <c r="A303" s="892" t="s">
        <v>452</v>
      </c>
      <c r="B303" s="893"/>
      <c r="C303" s="893"/>
      <c r="D303" s="893"/>
      <c r="E303" s="893"/>
      <c r="F303" s="893"/>
      <c r="G303" s="893"/>
      <c r="H303" s="893"/>
      <c r="I303" s="893"/>
      <c r="J303" s="656"/>
      <c r="K303" s="657"/>
      <c r="L303" s="657"/>
      <c r="M303" s="657"/>
      <c r="N303" s="657"/>
      <c r="O303" s="657"/>
      <c r="P303" s="658"/>
      <c r="Q303" s="658"/>
      <c r="R303" s="658"/>
      <c r="S303" s="658"/>
      <c r="T303" s="659">
        <f>T305</f>
        <v>1679.38</v>
      </c>
      <c r="U303" s="615"/>
      <c r="V303" s="581"/>
      <c r="W303" s="581"/>
      <c r="X303" s="581"/>
      <c r="Y303" s="581"/>
      <c r="Z303" s="581"/>
      <c r="AA303" s="581"/>
      <c r="AB303" s="581"/>
      <c r="AC303" s="581"/>
      <c r="AD303" s="581"/>
      <c r="AE303" s="581"/>
      <c r="AF303" s="581"/>
      <c r="AG303" s="581"/>
      <c r="AH303" s="581"/>
      <c r="AI303" s="615"/>
      <c r="AJ303" s="581"/>
      <c r="AK303" s="581"/>
      <c r="AL303" s="581"/>
      <c r="AM303" s="581"/>
      <c r="AN303" s="581"/>
      <c r="AO303" s="581"/>
      <c r="AP303" s="581"/>
      <c r="AQ303" s="581"/>
      <c r="AR303" s="581"/>
      <c r="AS303" s="581"/>
      <c r="AT303" s="581"/>
      <c r="AU303" s="581"/>
      <c r="AV303" s="615"/>
      <c r="AW303" s="581"/>
      <c r="AX303" s="581"/>
      <c r="AY303" s="581"/>
      <c r="AZ303" s="581"/>
      <c r="BA303" s="581"/>
      <c r="BB303" s="581"/>
      <c r="BC303" s="581"/>
    </row>
    <row r="304" spans="1:55" x14ac:dyDescent="0.25">
      <c r="A304" s="894" t="s">
        <v>27</v>
      </c>
      <c r="B304" s="895"/>
      <c r="C304" s="895"/>
      <c r="D304" s="895"/>
      <c r="E304" s="895"/>
      <c r="F304" s="895"/>
      <c r="G304" s="895"/>
      <c r="H304" s="895"/>
      <c r="I304" s="895"/>
      <c r="J304" s="625"/>
      <c r="K304" s="626"/>
      <c r="L304" s="626"/>
      <c r="M304" s="626"/>
      <c r="N304" s="626"/>
      <c r="O304" s="626"/>
      <c r="P304" s="603"/>
      <c r="Q304" s="603"/>
      <c r="R304" s="603"/>
      <c r="S304" s="603"/>
      <c r="T304" s="604"/>
      <c r="U304" s="581"/>
      <c r="V304" s="581"/>
      <c r="W304" s="581"/>
      <c r="X304" s="581"/>
      <c r="Y304" s="581"/>
      <c r="Z304" s="581"/>
      <c r="AA304" s="581"/>
      <c r="AB304" s="581"/>
      <c r="AC304" s="581"/>
      <c r="AD304" s="581"/>
      <c r="AE304" s="581"/>
      <c r="AF304" s="581"/>
      <c r="AG304" s="581"/>
      <c r="AH304" s="581"/>
      <c r="AI304" s="581"/>
      <c r="AJ304" s="581"/>
      <c r="AK304" s="581"/>
      <c r="AL304" s="581"/>
      <c r="AM304" s="581"/>
      <c r="AN304" s="581"/>
      <c r="AO304" s="581"/>
      <c r="AP304" s="581"/>
      <c r="AQ304" s="581"/>
      <c r="AR304" s="581"/>
      <c r="AS304" s="581"/>
      <c r="AT304" s="581"/>
      <c r="AU304" s="581"/>
      <c r="AV304" s="581"/>
      <c r="AW304" s="581"/>
      <c r="AX304" s="581"/>
      <c r="AY304" s="581"/>
      <c r="AZ304" s="581"/>
      <c r="BA304" s="581"/>
      <c r="BB304" s="581"/>
      <c r="BC304" s="581"/>
    </row>
    <row r="305" spans="1:55" ht="15.75" thickBot="1" x14ac:dyDescent="0.3">
      <c r="A305" s="733" t="s">
        <v>269</v>
      </c>
      <c r="B305" s="734">
        <v>5.0999999999999996</v>
      </c>
      <c r="C305" s="735" t="s">
        <v>36</v>
      </c>
      <c r="D305" s="735">
        <v>8</v>
      </c>
      <c r="E305" s="735">
        <v>3</v>
      </c>
      <c r="F305" s="736">
        <v>1093</v>
      </c>
      <c r="G305" s="737">
        <v>939.8</v>
      </c>
      <c r="H305" s="735">
        <v>187.96</v>
      </c>
      <c r="I305" s="417">
        <v>1</v>
      </c>
      <c r="J305" s="607">
        <f>ROUND(G305*(1+'29_01_H_2020'!$F$10),2)</f>
        <v>1033.78</v>
      </c>
      <c r="K305" s="608">
        <f t="shared" ref="K305" si="382">IF(J305&lt;=F305,J305,F305)</f>
        <v>1033.78</v>
      </c>
      <c r="L305" s="608">
        <f t="shared" ref="L305" si="383">K305-G305</f>
        <v>93.980000000000018</v>
      </c>
      <c r="M305" s="608">
        <f t="shared" ref="M305" si="384">J305-K305</f>
        <v>0</v>
      </c>
      <c r="N305" s="608">
        <f t="shared" ref="N305" si="385">ROUND(H305/G305*K305-H305,2)</f>
        <v>18.8</v>
      </c>
      <c r="O305" s="608">
        <f t="shared" ref="O305" si="386">ROUND(H305/G305*J305-H305-N305,2)</f>
        <v>0</v>
      </c>
      <c r="P305" s="609">
        <f t="shared" ref="P305" si="387">L305+M305+N305+O305</f>
        <v>112.78000000000002</v>
      </c>
      <c r="Q305" s="609">
        <f>P305*I305</f>
        <v>112.78000000000002</v>
      </c>
      <c r="R305" s="609">
        <f t="shared" ref="R305" si="388">Q305*12</f>
        <v>1353.3600000000001</v>
      </c>
      <c r="S305" s="609">
        <f t="shared" ref="S305" si="389">ROUND(R305*0.2409,2)</f>
        <v>326.02</v>
      </c>
      <c r="T305" s="610">
        <f t="shared" ref="T305" si="390">SUM(R305:S305)</f>
        <v>1679.38</v>
      </c>
      <c r="U305" s="611"/>
      <c r="V305" s="612"/>
      <c r="W305" s="613"/>
      <c r="X305" s="614"/>
      <c r="Y305" s="614"/>
      <c r="Z305" s="581"/>
      <c r="AA305" s="581"/>
      <c r="AB305" s="615"/>
      <c r="AC305" s="615"/>
      <c r="AD305" s="615"/>
      <c r="AE305" s="615"/>
      <c r="AF305" s="615"/>
      <c r="AG305" s="615"/>
      <c r="AH305" s="615"/>
      <c r="AI305" s="615"/>
      <c r="AJ305" s="615"/>
      <c r="AK305" s="615"/>
      <c r="AL305" s="616"/>
      <c r="AM305" s="581"/>
      <c r="AN305" s="581"/>
      <c r="AO305" s="615"/>
      <c r="AP305" s="615"/>
      <c r="AQ305" s="615"/>
      <c r="AR305" s="615"/>
      <c r="AS305" s="615"/>
      <c r="AT305" s="615"/>
      <c r="AU305" s="615"/>
      <c r="AV305" s="615"/>
      <c r="AW305" s="615"/>
      <c r="AX305" s="615"/>
      <c r="AY305" s="616"/>
      <c r="AZ305" s="581"/>
      <c r="BA305" s="581"/>
      <c r="BB305" s="581"/>
      <c r="BC305" s="581"/>
    </row>
    <row r="306" spans="1:55" x14ac:dyDescent="0.25">
      <c r="A306" s="892" t="s">
        <v>453</v>
      </c>
      <c r="B306" s="893"/>
      <c r="C306" s="893"/>
      <c r="D306" s="893"/>
      <c r="E306" s="893"/>
      <c r="F306" s="893"/>
      <c r="G306" s="893"/>
      <c r="H306" s="893"/>
      <c r="I306" s="893"/>
      <c r="J306" s="656"/>
      <c r="K306" s="657"/>
      <c r="L306" s="657"/>
      <c r="M306" s="657"/>
      <c r="N306" s="657"/>
      <c r="O306" s="657"/>
      <c r="P306" s="658"/>
      <c r="Q306" s="658"/>
      <c r="R306" s="658"/>
      <c r="S306" s="658"/>
      <c r="T306" s="659">
        <f>SUM(T308:T312,T314:T315)</f>
        <v>8008.28</v>
      </c>
      <c r="U306" s="581"/>
      <c r="V306" s="581"/>
      <c r="W306" s="581"/>
      <c r="X306" s="581"/>
      <c r="Y306" s="581"/>
      <c r="Z306" s="581"/>
      <c r="AA306" s="581"/>
      <c r="AB306" s="581"/>
      <c r="AC306" s="581"/>
      <c r="AD306" s="581"/>
      <c r="AE306" s="581"/>
      <c r="AF306" s="581"/>
      <c r="AG306" s="581"/>
      <c r="AH306" s="581"/>
      <c r="AI306" s="581"/>
      <c r="AJ306" s="581"/>
      <c r="AK306" s="581"/>
      <c r="AL306" s="581"/>
      <c r="AM306" s="581"/>
      <c r="AN306" s="581"/>
      <c r="AO306" s="581"/>
      <c r="AP306" s="581"/>
      <c r="AQ306" s="581"/>
      <c r="AR306" s="581"/>
      <c r="AS306" s="581"/>
      <c r="AT306" s="581"/>
      <c r="AU306" s="581"/>
      <c r="AV306" s="581"/>
      <c r="AW306" s="581"/>
      <c r="AX306" s="581"/>
      <c r="AY306" s="581"/>
      <c r="AZ306" s="581"/>
      <c r="BA306" s="581"/>
      <c r="BB306" s="581"/>
      <c r="BC306" s="581"/>
    </row>
    <row r="307" spans="1:55" x14ac:dyDescent="0.25">
      <c r="A307" s="896" t="s">
        <v>10</v>
      </c>
      <c r="B307" s="897"/>
      <c r="C307" s="897"/>
      <c r="D307" s="897"/>
      <c r="E307" s="897"/>
      <c r="F307" s="897"/>
      <c r="G307" s="897"/>
      <c r="H307" s="897"/>
      <c r="I307" s="897"/>
      <c r="J307" s="625"/>
      <c r="K307" s="626"/>
      <c r="L307" s="626"/>
      <c r="M307" s="626"/>
      <c r="N307" s="626"/>
      <c r="O307" s="626"/>
      <c r="P307" s="603"/>
      <c r="Q307" s="603"/>
      <c r="R307" s="603"/>
      <c r="S307" s="603"/>
      <c r="T307" s="604"/>
      <c r="U307" s="581"/>
      <c r="V307" s="581"/>
      <c r="W307" s="581"/>
      <c r="X307" s="581"/>
      <c r="Y307" s="581"/>
      <c r="Z307" s="581"/>
      <c r="AA307" s="581"/>
      <c r="AB307" s="581"/>
      <c r="AC307" s="581"/>
      <c r="AD307" s="581"/>
      <c r="AE307" s="581"/>
      <c r="AF307" s="581"/>
      <c r="AG307" s="581"/>
      <c r="AH307" s="581"/>
      <c r="AI307" s="581"/>
      <c r="AJ307" s="581"/>
      <c r="AK307" s="581"/>
      <c r="AL307" s="581"/>
      <c r="AM307" s="581"/>
      <c r="AN307" s="581"/>
      <c r="AO307" s="581"/>
      <c r="AP307" s="581"/>
      <c r="AQ307" s="581"/>
      <c r="AR307" s="581"/>
      <c r="AS307" s="581"/>
      <c r="AT307" s="581"/>
      <c r="AU307" s="581"/>
      <c r="AV307" s="581"/>
      <c r="AW307" s="581"/>
      <c r="AX307" s="581"/>
      <c r="AY307" s="581"/>
      <c r="AZ307" s="581"/>
      <c r="BA307" s="581"/>
      <c r="BB307" s="581"/>
      <c r="BC307" s="581"/>
    </row>
    <row r="308" spans="1:55" x14ac:dyDescent="0.25">
      <c r="A308" s="57" t="s">
        <v>24</v>
      </c>
      <c r="B308" s="682" t="s">
        <v>15</v>
      </c>
      <c r="C308" s="605" t="s">
        <v>25</v>
      </c>
      <c r="D308" s="605">
        <v>10</v>
      </c>
      <c r="E308" s="605">
        <v>3</v>
      </c>
      <c r="F308" s="320">
        <v>1287</v>
      </c>
      <c r="G308" s="373">
        <v>1101</v>
      </c>
      <c r="H308" s="373"/>
      <c r="I308" s="393">
        <v>1</v>
      </c>
      <c r="J308" s="607">
        <f>ROUND(G308*(1+'29_01_H_2020'!$F$14),2)</f>
        <v>1211.0999999999999</v>
      </c>
      <c r="K308" s="608">
        <f t="shared" ref="K308" si="391">IF(J308&lt;=F308,J308,F308)</f>
        <v>1211.0999999999999</v>
      </c>
      <c r="L308" s="608">
        <f t="shared" ref="L308" si="392">K308-G308</f>
        <v>110.09999999999991</v>
      </c>
      <c r="M308" s="608">
        <f t="shared" ref="M308" si="393">J308-K308</f>
        <v>0</v>
      </c>
      <c r="N308" s="608">
        <f t="shared" ref="N308" si="394">ROUND(H308/G308*K308-H308,2)</f>
        <v>0</v>
      </c>
      <c r="O308" s="608">
        <f t="shared" ref="O308" si="395">ROUND(H308/G308*J308-H308-N308,2)</f>
        <v>0</v>
      </c>
      <c r="P308" s="609">
        <f t="shared" ref="P308:P315" si="396">L308+M308+N308+O308</f>
        <v>110.09999999999991</v>
      </c>
      <c r="Q308" s="609">
        <f>P308*I308</f>
        <v>110.09999999999991</v>
      </c>
      <c r="R308" s="609">
        <f t="shared" ref="R308:R315" si="397">Q308*12</f>
        <v>1321.1999999999989</v>
      </c>
      <c r="S308" s="609">
        <f t="shared" ref="S308:S315" si="398">ROUND(R308*0.2409,2)</f>
        <v>318.27999999999997</v>
      </c>
      <c r="T308" s="610">
        <f t="shared" ref="T308" si="399">SUM(R308:S308)</f>
        <v>1639.4799999999989</v>
      </c>
      <c r="U308" s="611"/>
      <c r="V308" s="612"/>
      <c r="W308" s="613"/>
      <c r="X308" s="614"/>
      <c r="Y308" s="614"/>
      <c r="Z308" s="581"/>
      <c r="AA308" s="581"/>
      <c r="AB308" s="615"/>
      <c r="AC308" s="615"/>
      <c r="AD308" s="615"/>
      <c r="AE308" s="615"/>
      <c r="AF308" s="615"/>
      <c r="AG308" s="615"/>
      <c r="AH308" s="615"/>
      <c r="AI308" s="615"/>
      <c r="AJ308" s="615"/>
      <c r="AK308" s="615"/>
      <c r="AL308" s="616"/>
      <c r="AM308" s="581"/>
      <c r="AN308" s="581"/>
      <c r="AO308" s="615"/>
      <c r="AP308" s="615"/>
      <c r="AQ308" s="615"/>
      <c r="AR308" s="615"/>
      <c r="AS308" s="615"/>
      <c r="AT308" s="615"/>
      <c r="AU308" s="615"/>
      <c r="AV308" s="615"/>
      <c r="AW308" s="615"/>
      <c r="AX308" s="615"/>
      <c r="AY308" s="616"/>
      <c r="AZ308" s="581"/>
      <c r="BA308" s="581"/>
      <c r="BB308" s="581"/>
      <c r="BC308" s="581"/>
    </row>
    <row r="309" spans="1:55" x14ac:dyDescent="0.25">
      <c r="A309" s="57" t="s">
        <v>24</v>
      </c>
      <c r="B309" s="682" t="s">
        <v>15</v>
      </c>
      <c r="C309" s="605" t="s">
        <v>295</v>
      </c>
      <c r="D309" s="605">
        <v>9</v>
      </c>
      <c r="E309" s="605">
        <v>3</v>
      </c>
      <c r="F309" s="320">
        <v>1190</v>
      </c>
      <c r="G309" s="373">
        <v>1190</v>
      </c>
      <c r="H309" s="373"/>
      <c r="I309" s="393">
        <v>0.4</v>
      </c>
      <c r="J309" s="607">
        <f>ROUND(G309*(1+'29_01_H_2020'!$F$14),2)</f>
        <v>1309</v>
      </c>
      <c r="K309" s="608">
        <f t="shared" ref="K309:K312" si="400">IF(J309&lt;=F309,J309,F309)</f>
        <v>1190</v>
      </c>
      <c r="L309" s="608">
        <f t="shared" ref="L309:L312" si="401">K309-G309</f>
        <v>0</v>
      </c>
      <c r="M309" s="608">
        <f t="shared" ref="M309:M312" si="402">J309-K309</f>
        <v>119</v>
      </c>
      <c r="N309" s="608">
        <f t="shared" ref="N309:N312" si="403">ROUND(H309/G309*K309-H309,2)</f>
        <v>0</v>
      </c>
      <c r="O309" s="608">
        <f t="shared" ref="O309:O312" si="404">ROUND(H309/G309*J309-H309-N309,2)</f>
        <v>0</v>
      </c>
      <c r="P309" s="609">
        <f t="shared" si="396"/>
        <v>119</v>
      </c>
      <c r="Q309" s="609">
        <f>P309*I309</f>
        <v>47.6</v>
      </c>
      <c r="R309" s="609">
        <f t="shared" si="397"/>
        <v>571.20000000000005</v>
      </c>
      <c r="S309" s="609">
        <f t="shared" si="398"/>
        <v>137.6</v>
      </c>
      <c r="T309" s="610">
        <f t="shared" ref="T309:T312" si="405">SUM(R309:S309)</f>
        <v>708.80000000000007</v>
      </c>
      <c r="U309" s="611"/>
      <c r="V309" s="612"/>
      <c r="W309" s="613"/>
      <c r="X309" s="614"/>
      <c r="Y309" s="614"/>
      <c r="Z309" s="581"/>
      <c r="AA309" s="581"/>
      <c r="AB309" s="615"/>
      <c r="AC309" s="615"/>
      <c r="AD309" s="615"/>
      <c r="AE309" s="615"/>
      <c r="AF309" s="615"/>
      <c r="AG309" s="615"/>
      <c r="AH309" s="615"/>
      <c r="AI309" s="615"/>
      <c r="AJ309" s="615"/>
      <c r="AK309" s="615"/>
      <c r="AL309" s="616"/>
      <c r="AM309" s="581"/>
      <c r="AN309" s="581"/>
      <c r="AO309" s="615"/>
      <c r="AP309" s="615"/>
      <c r="AQ309" s="615"/>
      <c r="AR309" s="615"/>
      <c r="AS309" s="615"/>
      <c r="AT309" s="615"/>
      <c r="AU309" s="615"/>
      <c r="AV309" s="615"/>
      <c r="AW309" s="615"/>
      <c r="AX309" s="615"/>
      <c r="AY309" s="616"/>
      <c r="AZ309" s="581"/>
      <c r="BA309" s="581"/>
      <c r="BB309" s="581"/>
      <c r="BC309" s="581"/>
    </row>
    <row r="310" spans="1:55" x14ac:dyDescent="0.25">
      <c r="A310" s="57" t="s">
        <v>24</v>
      </c>
      <c r="B310" s="682" t="s">
        <v>15</v>
      </c>
      <c r="C310" s="605" t="s">
        <v>295</v>
      </c>
      <c r="D310" s="605">
        <v>9</v>
      </c>
      <c r="E310" s="605">
        <v>2</v>
      </c>
      <c r="F310" s="320">
        <v>1015</v>
      </c>
      <c r="G310" s="373">
        <v>937.5</v>
      </c>
      <c r="H310" s="373"/>
      <c r="I310" s="393">
        <v>0.4</v>
      </c>
      <c r="J310" s="607">
        <f>ROUND(G310*(1+'29_01_H_2020'!$F$14),2)</f>
        <v>1031.25</v>
      </c>
      <c r="K310" s="608">
        <f t="shared" si="400"/>
        <v>1015</v>
      </c>
      <c r="L310" s="608">
        <f t="shared" si="401"/>
        <v>77.5</v>
      </c>
      <c r="M310" s="608">
        <f t="shared" si="402"/>
        <v>16.25</v>
      </c>
      <c r="N310" s="608">
        <f t="shared" si="403"/>
        <v>0</v>
      </c>
      <c r="O310" s="608">
        <f t="shared" si="404"/>
        <v>0</v>
      </c>
      <c r="P310" s="609">
        <f t="shared" si="396"/>
        <v>93.75</v>
      </c>
      <c r="Q310" s="609">
        <f>P310*I310</f>
        <v>37.5</v>
      </c>
      <c r="R310" s="609">
        <f t="shared" si="397"/>
        <v>450</v>
      </c>
      <c r="S310" s="609">
        <f t="shared" si="398"/>
        <v>108.41</v>
      </c>
      <c r="T310" s="610">
        <f t="shared" si="405"/>
        <v>558.41</v>
      </c>
      <c r="U310" s="611"/>
      <c r="V310" s="612"/>
      <c r="W310" s="613"/>
      <c r="X310" s="614"/>
      <c r="Y310" s="614"/>
      <c r="Z310" s="581"/>
      <c r="AA310" s="581"/>
      <c r="AB310" s="615"/>
      <c r="AC310" s="615"/>
      <c r="AD310" s="615"/>
      <c r="AE310" s="615"/>
      <c r="AF310" s="615"/>
      <c r="AG310" s="615"/>
      <c r="AH310" s="615"/>
      <c r="AI310" s="615"/>
      <c r="AJ310" s="615"/>
      <c r="AK310" s="615"/>
      <c r="AL310" s="616"/>
      <c r="AM310" s="581"/>
      <c r="AN310" s="581"/>
      <c r="AO310" s="615"/>
      <c r="AP310" s="615"/>
      <c r="AQ310" s="615"/>
      <c r="AR310" s="615"/>
      <c r="AS310" s="615"/>
      <c r="AT310" s="615"/>
      <c r="AU310" s="615"/>
      <c r="AV310" s="615"/>
      <c r="AW310" s="615"/>
      <c r="AX310" s="615"/>
      <c r="AY310" s="616"/>
      <c r="AZ310" s="581"/>
      <c r="BA310" s="581"/>
      <c r="BB310" s="581"/>
      <c r="BC310" s="581"/>
    </row>
    <row r="311" spans="1:55" x14ac:dyDescent="0.25">
      <c r="A311" s="57" t="s">
        <v>24</v>
      </c>
      <c r="B311" s="682" t="s">
        <v>15</v>
      </c>
      <c r="C311" s="605" t="s">
        <v>295</v>
      </c>
      <c r="D311" s="605">
        <v>9</v>
      </c>
      <c r="E311" s="605">
        <v>3</v>
      </c>
      <c r="F311" s="320">
        <v>1190</v>
      </c>
      <c r="G311" s="373">
        <v>950</v>
      </c>
      <c r="H311" s="373"/>
      <c r="I311" s="393">
        <v>1</v>
      </c>
      <c r="J311" s="607">
        <f>ROUND(G311*(1+'29_01_H_2020'!$F$14),2)</f>
        <v>1045</v>
      </c>
      <c r="K311" s="608">
        <f t="shared" si="400"/>
        <v>1045</v>
      </c>
      <c r="L311" s="608">
        <f t="shared" si="401"/>
        <v>95</v>
      </c>
      <c r="M311" s="608">
        <f t="shared" si="402"/>
        <v>0</v>
      </c>
      <c r="N311" s="608">
        <f t="shared" si="403"/>
        <v>0</v>
      </c>
      <c r="O311" s="608">
        <f t="shared" si="404"/>
        <v>0</v>
      </c>
      <c r="P311" s="609">
        <f t="shared" si="396"/>
        <v>95</v>
      </c>
      <c r="Q311" s="609">
        <f>P311*I311</f>
        <v>95</v>
      </c>
      <c r="R311" s="609">
        <f t="shared" si="397"/>
        <v>1140</v>
      </c>
      <c r="S311" s="609">
        <f t="shared" si="398"/>
        <v>274.63</v>
      </c>
      <c r="T311" s="610">
        <f t="shared" si="405"/>
        <v>1414.63</v>
      </c>
      <c r="U311" s="611"/>
      <c r="V311" s="612"/>
      <c r="W311" s="613"/>
      <c r="X311" s="614"/>
      <c r="Y311" s="614"/>
      <c r="Z311" s="581"/>
      <c r="AA311" s="581"/>
      <c r="AB311" s="615"/>
      <c r="AC311" s="615"/>
      <c r="AD311" s="615"/>
      <c r="AE311" s="615"/>
      <c r="AF311" s="615"/>
      <c r="AG311" s="615"/>
      <c r="AH311" s="615"/>
      <c r="AI311" s="615"/>
      <c r="AJ311" s="615"/>
      <c r="AK311" s="615"/>
      <c r="AL311" s="616"/>
      <c r="AM311" s="581"/>
      <c r="AN311" s="581"/>
      <c r="AO311" s="615"/>
      <c r="AP311" s="615"/>
      <c r="AQ311" s="615"/>
      <c r="AR311" s="615"/>
      <c r="AS311" s="615"/>
      <c r="AT311" s="615"/>
      <c r="AU311" s="615"/>
      <c r="AV311" s="615"/>
      <c r="AW311" s="615"/>
      <c r="AX311" s="615"/>
      <c r="AY311" s="616"/>
      <c r="AZ311" s="581"/>
      <c r="BA311" s="581"/>
      <c r="BB311" s="581"/>
      <c r="BC311" s="581"/>
    </row>
    <row r="312" spans="1:55" x14ac:dyDescent="0.25">
      <c r="A312" s="57" t="s">
        <v>24</v>
      </c>
      <c r="B312" s="682" t="s">
        <v>15</v>
      </c>
      <c r="C312" s="605" t="s">
        <v>274</v>
      </c>
      <c r="D312" s="605">
        <v>8</v>
      </c>
      <c r="E312" s="605">
        <v>3</v>
      </c>
      <c r="F312" s="320">
        <v>1093</v>
      </c>
      <c r="G312" s="373">
        <v>932</v>
      </c>
      <c r="H312" s="373"/>
      <c r="I312" s="393">
        <v>1</v>
      </c>
      <c r="J312" s="607">
        <f>ROUND(G312*(1+'29_01_H_2020'!$F$14),2)</f>
        <v>1025.2</v>
      </c>
      <c r="K312" s="608">
        <f t="shared" si="400"/>
        <v>1025.2</v>
      </c>
      <c r="L312" s="608">
        <f t="shared" si="401"/>
        <v>93.200000000000045</v>
      </c>
      <c r="M312" s="608">
        <f t="shared" si="402"/>
        <v>0</v>
      </c>
      <c r="N312" s="608">
        <f t="shared" si="403"/>
        <v>0</v>
      </c>
      <c r="O312" s="608">
        <f t="shared" si="404"/>
        <v>0</v>
      </c>
      <c r="P312" s="609">
        <f t="shared" si="396"/>
        <v>93.200000000000045</v>
      </c>
      <c r="Q312" s="609">
        <f>P312*I312</f>
        <v>93.200000000000045</v>
      </c>
      <c r="R312" s="609">
        <f t="shared" si="397"/>
        <v>1118.4000000000005</v>
      </c>
      <c r="S312" s="609">
        <f t="shared" si="398"/>
        <v>269.42</v>
      </c>
      <c r="T312" s="610">
        <f t="shared" si="405"/>
        <v>1387.8200000000006</v>
      </c>
      <c r="U312" s="611"/>
      <c r="V312" s="612"/>
      <c r="W312" s="613"/>
      <c r="X312" s="614"/>
      <c r="Y312" s="614"/>
      <c r="Z312" s="581"/>
      <c r="AA312" s="581"/>
      <c r="AB312" s="615"/>
      <c r="AC312" s="615"/>
      <c r="AD312" s="615"/>
      <c r="AE312" s="615"/>
      <c r="AF312" s="615"/>
      <c r="AG312" s="615"/>
      <c r="AH312" s="615"/>
      <c r="AI312" s="615"/>
      <c r="AJ312" s="615"/>
      <c r="AK312" s="615"/>
      <c r="AL312" s="616"/>
      <c r="AM312" s="581"/>
      <c r="AN312" s="581"/>
      <c r="AO312" s="615"/>
      <c r="AP312" s="615"/>
      <c r="AQ312" s="615"/>
      <c r="AR312" s="615"/>
      <c r="AS312" s="615"/>
      <c r="AT312" s="615"/>
      <c r="AU312" s="615"/>
      <c r="AV312" s="615"/>
      <c r="AW312" s="615"/>
      <c r="AX312" s="615"/>
      <c r="AY312" s="616"/>
      <c r="AZ312" s="581"/>
      <c r="BA312" s="581"/>
      <c r="BB312" s="581"/>
      <c r="BC312" s="581"/>
    </row>
    <row r="313" spans="1:55" x14ac:dyDescent="0.25">
      <c r="A313" s="894" t="s">
        <v>27</v>
      </c>
      <c r="B313" s="895"/>
      <c r="C313" s="895"/>
      <c r="D313" s="895"/>
      <c r="E313" s="895"/>
      <c r="F313" s="895"/>
      <c r="G313" s="895"/>
      <c r="H313" s="895"/>
      <c r="I313" s="895"/>
      <c r="J313" s="625"/>
      <c r="K313" s="626"/>
      <c r="L313" s="626"/>
      <c r="M313" s="626"/>
      <c r="N313" s="626"/>
      <c r="O313" s="626"/>
      <c r="P313" s="603"/>
      <c r="Q313" s="603"/>
      <c r="R313" s="603"/>
      <c r="S313" s="603"/>
      <c r="T313" s="604"/>
      <c r="U313" s="581"/>
      <c r="V313" s="581"/>
      <c r="W313" s="581"/>
      <c r="X313" s="581"/>
      <c r="Y313" s="581"/>
      <c r="Z313" s="581"/>
      <c r="AA313" s="581"/>
      <c r="AB313" s="581"/>
      <c r="AC313" s="581"/>
      <c r="AD313" s="581"/>
      <c r="AE313" s="581"/>
      <c r="AF313" s="581"/>
      <c r="AG313" s="581"/>
      <c r="AH313" s="581"/>
      <c r="AI313" s="581"/>
      <c r="AJ313" s="581"/>
      <c r="AK313" s="581"/>
      <c r="AL313" s="581"/>
      <c r="AM313" s="581"/>
      <c r="AN313" s="581"/>
      <c r="AO313" s="581"/>
      <c r="AP313" s="581"/>
      <c r="AQ313" s="581"/>
      <c r="AR313" s="581"/>
      <c r="AS313" s="581"/>
      <c r="AT313" s="581"/>
      <c r="AU313" s="581"/>
      <c r="AV313" s="581"/>
      <c r="AW313" s="581"/>
      <c r="AX313" s="581"/>
      <c r="AY313" s="581"/>
      <c r="AZ313" s="581"/>
      <c r="BA313" s="581"/>
      <c r="BB313" s="581"/>
      <c r="BC313" s="581"/>
    </row>
    <row r="314" spans="1:55" x14ac:dyDescent="0.25">
      <c r="A314" s="738" t="s">
        <v>39</v>
      </c>
      <c r="B314" s="682" t="s">
        <v>22</v>
      </c>
      <c r="C314" s="605" t="s">
        <v>25</v>
      </c>
      <c r="D314" s="605">
        <v>7</v>
      </c>
      <c r="E314" s="605">
        <v>3</v>
      </c>
      <c r="F314" s="320">
        <v>996</v>
      </c>
      <c r="G314" s="373">
        <v>854</v>
      </c>
      <c r="H314" s="373"/>
      <c r="I314" s="393">
        <v>1</v>
      </c>
      <c r="J314" s="607">
        <f>ROUND(G314*(1+'29_01_H_2020'!$F$10),2)</f>
        <v>939.4</v>
      </c>
      <c r="K314" s="608">
        <f t="shared" ref="K314" si="406">IF(J314&lt;=F314,J314,F314)</f>
        <v>939.4</v>
      </c>
      <c r="L314" s="608">
        <f t="shared" ref="L314" si="407">K314-G314</f>
        <v>85.399999999999977</v>
      </c>
      <c r="M314" s="608">
        <f t="shared" ref="M314" si="408">J314-K314</f>
        <v>0</v>
      </c>
      <c r="N314" s="608">
        <f t="shared" ref="N314" si="409">ROUND(H314/G314*K314-H314,2)</f>
        <v>0</v>
      </c>
      <c r="O314" s="608">
        <f t="shared" ref="O314" si="410">ROUND(H314/G314*J314-H314-N314,2)</f>
        <v>0</v>
      </c>
      <c r="P314" s="609">
        <f t="shared" si="396"/>
        <v>85.399999999999977</v>
      </c>
      <c r="Q314" s="609">
        <f>P314*I314</f>
        <v>85.399999999999977</v>
      </c>
      <c r="R314" s="609">
        <f t="shared" si="397"/>
        <v>1024.7999999999997</v>
      </c>
      <c r="S314" s="609">
        <f t="shared" si="398"/>
        <v>246.87</v>
      </c>
      <c r="T314" s="610">
        <f t="shared" ref="T314" si="411">SUM(R314:S314)</f>
        <v>1271.6699999999996</v>
      </c>
      <c r="U314" s="611"/>
      <c r="V314" s="612"/>
      <c r="W314" s="613"/>
      <c r="X314" s="614"/>
      <c r="Y314" s="614"/>
      <c r="Z314" s="581"/>
      <c r="AA314" s="581"/>
      <c r="AB314" s="615"/>
      <c r="AC314" s="615"/>
      <c r="AD314" s="615"/>
      <c r="AE314" s="615"/>
      <c r="AF314" s="615"/>
      <c r="AG314" s="615"/>
      <c r="AH314" s="615"/>
      <c r="AI314" s="615"/>
      <c r="AJ314" s="615"/>
      <c r="AK314" s="615"/>
      <c r="AL314" s="616"/>
      <c r="AM314" s="581"/>
      <c r="AN314" s="581"/>
      <c r="AO314" s="615"/>
      <c r="AP314" s="615"/>
      <c r="AQ314" s="615"/>
      <c r="AR314" s="615"/>
      <c r="AS314" s="615"/>
      <c r="AT314" s="615"/>
      <c r="AU314" s="615"/>
      <c r="AV314" s="615"/>
      <c r="AW314" s="615"/>
      <c r="AX314" s="615"/>
      <c r="AY314" s="616"/>
      <c r="AZ314" s="581"/>
      <c r="BA314" s="581"/>
      <c r="BB314" s="581"/>
      <c r="BC314" s="581"/>
    </row>
    <row r="315" spans="1:55" ht="15.75" thickBot="1" x14ac:dyDescent="0.3">
      <c r="A315" s="739" t="s">
        <v>39</v>
      </c>
      <c r="B315" s="740" t="s">
        <v>22</v>
      </c>
      <c r="C315" s="735" t="s">
        <v>25</v>
      </c>
      <c r="D315" s="735">
        <v>7</v>
      </c>
      <c r="E315" s="735">
        <v>3</v>
      </c>
      <c r="F315" s="736">
        <v>996</v>
      </c>
      <c r="G315" s="737">
        <v>690</v>
      </c>
      <c r="H315" s="737"/>
      <c r="I315" s="417">
        <v>1</v>
      </c>
      <c r="J315" s="607">
        <f>ROUND(G315*(1+'29_01_H_2020'!$F$10),2)</f>
        <v>759</v>
      </c>
      <c r="K315" s="608">
        <f t="shared" ref="K315" si="412">IF(J315&lt;=F315,J315,F315)</f>
        <v>759</v>
      </c>
      <c r="L315" s="608">
        <f t="shared" ref="L315" si="413">K315-G315</f>
        <v>69</v>
      </c>
      <c r="M315" s="608">
        <f t="shared" ref="M315" si="414">J315-K315</f>
        <v>0</v>
      </c>
      <c r="N315" s="608">
        <f t="shared" ref="N315" si="415">ROUND(H315/G315*K315-H315,2)</f>
        <v>0</v>
      </c>
      <c r="O315" s="608">
        <f t="shared" ref="O315" si="416">ROUND(H315/G315*J315-H315-N315,2)</f>
        <v>0</v>
      </c>
      <c r="P315" s="609">
        <f t="shared" si="396"/>
        <v>69</v>
      </c>
      <c r="Q315" s="741">
        <f>P315*I315</f>
        <v>69</v>
      </c>
      <c r="R315" s="741">
        <f t="shared" si="397"/>
        <v>828</v>
      </c>
      <c r="S315" s="741">
        <f t="shared" si="398"/>
        <v>199.47</v>
      </c>
      <c r="T315" s="742">
        <f t="shared" ref="T315" si="417">SUM(R315:S315)</f>
        <v>1027.47</v>
      </c>
      <c r="U315" s="611"/>
      <c r="V315" s="612"/>
      <c r="W315" s="613"/>
      <c r="X315" s="614"/>
      <c r="Y315" s="614"/>
      <c r="Z315" s="581"/>
      <c r="AA315" s="581"/>
      <c r="AB315" s="615"/>
      <c r="AC315" s="615"/>
      <c r="AD315" s="615"/>
      <c r="AE315" s="615"/>
      <c r="AF315" s="615"/>
      <c r="AG315" s="615"/>
      <c r="AH315" s="615"/>
      <c r="AI315" s="615"/>
      <c r="AJ315" s="615"/>
      <c r="AK315" s="615"/>
      <c r="AL315" s="616"/>
      <c r="AM315" s="581"/>
      <c r="AN315" s="581"/>
      <c r="AO315" s="615"/>
      <c r="AP315" s="615"/>
      <c r="AQ315" s="615"/>
      <c r="AR315" s="615"/>
      <c r="AS315" s="615"/>
      <c r="AT315" s="615"/>
      <c r="AU315" s="615"/>
      <c r="AV315" s="615"/>
      <c r="AW315" s="615"/>
      <c r="AX315" s="615"/>
      <c r="AY315" s="616"/>
      <c r="AZ315" s="581"/>
      <c r="BA315" s="581"/>
      <c r="BB315" s="581"/>
      <c r="BC315" s="581"/>
    </row>
    <row r="316" spans="1:55" ht="15.75" thickBot="1" x14ac:dyDescent="0.3">
      <c r="A316" s="726" t="s">
        <v>55</v>
      </c>
      <c r="B316" s="727" t="s">
        <v>52</v>
      </c>
      <c r="C316" s="727" t="s">
        <v>52</v>
      </c>
      <c r="D316" s="727" t="s">
        <v>52</v>
      </c>
      <c r="E316" s="727" t="s">
        <v>52</v>
      </c>
      <c r="F316" s="727" t="s">
        <v>52</v>
      </c>
      <c r="G316" s="727" t="s">
        <v>52</v>
      </c>
      <c r="H316" s="727" t="s">
        <v>52</v>
      </c>
      <c r="I316" s="381">
        <f>SUM(I281:I282,I284:I302,I305,I308:I312,I314:I315)</f>
        <v>25.049999999999997</v>
      </c>
      <c r="J316" s="743"/>
      <c r="K316" s="744"/>
      <c r="L316" s="744"/>
      <c r="M316" s="744"/>
      <c r="N316" s="744"/>
      <c r="O316" s="744"/>
      <c r="P316" s="745"/>
      <c r="Q316" s="745"/>
      <c r="R316" s="745"/>
      <c r="S316" s="745"/>
      <c r="T316" s="731">
        <f>SUM(T281:T282,T284:T302,T305,T308:T312,T314:T315)</f>
        <v>33028.543999999994</v>
      </c>
      <c r="U316" s="615"/>
      <c r="V316" s="581"/>
      <c r="W316" s="581"/>
      <c r="X316" s="581"/>
      <c r="Y316" s="581"/>
      <c r="Z316" s="581"/>
      <c r="AA316" s="581"/>
      <c r="AB316" s="615"/>
      <c r="AC316" s="581"/>
      <c r="AD316" s="581"/>
      <c r="AE316" s="581"/>
      <c r="AF316" s="581"/>
      <c r="AG316" s="581"/>
      <c r="AH316" s="581"/>
      <c r="AI316" s="615"/>
      <c r="AJ316" s="581"/>
      <c r="AK316" s="581"/>
      <c r="AL316" s="581"/>
      <c r="AM316" s="581"/>
      <c r="AN316" s="581"/>
      <c r="AO316" s="581"/>
      <c r="AP316" s="581"/>
      <c r="AQ316" s="581"/>
      <c r="AR316" s="581"/>
      <c r="AS316" s="581"/>
      <c r="AT316" s="581"/>
      <c r="AU316" s="581"/>
      <c r="AV316" s="615"/>
      <c r="AW316" s="581"/>
      <c r="AX316" s="581"/>
      <c r="AY316" s="581"/>
      <c r="AZ316" s="581"/>
      <c r="BA316" s="581"/>
      <c r="BB316" s="581"/>
      <c r="BC316" s="581"/>
    </row>
    <row r="317" spans="1:55" x14ac:dyDescent="0.25">
      <c r="A317" s="746" t="s">
        <v>649</v>
      </c>
      <c r="S317" s="747"/>
      <c r="T317" s="748"/>
      <c r="U317" s="640"/>
      <c r="V317" s="581"/>
      <c r="W317" s="581"/>
      <c r="X317" s="640"/>
      <c r="Y317" s="640"/>
      <c r="Z317" s="581"/>
      <c r="AA317" s="581"/>
      <c r="AB317" s="581"/>
      <c r="AC317" s="581"/>
      <c r="AD317" s="581"/>
      <c r="AE317" s="581"/>
      <c r="AF317" s="581"/>
      <c r="AG317" s="581"/>
      <c r="AH317" s="581"/>
      <c r="AI317" s="640"/>
      <c r="AJ317" s="640"/>
      <c r="AK317" s="640"/>
      <c r="AL317" s="581"/>
      <c r="AM317" s="581"/>
      <c r="AN317" s="581"/>
      <c r="AO317" s="581"/>
      <c r="AP317" s="581"/>
      <c r="AQ317" s="581"/>
      <c r="AR317" s="581"/>
      <c r="AS317" s="581"/>
      <c r="AT317" s="581"/>
      <c r="AU317" s="581"/>
      <c r="AV317" s="640"/>
      <c r="AW317" s="640"/>
      <c r="AX317" s="640"/>
      <c r="AY317" s="581"/>
      <c r="AZ317" s="581"/>
      <c r="BA317" s="581"/>
      <c r="BB317" s="581"/>
      <c r="BC317" s="581"/>
    </row>
    <row r="318" spans="1:55" x14ac:dyDescent="0.25">
      <c r="S318" s="747"/>
      <c r="T318" s="749"/>
      <c r="U318" s="640"/>
      <c r="V318" s="581"/>
      <c r="W318" s="581"/>
      <c r="X318" s="641"/>
      <c r="Y318" s="651"/>
      <c r="Z318" s="581"/>
      <c r="AA318" s="581"/>
      <c r="AB318" s="581"/>
      <c r="AC318" s="581"/>
      <c r="AD318" s="581"/>
      <c r="AE318" s="581"/>
      <c r="AF318" s="581"/>
      <c r="AG318" s="581"/>
      <c r="AH318" s="581"/>
      <c r="AI318" s="581"/>
      <c r="AJ318" s="641"/>
      <c r="AK318" s="651"/>
      <c r="AL318" s="581"/>
      <c r="AM318" s="581"/>
      <c r="AN318" s="581"/>
      <c r="AO318" s="581"/>
      <c r="AP318" s="581"/>
      <c r="AQ318" s="581"/>
      <c r="AR318" s="581"/>
      <c r="AS318" s="581"/>
      <c r="AT318" s="581"/>
      <c r="AU318" s="581"/>
      <c r="AV318" s="581"/>
      <c r="AW318" s="641"/>
      <c r="AX318" s="651"/>
      <c r="AY318" s="581"/>
      <c r="AZ318" s="581"/>
      <c r="BA318" s="581"/>
      <c r="BB318" s="581"/>
      <c r="BC318" s="581"/>
    </row>
    <row r="319" spans="1:55" x14ac:dyDescent="0.25">
      <c r="U319" s="581"/>
      <c r="V319" s="581"/>
      <c r="W319" s="581"/>
      <c r="X319" s="581"/>
      <c r="Y319" s="581"/>
      <c r="Z319" s="581"/>
      <c r="AA319" s="581"/>
      <c r="AB319" s="581"/>
      <c r="AC319" s="581"/>
      <c r="AD319" s="581"/>
      <c r="AE319" s="581"/>
      <c r="AF319" s="581"/>
      <c r="AG319" s="581"/>
      <c r="AH319" s="581"/>
      <c r="AI319" s="581"/>
      <c r="AJ319" s="581"/>
      <c r="AK319" s="581"/>
      <c r="AL319" s="581"/>
      <c r="AM319" s="581"/>
      <c r="AN319" s="581"/>
      <c r="AO319" s="581"/>
      <c r="AP319" s="581"/>
      <c r="AQ319" s="581"/>
      <c r="AR319" s="581"/>
      <c r="AS319" s="581"/>
      <c r="AT319" s="581"/>
      <c r="AU319" s="581"/>
      <c r="AV319" s="581"/>
      <c r="AW319" s="581"/>
      <c r="AX319" s="581"/>
      <c r="AY319" s="581"/>
      <c r="AZ319" s="581"/>
      <c r="BA319" s="581"/>
      <c r="BB319" s="581"/>
      <c r="BC319" s="581"/>
    </row>
    <row r="320" spans="1:55" ht="15" customHeight="1" x14ac:dyDescent="0.25">
      <c r="J320" s="747"/>
      <c r="K320" s="747"/>
      <c r="L320" s="747"/>
      <c r="M320" s="747"/>
      <c r="N320" s="747"/>
      <c r="O320" s="747"/>
      <c r="P320" s="750"/>
      <c r="Q320" s="750"/>
      <c r="R320" s="750"/>
      <c r="S320" s="750"/>
      <c r="T320" s="748"/>
      <c r="U320" s="640"/>
      <c r="V320" s="581"/>
      <c r="W320" s="581"/>
      <c r="X320" s="640"/>
      <c r="Y320" s="640"/>
      <c r="Z320" s="581"/>
      <c r="AA320" s="581"/>
      <c r="AB320" s="581"/>
      <c r="AC320" s="751"/>
      <c r="AD320" s="585"/>
      <c r="AE320" s="585"/>
      <c r="AF320" s="585"/>
      <c r="AG320" s="585"/>
      <c r="AH320" s="585"/>
      <c r="AI320" s="640"/>
      <c r="AJ320" s="640"/>
      <c r="AK320" s="640"/>
      <c r="AL320" s="581"/>
      <c r="AM320" s="581"/>
      <c r="AN320" s="581"/>
      <c r="AO320" s="581"/>
      <c r="AP320" s="751"/>
      <c r="AQ320" s="585"/>
      <c r="AR320" s="585"/>
      <c r="AS320" s="585"/>
      <c r="AT320" s="585"/>
      <c r="AU320" s="585"/>
      <c r="AV320" s="640"/>
      <c r="AW320" s="640"/>
      <c r="AX320" s="640"/>
      <c r="AY320" s="581"/>
      <c r="AZ320" s="581"/>
      <c r="BA320" s="581"/>
      <c r="BB320" s="581"/>
      <c r="BC320" s="581"/>
    </row>
    <row r="321" spans="10:55" x14ac:dyDescent="0.25">
      <c r="J321" s="747"/>
      <c r="K321" s="747"/>
      <c r="L321" s="747"/>
      <c r="M321" s="747"/>
      <c r="N321" s="747"/>
      <c r="O321" s="747"/>
      <c r="P321" s="750"/>
      <c r="Q321" s="750"/>
      <c r="R321" s="750"/>
      <c r="S321" s="750"/>
      <c r="T321" s="749"/>
      <c r="U321" s="640"/>
      <c r="V321" s="581"/>
      <c r="W321" s="581"/>
      <c r="X321" s="641"/>
      <c r="Y321" s="651"/>
      <c r="Z321" s="581"/>
      <c r="AA321" s="581"/>
      <c r="AB321" s="581"/>
      <c r="AC321" s="585"/>
      <c r="AD321" s="585"/>
      <c r="AE321" s="585"/>
      <c r="AF321" s="585"/>
      <c r="AG321" s="585"/>
      <c r="AH321" s="585"/>
      <c r="AI321" s="641"/>
      <c r="AJ321" s="641"/>
      <c r="AK321" s="651"/>
      <c r="AL321" s="581"/>
      <c r="AM321" s="581"/>
      <c r="AN321" s="581"/>
      <c r="AO321" s="581"/>
      <c r="AP321" s="585"/>
      <c r="AQ321" s="585"/>
      <c r="AR321" s="585"/>
      <c r="AS321" s="585"/>
      <c r="AT321" s="585"/>
      <c r="AU321" s="585"/>
      <c r="AV321" s="641"/>
      <c r="AW321" s="641"/>
      <c r="AX321" s="651"/>
      <c r="AY321" s="581"/>
      <c r="AZ321" s="581"/>
      <c r="BA321" s="581"/>
      <c r="BB321" s="581"/>
      <c r="BC321" s="581"/>
    </row>
    <row r="322" spans="10:55" x14ac:dyDescent="0.25">
      <c r="J322" s="747"/>
      <c r="K322" s="747"/>
      <c r="L322" s="747"/>
      <c r="M322" s="747"/>
      <c r="N322" s="747"/>
      <c r="O322" s="747"/>
      <c r="P322" s="747"/>
      <c r="Q322" s="747"/>
      <c r="R322" s="747"/>
      <c r="S322" s="747"/>
      <c r="T322" s="747"/>
      <c r="U322" s="581"/>
      <c r="V322" s="581"/>
      <c r="W322" s="581"/>
      <c r="X322" s="581"/>
      <c r="Y322" s="581"/>
      <c r="Z322" s="581"/>
      <c r="AA322" s="581"/>
      <c r="AB322" s="581"/>
      <c r="AC322" s="581"/>
      <c r="AD322" s="581"/>
      <c r="AE322" s="581"/>
      <c r="AF322" s="581"/>
      <c r="AG322" s="581"/>
      <c r="AH322" s="581"/>
      <c r="AI322" s="581"/>
      <c r="AJ322" s="581"/>
      <c r="AK322" s="581"/>
      <c r="AL322" s="581"/>
      <c r="AM322" s="581"/>
      <c r="AN322" s="581"/>
      <c r="AO322" s="581"/>
      <c r="AP322" s="581"/>
      <c r="AQ322" s="581"/>
      <c r="AR322" s="581"/>
      <c r="AS322" s="581"/>
      <c r="AT322" s="581"/>
      <c r="AU322" s="581"/>
      <c r="AV322" s="581"/>
      <c r="AW322" s="581"/>
      <c r="AX322" s="581"/>
      <c r="AY322" s="581"/>
      <c r="AZ322" s="581"/>
      <c r="BA322" s="581"/>
      <c r="BB322" s="581"/>
      <c r="BC322" s="581"/>
    </row>
    <row r="323" spans="10:55" ht="15" customHeight="1" x14ac:dyDescent="0.25">
      <c r="J323" s="752"/>
      <c r="K323" s="752"/>
      <c r="L323" s="752"/>
      <c r="M323" s="752"/>
      <c r="N323" s="752"/>
      <c r="O323" s="752"/>
      <c r="P323" s="752"/>
      <c r="Q323" s="752"/>
      <c r="R323" s="752"/>
      <c r="S323" s="752"/>
      <c r="T323" s="748"/>
      <c r="U323" s="640"/>
      <c r="V323" s="581"/>
      <c r="W323" s="581"/>
      <c r="X323" s="640"/>
      <c r="Y323" s="640"/>
      <c r="Z323" s="581"/>
      <c r="AA323" s="581"/>
      <c r="AB323" s="581"/>
      <c r="AC323" s="751"/>
      <c r="AD323" s="585"/>
      <c r="AE323" s="585"/>
      <c r="AF323" s="585"/>
      <c r="AG323" s="585"/>
      <c r="AH323" s="585"/>
      <c r="AI323" s="640"/>
      <c r="AJ323" s="640"/>
      <c r="AK323" s="640"/>
      <c r="AL323" s="581"/>
      <c r="AM323" s="581"/>
      <c r="AN323" s="581"/>
      <c r="AO323" s="581"/>
      <c r="AP323" s="751"/>
      <c r="AQ323" s="585"/>
      <c r="AR323" s="585"/>
      <c r="AS323" s="585"/>
      <c r="AT323" s="585"/>
      <c r="AU323" s="585"/>
      <c r="AV323" s="640"/>
      <c r="AW323" s="640"/>
      <c r="AX323" s="640"/>
      <c r="AY323" s="581"/>
      <c r="AZ323" s="581"/>
      <c r="BA323" s="581"/>
      <c r="BB323" s="581"/>
      <c r="BC323" s="581"/>
    </row>
    <row r="324" spans="10:55" x14ac:dyDescent="0.25">
      <c r="J324" s="752"/>
      <c r="K324" s="752"/>
      <c r="L324" s="752"/>
      <c r="M324" s="752"/>
      <c r="N324" s="752"/>
      <c r="O324" s="752"/>
      <c r="P324" s="752"/>
      <c r="Q324" s="752"/>
      <c r="R324" s="752"/>
      <c r="S324" s="752"/>
      <c r="T324" s="749"/>
      <c r="U324" s="640"/>
      <c r="V324" s="581"/>
      <c r="W324" s="581"/>
      <c r="X324" s="641"/>
      <c r="Y324" s="651"/>
      <c r="Z324" s="581"/>
      <c r="AA324" s="581"/>
      <c r="AB324" s="581"/>
      <c r="AC324" s="585"/>
      <c r="AD324" s="585"/>
      <c r="AE324" s="585"/>
      <c r="AF324" s="585"/>
      <c r="AG324" s="585"/>
      <c r="AH324" s="585"/>
      <c r="AI324" s="641"/>
      <c r="AJ324" s="641"/>
      <c r="AK324" s="651"/>
      <c r="AL324" s="581"/>
      <c r="AM324" s="581"/>
      <c r="AN324" s="581"/>
      <c r="AO324" s="581"/>
      <c r="AP324" s="585"/>
      <c r="AQ324" s="585"/>
      <c r="AR324" s="585"/>
      <c r="AS324" s="585"/>
      <c r="AT324" s="585"/>
      <c r="AU324" s="585"/>
      <c r="AV324" s="641"/>
      <c r="AW324" s="641"/>
      <c r="AX324" s="651"/>
      <c r="AY324" s="581"/>
      <c r="AZ324" s="581"/>
      <c r="BA324" s="581"/>
      <c r="BB324" s="581"/>
      <c r="BC324" s="581"/>
    </row>
    <row r="325" spans="10:55" x14ac:dyDescent="0.25">
      <c r="J325" s="747"/>
      <c r="K325" s="747"/>
      <c r="L325" s="747"/>
      <c r="M325" s="747"/>
      <c r="N325" s="747"/>
      <c r="O325" s="747"/>
      <c r="P325" s="747"/>
      <c r="Q325" s="747"/>
      <c r="R325" s="747"/>
      <c r="S325" s="747"/>
      <c r="T325" s="747"/>
      <c r="U325" s="616"/>
      <c r="V325" s="581"/>
      <c r="W325" s="581"/>
      <c r="X325" s="581"/>
      <c r="Y325" s="581"/>
      <c r="Z325" s="581"/>
      <c r="AA325" s="581"/>
      <c r="AB325" s="581"/>
      <c r="AC325" s="581"/>
      <c r="AD325" s="581"/>
      <c r="AE325" s="581"/>
      <c r="AF325" s="581"/>
      <c r="AG325" s="581"/>
      <c r="AH325" s="581"/>
      <c r="AI325" s="581"/>
      <c r="AJ325" s="581"/>
      <c r="AK325" s="581"/>
      <c r="AL325" s="581"/>
      <c r="AM325" s="581"/>
      <c r="AN325" s="581"/>
      <c r="AO325" s="581"/>
      <c r="AP325" s="581"/>
      <c r="AQ325" s="581"/>
      <c r="AR325" s="581"/>
      <c r="AS325" s="581"/>
      <c r="AT325" s="581"/>
      <c r="AU325" s="581"/>
      <c r="AV325" s="581"/>
      <c r="AW325" s="581"/>
      <c r="AX325" s="581"/>
      <c r="AY325" s="581"/>
      <c r="AZ325" s="581"/>
      <c r="BA325" s="581"/>
      <c r="BB325" s="581"/>
      <c r="BC325" s="581"/>
    </row>
    <row r="326" spans="10:55" x14ac:dyDescent="0.25">
      <c r="J326" s="747"/>
      <c r="K326" s="747"/>
      <c r="L326" s="747"/>
      <c r="M326" s="747"/>
      <c r="N326" s="747"/>
      <c r="O326" s="747"/>
      <c r="P326" s="747"/>
      <c r="Q326" s="747"/>
      <c r="R326" s="747"/>
      <c r="S326" s="747"/>
      <c r="T326" s="747"/>
      <c r="U326" s="581"/>
      <c r="V326" s="581"/>
      <c r="W326" s="581"/>
      <c r="X326" s="581"/>
      <c r="Y326" s="581"/>
      <c r="Z326" s="581"/>
      <c r="AA326" s="581"/>
      <c r="AB326" s="581"/>
      <c r="AC326" s="581"/>
      <c r="AD326" s="581"/>
      <c r="AE326" s="581"/>
      <c r="AF326" s="581"/>
      <c r="AG326" s="581"/>
      <c r="AH326" s="581"/>
      <c r="AI326" s="581"/>
      <c r="AJ326" s="581"/>
      <c r="AK326" s="581"/>
      <c r="AL326" s="581"/>
      <c r="AM326" s="581"/>
      <c r="AN326" s="581"/>
      <c r="AO326" s="581"/>
      <c r="AP326" s="581"/>
      <c r="AQ326" s="581"/>
      <c r="AR326" s="581"/>
      <c r="AS326" s="581"/>
      <c r="AT326" s="581"/>
      <c r="AU326" s="581"/>
      <c r="AV326" s="581"/>
      <c r="AW326" s="581"/>
      <c r="AX326" s="581"/>
      <c r="AY326" s="581"/>
      <c r="AZ326" s="581"/>
      <c r="BA326" s="581"/>
      <c r="BB326" s="581"/>
      <c r="BC326" s="581"/>
    </row>
    <row r="327" spans="10:55" x14ac:dyDescent="0.25">
      <c r="J327" s="747"/>
      <c r="K327" s="747"/>
      <c r="L327" s="747"/>
      <c r="M327" s="747"/>
      <c r="N327" s="747"/>
      <c r="O327" s="747"/>
      <c r="P327" s="747"/>
      <c r="Q327" s="747"/>
      <c r="R327" s="747"/>
      <c r="S327" s="747"/>
      <c r="T327" s="747"/>
      <c r="U327" s="581"/>
      <c r="V327" s="581"/>
      <c r="W327" s="581"/>
      <c r="X327" s="581"/>
      <c r="Y327" s="581"/>
      <c r="Z327" s="581"/>
      <c r="AA327" s="581"/>
      <c r="AB327" s="581"/>
      <c r="AC327" s="581"/>
      <c r="AD327" s="581"/>
      <c r="AE327" s="581"/>
      <c r="AF327" s="581"/>
      <c r="AG327" s="581"/>
      <c r="AH327" s="581"/>
      <c r="AI327" s="581"/>
      <c r="AJ327" s="581"/>
      <c r="AK327" s="581"/>
      <c r="AL327" s="581"/>
      <c r="AM327" s="581"/>
      <c r="AN327" s="581"/>
      <c r="AO327" s="581"/>
      <c r="AP327" s="581"/>
      <c r="AQ327" s="581"/>
      <c r="AR327" s="581"/>
      <c r="AS327" s="581"/>
      <c r="AT327" s="581"/>
      <c r="AU327" s="581"/>
      <c r="AV327" s="581"/>
      <c r="AW327" s="581"/>
      <c r="AX327" s="581"/>
      <c r="AY327" s="581"/>
      <c r="AZ327" s="581"/>
      <c r="BA327" s="581"/>
      <c r="BB327" s="581"/>
      <c r="BC327" s="581"/>
    </row>
    <row r="328" spans="10:55" ht="15" customHeight="1" x14ac:dyDescent="0.25">
      <c r="J328" s="753"/>
      <c r="K328" s="753"/>
      <c r="L328" s="753"/>
      <c r="M328" s="753"/>
      <c r="N328" s="753"/>
      <c r="O328" s="753"/>
      <c r="P328" s="753"/>
      <c r="Q328" s="753"/>
      <c r="R328" s="753"/>
      <c r="S328" s="753"/>
      <c r="T328" s="748"/>
      <c r="U328" s="640"/>
      <c r="V328" s="581"/>
      <c r="W328" s="581"/>
      <c r="X328" s="640"/>
      <c r="Y328" s="640"/>
      <c r="Z328" s="581"/>
      <c r="AA328" s="581"/>
      <c r="AB328" s="581"/>
      <c r="AC328" s="751"/>
      <c r="AD328" s="585"/>
      <c r="AE328" s="585"/>
      <c r="AF328" s="585"/>
      <c r="AG328" s="585"/>
      <c r="AH328" s="585"/>
      <c r="AI328" s="640"/>
      <c r="AJ328" s="640"/>
      <c r="AK328" s="640"/>
      <c r="AL328" s="581"/>
      <c r="AM328" s="581"/>
      <c r="AN328" s="581"/>
      <c r="AO328" s="581"/>
      <c r="AP328" s="751"/>
      <c r="AQ328" s="585"/>
      <c r="AR328" s="585"/>
      <c r="AS328" s="585"/>
      <c r="AT328" s="585"/>
      <c r="AU328" s="585"/>
      <c r="AV328" s="640"/>
      <c r="AW328" s="640"/>
      <c r="AX328" s="640"/>
      <c r="AY328" s="581"/>
      <c r="AZ328" s="581"/>
      <c r="BA328" s="581"/>
      <c r="BB328" s="581"/>
      <c r="BC328" s="581"/>
    </row>
    <row r="329" spans="10:55" x14ac:dyDescent="0.25">
      <c r="J329" s="753"/>
      <c r="K329" s="753"/>
      <c r="L329" s="753"/>
      <c r="M329" s="753"/>
      <c r="N329" s="753"/>
      <c r="O329" s="753"/>
      <c r="P329" s="753"/>
      <c r="Q329" s="753"/>
      <c r="R329" s="753"/>
      <c r="S329" s="753"/>
      <c r="T329" s="749"/>
      <c r="U329" s="640"/>
      <c r="V329" s="581"/>
      <c r="W329" s="581"/>
      <c r="X329" s="641"/>
      <c r="Y329" s="651"/>
      <c r="Z329" s="581"/>
      <c r="AA329" s="581"/>
      <c r="AB329" s="581"/>
      <c r="AC329" s="585"/>
      <c r="AD329" s="585"/>
      <c r="AE329" s="585"/>
      <c r="AF329" s="585"/>
      <c r="AG329" s="585"/>
      <c r="AH329" s="585"/>
      <c r="AI329" s="641"/>
      <c r="AJ329" s="641"/>
      <c r="AK329" s="651"/>
      <c r="AL329" s="581"/>
      <c r="AM329" s="581"/>
      <c r="AN329" s="581"/>
      <c r="AO329" s="581"/>
      <c r="AP329" s="585"/>
      <c r="AQ329" s="585"/>
      <c r="AR329" s="585"/>
      <c r="AS329" s="585"/>
      <c r="AT329" s="585"/>
      <c r="AU329" s="585"/>
      <c r="AV329" s="641"/>
      <c r="AW329" s="641"/>
      <c r="AX329" s="651"/>
      <c r="AY329" s="581"/>
      <c r="AZ329" s="581"/>
      <c r="BA329" s="581"/>
      <c r="BB329" s="581"/>
      <c r="BC329" s="581"/>
    </row>
    <row r="330" spans="10:55" x14ac:dyDescent="0.25">
      <c r="J330" s="747"/>
      <c r="K330" s="747"/>
      <c r="L330" s="747"/>
      <c r="M330" s="747"/>
      <c r="N330" s="747"/>
      <c r="O330" s="747"/>
      <c r="P330" s="747"/>
      <c r="Q330" s="747"/>
      <c r="R330" s="747"/>
      <c r="S330" s="747"/>
      <c r="T330" s="747"/>
      <c r="U330" s="616"/>
      <c r="V330" s="581"/>
      <c r="W330" s="581"/>
      <c r="X330" s="581"/>
      <c r="Y330" s="581"/>
      <c r="Z330" s="581"/>
      <c r="AA330" s="581"/>
      <c r="AB330" s="581"/>
      <c r="AC330" s="581"/>
      <c r="AD330" s="581"/>
      <c r="AE330" s="581"/>
      <c r="AF330" s="581"/>
      <c r="AG330" s="581"/>
      <c r="AH330" s="581"/>
      <c r="AI330" s="581"/>
      <c r="AJ330" s="581"/>
      <c r="AK330" s="581"/>
      <c r="AL330" s="581"/>
      <c r="AM330" s="581"/>
      <c r="AN330" s="581"/>
      <c r="AO330" s="581"/>
      <c r="AP330" s="581"/>
      <c r="AQ330" s="581"/>
      <c r="AR330" s="581"/>
      <c r="AS330" s="581"/>
      <c r="AT330" s="581"/>
      <c r="AU330" s="581"/>
      <c r="AV330" s="581"/>
      <c r="AW330" s="581"/>
      <c r="AX330" s="581"/>
      <c r="AY330" s="581"/>
      <c r="AZ330" s="581"/>
      <c r="BA330" s="581"/>
      <c r="BB330" s="581"/>
      <c r="BC330" s="581"/>
    </row>
    <row r="331" spans="10:55" x14ac:dyDescent="0.25">
      <c r="J331" s="747"/>
      <c r="K331" s="747"/>
      <c r="L331" s="747"/>
      <c r="M331" s="747"/>
      <c r="N331" s="747"/>
      <c r="O331" s="747"/>
      <c r="P331" s="747"/>
      <c r="Q331" s="747"/>
      <c r="R331" s="747"/>
      <c r="S331" s="747"/>
      <c r="T331" s="747"/>
      <c r="U331" s="581"/>
      <c r="V331" s="581"/>
      <c r="W331" s="581"/>
      <c r="X331" s="581"/>
      <c r="Y331" s="581"/>
      <c r="Z331" s="581"/>
      <c r="AA331" s="581"/>
      <c r="AB331" s="581"/>
      <c r="AC331" s="581"/>
      <c r="AD331" s="581"/>
      <c r="AE331" s="581"/>
      <c r="AF331" s="581"/>
      <c r="AG331" s="581"/>
      <c r="AH331" s="581"/>
      <c r="AI331" s="581"/>
      <c r="AJ331" s="581"/>
      <c r="AK331" s="581"/>
      <c r="AL331" s="581"/>
      <c r="AM331" s="581"/>
      <c r="AN331" s="581"/>
      <c r="AO331" s="581"/>
      <c r="AP331" s="581"/>
      <c r="AQ331" s="581"/>
      <c r="AR331" s="581"/>
      <c r="AS331" s="581"/>
      <c r="AT331" s="581"/>
      <c r="AU331" s="581"/>
      <c r="AV331" s="581"/>
      <c r="AW331" s="581"/>
      <c r="AX331" s="581"/>
      <c r="AY331" s="581"/>
      <c r="AZ331" s="581"/>
      <c r="BA331" s="581"/>
      <c r="BB331" s="581"/>
      <c r="BC331" s="581"/>
    </row>
    <row r="332" spans="10:55" x14ac:dyDescent="0.25">
      <c r="J332" s="747"/>
      <c r="K332" s="747"/>
      <c r="L332" s="747"/>
      <c r="M332" s="747"/>
      <c r="N332" s="747"/>
      <c r="O332" s="747"/>
      <c r="P332" s="747"/>
      <c r="Q332" s="747"/>
      <c r="R332" s="747"/>
      <c r="S332" s="747"/>
      <c r="T332" s="747"/>
      <c r="U332" s="581"/>
      <c r="V332" s="581"/>
      <c r="W332" s="581"/>
      <c r="X332" s="581"/>
      <c r="Y332" s="581"/>
      <c r="Z332" s="581"/>
      <c r="AA332" s="581"/>
      <c r="AB332" s="581"/>
      <c r="AC332" s="581"/>
      <c r="AD332" s="581"/>
      <c r="AE332" s="581"/>
      <c r="AF332" s="581"/>
      <c r="AG332" s="581"/>
      <c r="AH332" s="581"/>
      <c r="AI332" s="581"/>
      <c r="AJ332" s="581"/>
      <c r="AK332" s="581"/>
      <c r="AL332" s="581"/>
      <c r="AM332" s="581"/>
      <c r="AN332" s="581"/>
      <c r="AO332" s="581"/>
      <c r="AP332" s="581"/>
      <c r="AQ332" s="581"/>
      <c r="AR332" s="581"/>
      <c r="AS332" s="581"/>
      <c r="AT332" s="581"/>
      <c r="AU332" s="581"/>
      <c r="AV332" s="581"/>
      <c r="AW332" s="581"/>
      <c r="AX332" s="581"/>
      <c r="AY332" s="581"/>
      <c r="AZ332" s="581"/>
      <c r="BA332" s="581"/>
      <c r="BB332" s="581"/>
      <c r="BC332" s="581"/>
    </row>
    <row r="333" spans="10:55" x14ac:dyDescent="0.25">
      <c r="J333" s="747"/>
      <c r="K333" s="747"/>
      <c r="L333" s="747"/>
      <c r="M333" s="747"/>
      <c r="N333" s="747"/>
      <c r="O333" s="747"/>
      <c r="P333" s="747"/>
      <c r="Q333" s="747"/>
      <c r="R333" s="747"/>
      <c r="S333" s="747"/>
      <c r="T333" s="747"/>
      <c r="U333" s="747"/>
      <c r="AB333" s="747"/>
    </row>
    <row r="334" spans="10:55" x14ac:dyDescent="0.25">
      <c r="J334" s="747"/>
      <c r="K334" s="747"/>
      <c r="L334" s="747"/>
      <c r="M334" s="747"/>
      <c r="N334" s="747"/>
      <c r="O334" s="747"/>
      <c r="P334" s="747"/>
      <c r="Q334" s="747"/>
      <c r="R334" s="747"/>
      <c r="S334" s="747"/>
      <c r="T334" s="747"/>
      <c r="U334" s="747"/>
      <c r="AB334" s="747"/>
    </row>
    <row r="335" spans="10:55" x14ac:dyDescent="0.25">
      <c r="J335" s="747"/>
      <c r="K335" s="747"/>
      <c r="L335" s="747"/>
      <c r="M335" s="747"/>
      <c r="N335" s="747"/>
      <c r="O335" s="747"/>
      <c r="P335" s="747"/>
      <c r="Q335" s="747"/>
      <c r="R335" s="747"/>
      <c r="S335" s="747"/>
      <c r="T335" s="747"/>
      <c r="U335" s="747"/>
      <c r="AB335" s="747"/>
    </row>
    <row r="336" spans="10:55" x14ac:dyDescent="0.25">
      <c r="J336" s="747"/>
      <c r="K336" s="747"/>
      <c r="L336" s="747"/>
      <c r="M336" s="747"/>
      <c r="N336" s="747"/>
      <c r="O336" s="747"/>
      <c r="P336" s="747"/>
      <c r="Q336" s="747"/>
      <c r="R336" s="747"/>
      <c r="S336" s="747"/>
      <c r="T336" s="747"/>
      <c r="U336" s="747"/>
      <c r="AB336" s="747"/>
    </row>
    <row r="337" spans="10:28" x14ac:dyDescent="0.25">
      <c r="J337" s="747"/>
      <c r="K337" s="747"/>
      <c r="L337" s="747"/>
      <c r="M337" s="747"/>
      <c r="N337" s="747"/>
      <c r="O337" s="747"/>
      <c r="P337" s="747"/>
      <c r="Q337" s="747"/>
      <c r="R337" s="747"/>
      <c r="S337" s="747"/>
      <c r="T337" s="747"/>
      <c r="U337" s="747"/>
      <c r="AB337" s="747"/>
    </row>
    <row r="338" spans="10:28" x14ac:dyDescent="0.25">
      <c r="AB338" s="747"/>
    </row>
    <row r="339" spans="10:28" x14ac:dyDescent="0.25">
      <c r="AB339" s="747"/>
    </row>
    <row r="340" spans="10:28" x14ac:dyDescent="0.25">
      <c r="AB340" s="747"/>
    </row>
    <row r="341" spans="10:28" x14ac:dyDescent="0.25">
      <c r="AB341" s="747"/>
    </row>
    <row r="342" spans="10:28" x14ac:dyDescent="0.25">
      <c r="AB342" s="747"/>
    </row>
    <row r="343" spans="10:28" x14ac:dyDescent="0.25">
      <c r="AB343" s="747"/>
    </row>
    <row r="344" spans="10:28" x14ac:dyDescent="0.25">
      <c r="AB344" s="747"/>
    </row>
    <row r="345" spans="10:28" x14ac:dyDescent="0.25">
      <c r="AB345" s="747"/>
    </row>
    <row r="346" spans="10:28" x14ac:dyDescent="0.25">
      <c r="AB346" s="747"/>
    </row>
    <row r="347" spans="10:28" x14ac:dyDescent="0.25">
      <c r="AB347" s="747"/>
    </row>
    <row r="348" spans="10:28" x14ac:dyDescent="0.25">
      <c r="AB348" s="747"/>
    </row>
    <row r="349" spans="10:28" x14ac:dyDescent="0.25">
      <c r="AB349" s="747"/>
    </row>
    <row r="350" spans="10:28" x14ac:dyDescent="0.25">
      <c r="AB350" s="747"/>
    </row>
    <row r="351" spans="10:28" x14ac:dyDescent="0.25">
      <c r="AB351" s="747"/>
    </row>
    <row r="352" spans="10:28" x14ac:dyDescent="0.25">
      <c r="AB352" s="747"/>
    </row>
    <row r="353" spans="28:28" x14ac:dyDescent="0.25">
      <c r="AB353" s="747"/>
    </row>
    <row r="354" spans="28:28" x14ac:dyDescent="0.25">
      <c r="AB354" s="747"/>
    </row>
    <row r="355" spans="28:28" x14ac:dyDescent="0.25">
      <c r="AB355" s="747"/>
    </row>
    <row r="356" spans="28:28" x14ac:dyDescent="0.25">
      <c r="AB356" s="747"/>
    </row>
    <row r="357" spans="28:28" x14ac:dyDescent="0.25">
      <c r="AB357" s="747"/>
    </row>
    <row r="358" spans="28:28" x14ac:dyDescent="0.25">
      <c r="AB358" s="747"/>
    </row>
    <row r="359" spans="28:28" x14ac:dyDescent="0.25">
      <c r="AB359" s="747"/>
    </row>
    <row r="360" spans="28:28" x14ac:dyDescent="0.25">
      <c r="AB360" s="747"/>
    </row>
    <row r="361" spans="28:28" x14ac:dyDescent="0.25">
      <c r="AB361" s="747"/>
    </row>
    <row r="362" spans="28:28" x14ac:dyDescent="0.25">
      <c r="AB362" s="747"/>
    </row>
    <row r="363" spans="28:28" x14ac:dyDescent="0.25">
      <c r="AB363" s="747"/>
    </row>
    <row r="364" spans="28:28" x14ac:dyDescent="0.25">
      <c r="AB364" s="747"/>
    </row>
    <row r="365" spans="28:28" x14ac:dyDescent="0.25">
      <c r="AB365" s="747"/>
    </row>
    <row r="366" spans="28:28" x14ac:dyDescent="0.25">
      <c r="AB366" s="747"/>
    </row>
    <row r="367" spans="28:28" x14ac:dyDescent="0.25">
      <c r="AB367" s="747"/>
    </row>
    <row r="368" spans="28:28" x14ac:dyDescent="0.25">
      <c r="AB368" s="747"/>
    </row>
    <row r="369" spans="28:28" x14ac:dyDescent="0.25">
      <c r="AB369" s="747"/>
    </row>
    <row r="370" spans="28:28" x14ac:dyDescent="0.25">
      <c r="AB370" s="747"/>
    </row>
    <row r="371" spans="28:28" x14ac:dyDescent="0.25">
      <c r="AB371" s="747"/>
    </row>
    <row r="372" spans="28:28" x14ac:dyDescent="0.25">
      <c r="AB372" s="747"/>
    </row>
    <row r="373" spans="28:28" x14ac:dyDescent="0.25">
      <c r="AB373" s="747"/>
    </row>
    <row r="374" spans="28:28" x14ac:dyDescent="0.25">
      <c r="AB374" s="747"/>
    </row>
    <row r="375" spans="28:28" x14ac:dyDescent="0.25">
      <c r="AB375" s="747"/>
    </row>
    <row r="376" spans="28:28" x14ac:dyDescent="0.25">
      <c r="AB376" s="747"/>
    </row>
    <row r="377" spans="28:28" x14ac:dyDescent="0.25">
      <c r="AB377" s="747"/>
    </row>
    <row r="378" spans="28:28" x14ac:dyDescent="0.25">
      <c r="AB378" s="747"/>
    </row>
    <row r="379" spans="28:28" x14ac:dyDescent="0.25">
      <c r="AB379" s="747"/>
    </row>
    <row r="380" spans="28:28" x14ac:dyDescent="0.25">
      <c r="AB380" s="747"/>
    </row>
    <row r="381" spans="28:28" x14ac:dyDescent="0.25">
      <c r="AB381" s="747"/>
    </row>
    <row r="382" spans="28:28" x14ac:dyDescent="0.25">
      <c r="AB382" s="747"/>
    </row>
    <row r="383" spans="28:28" x14ac:dyDescent="0.25">
      <c r="AB383" s="747"/>
    </row>
  </sheetData>
  <mergeCells count="61">
    <mergeCell ref="A246:C246"/>
    <mergeCell ref="A247:C247"/>
    <mergeCell ref="A84:I84"/>
    <mergeCell ref="A90:I90"/>
    <mergeCell ref="A99:I99"/>
    <mergeCell ref="A113:I113"/>
    <mergeCell ref="A127:I127"/>
    <mergeCell ref="A133:I133"/>
    <mergeCell ref="A143:I143"/>
    <mergeCell ref="A148:I148"/>
    <mergeCell ref="A165:I165"/>
    <mergeCell ref="A244:C244"/>
    <mergeCell ref="A245:C245"/>
    <mergeCell ref="A184:I184"/>
    <mergeCell ref="A234:I234"/>
    <mergeCell ref="A215:I215"/>
    <mergeCell ref="A195:I195"/>
    <mergeCell ref="A147:I147"/>
    <mergeCell ref="A180:I180"/>
    <mergeCell ref="S1:T1"/>
    <mergeCell ref="A6:I6"/>
    <mergeCell ref="A9:I9"/>
    <mergeCell ref="A8:I8"/>
    <mergeCell ref="A3:T4"/>
    <mergeCell ref="A250:I250"/>
    <mergeCell ref="A77:I77"/>
    <mergeCell ref="A78:I78"/>
    <mergeCell ref="A71:I71"/>
    <mergeCell ref="A10:I10"/>
    <mergeCell ref="A38:I38"/>
    <mergeCell ref="A61:I61"/>
    <mergeCell ref="A69:I69"/>
    <mergeCell ref="A70:I70"/>
    <mergeCell ref="A76:I76"/>
    <mergeCell ref="A194:I194"/>
    <mergeCell ref="A98:I98"/>
    <mergeCell ref="A126:I126"/>
    <mergeCell ref="A181:I181"/>
    <mergeCell ref="A235:I235"/>
    <mergeCell ref="A227:I227"/>
    <mergeCell ref="A251:I251"/>
    <mergeCell ref="A252:I252"/>
    <mergeCell ref="A254:I254"/>
    <mergeCell ref="A259:I259"/>
    <mergeCell ref="A260:I260"/>
    <mergeCell ref="A261:I261"/>
    <mergeCell ref="A262:I262"/>
    <mergeCell ref="A267:I267"/>
    <mergeCell ref="A268:I268"/>
    <mergeCell ref="A269:I269"/>
    <mergeCell ref="A274:I274"/>
    <mergeCell ref="A275:I275"/>
    <mergeCell ref="A278:I278"/>
    <mergeCell ref="A279:I279"/>
    <mergeCell ref="A283:I283"/>
    <mergeCell ref="A280:I280"/>
    <mergeCell ref="A303:I303"/>
    <mergeCell ref="A306:I306"/>
    <mergeCell ref="A313:I313"/>
    <mergeCell ref="A307:I307"/>
    <mergeCell ref="A304:I304"/>
  </mergeCells>
  <pageMargins left="0.25" right="0.25"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5"/>
  <sheetViews>
    <sheetView zoomScale="90" zoomScaleNormal="90" workbookViewId="0">
      <selection activeCell="L17" sqref="L17"/>
    </sheetView>
  </sheetViews>
  <sheetFormatPr defaultRowHeight="12.75" x14ac:dyDescent="0.2"/>
  <cols>
    <col min="1" max="1" width="30.140625" style="256" customWidth="1"/>
    <col min="2" max="6" width="9.140625" style="256"/>
    <col min="7" max="7" width="11.85546875" style="256" customWidth="1"/>
    <col min="8" max="8" width="9.140625" style="256"/>
    <col min="9" max="9" width="9.42578125" style="256" bestFit="1" customWidth="1"/>
    <col min="10" max="16384" width="9.140625" style="256"/>
  </cols>
  <sheetData>
    <row r="1" spans="1:10" x14ac:dyDescent="0.2">
      <c r="F1" s="389" t="s">
        <v>611</v>
      </c>
    </row>
    <row r="2" spans="1:10" x14ac:dyDescent="0.2">
      <c r="A2" s="952" t="s">
        <v>609</v>
      </c>
      <c r="B2" s="952"/>
      <c r="C2" s="952"/>
      <c r="D2" s="952"/>
      <c r="E2" s="952"/>
      <c r="F2" s="952"/>
      <c r="G2" s="952"/>
    </row>
    <row r="3" spans="1:10" ht="13.5" thickBot="1" x14ac:dyDescent="0.25">
      <c r="G3" s="754" t="s">
        <v>605</v>
      </c>
    </row>
    <row r="4" spans="1:10" x14ac:dyDescent="0.2">
      <c r="A4" s="944" t="s">
        <v>163</v>
      </c>
      <c r="B4" s="946" t="s">
        <v>164</v>
      </c>
      <c r="C4" s="948" t="s">
        <v>647</v>
      </c>
      <c r="D4" s="948" t="s">
        <v>166</v>
      </c>
      <c r="E4" s="948" t="s">
        <v>399</v>
      </c>
      <c r="F4" s="953" t="s">
        <v>400</v>
      </c>
      <c r="G4" s="950" t="s">
        <v>637</v>
      </c>
    </row>
    <row r="5" spans="1:10" ht="74.25" customHeight="1" x14ac:dyDescent="0.2">
      <c r="A5" s="945"/>
      <c r="B5" s="947"/>
      <c r="C5" s="949"/>
      <c r="D5" s="949"/>
      <c r="E5" s="949"/>
      <c r="F5" s="954"/>
      <c r="G5" s="951"/>
    </row>
    <row r="6" spans="1:10" x14ac:dyDescent="0.2">
      <c r="A6" s="755"/>
      <c r="B6" s="756"/>
      <c r="C6" s="756"/>
      <c r="D6" s="756"/>
      <c r="E6" s="756"/>
      <c r="F6" s="757"/>
      <c r="G6" s="758"/>
    </row>
    <row r="7" spans="1:10" x14ac:dyDescent="0.2">
      <c r="A7" s="955" t="s">
        <v>608</v>
      </c>
      <c r="B7" s="956"/>
      <c r="C7" s="956"/>
      <c r="D7" s="956"/>
      <c r="E7" s="956"/>
      <c r="F7" s="957"/>
      <c r="G7" s="759"/>
    </row>
    <row r="8" spans="1:10" x14ac:dyDescent="0.2">
      <c r="A8" s="958" t="s">
        <v>281</v>
      </c>
      <c r="B8" s="959"/>
      <c r="C8" s="959"/>
      <c r="D8" s="959"/>
      <c r="E8" s="959"/>
      <c r="F8" s="959"/>
      <c r="G8" s="758"/>
    </row>
    <row r="9" spans="1:10" x14ac:dyDescent="0.2">
      <c r="A9" s="929" t="s">
        <v>277</v>
      </c>
      <c r="B9" s="930"/>
      <c r="C9" s="930"/>
      <c r="D9" s="930"/>
      <c r="E9" s="930"/>
      <c r="F9" s="930"/>
      <c r="G9" s="760"/>
    </row>
    <row r="10" spans="1:10" x14ac:dyDescent="0.2">
      <c r="A10" s="56" t="s">
        <v>169</v>
      </c>
      <c r="B10" s="52"/>
      <c r="C10" s="761"/>
      <c r="D10" s="762"/>
      <c r="E10" s="761"/>
      <c r="F10" s="763"/>
      <c r="G10" s="764"/>
    </row>
    <row r="11" spans="1:10" x14ac:dyDescent="0.2">
      <c r="A11" s="57" t="s">
        <v>278</v>
      </c>
      <c r="B11" s="54">
        <v>1</v>
      </c>
      <c r="C11" s="357">
        <v>2000</v>
      </c>
      <c r="D11" s="357">
        <v>110</v>
      </c>
      <c r="E11" s="357">
        <v>400</v>
      </c>
      <c r="F11" s="405">
        <f>SUM(C11:E11)</f>
        <v>2510</v>
      </c>
      <c r="G11" s="765">
        <f>ROUND((C11+D11+E11)*('29_01_H_2020'!$F$14)*B11*12*1.2409,2)</f>
        <v>3737.59</v>
      </c>
      <c r="I11" s="278"/>
      <c r="J11" s="278"/>
    </row>
    <row r="12" spans="1:10" x14ac:dyDescent="0.2">
      <c r="A12" s="57" t="s">
        <v>279</v>
      </c>
      <c r="B12" s="54">
        <v>4</v>
      </c>
      <c r="C12" s="357">
        <v>1720</v>
      </c>
      <c r="D12" s="357">
        <v>86</v>
      </c>
      <c r="E12" s="357">
        <v>344</v>
      </c>
      <c r="F12" s="405">
        <f t="shared" ref="F12:F15" si="0">SUM(C12:E12)</f>
        <v>2150</v>
      </c>
      <c r="G12" s="765">
        <f>ROUND((C12+D12+E12)*('29_01_H_2020'!$F$14)*B12*12*1.2409,2)</f>
        <v>12806.09</v>
      </c>
      <c r="I12" s="278"/>
      <c r="J12" s="278"/>
    </row>
    <row r="13" spans="1:10" x14ac:dyDescent="0.2">
      <c r="A13" s="57" t="s">
        <v>65</v>
      </c>
      <c r="B13" s="54">
        <v>3</v>
      </c>
      <c r="C13" s="357">
        <v>1600</v>
      </c>
      <c r="D13" s="357">
        <v>85</v>
      </c>
      <c r="E13" s="357">
        <v>320</v>
      </c>
      <c r="F13" s="405">
        <f t="shared" si="0"/>
        <v>2005</v>
      </c>
      <c r="G13" s="765">
        <f>ROUND((C13+D13+E13)*('29_01_H_2020'!$F$14)*B13*12*1.2409,2)</f>
        <v>8956.82</v>
      </c>
      <c r="I13" s="278"/>
      <c r="J13" s="278"/>
    </row>
    <row r="14" spans="1:10" x14ac:dyDescent="0.2">
      <c r="A14" s="57" t="s">
        <v>280</v>
      </c>
      <c r="B14" s="54">
        <v>1</v>
      </c>
      <c r="C14" s="357">
        <v>1520</v>
      </c>
      <c r="D14" s="357">
        <v>53</v>
      </c>
      <c r="E14" s="357">
        <v>304</v>
      </c>
      <c r="F14" s="405">
        <f t="shared" si="0"/>
        <v>1877</v>
      </c>
      <c r="G14" s="765">
        <f>ROUND((C14+D14+E14)*('29_01_H_2020'!$F$14)*B14*12*1.2409,2)</f>
        <v>2795</v>
      </c>
      <c r="I14" s="278"/>
      <c r="J14" s="278"/>
    </row>
    <row r="15" spans="1:10" x14ac:dyDescent="0.2">
      <c r="A15" s="57" t="s">
        <v>24</v>
      </c>
      <c r="B15" s="54">
        <v>27.25</v>
      </c>
      <c r="C15" s="357">
        <v>1440</v>
      </c>
      <c r="D15" s="357">
        <v>66</v>
      </c>
      <c r="E15" s="357">
        <v>288</v>
      </c>
      <c r="F15" s="405">
        <f t="shared" si="0"/>
        <v>1794</v>
      </c>
      <c r="G15" s="765">
        <f>ROUND((C15+D15+E15)*('29_01_H_2020'!$F$14)*B15*12*1.2409,2)</f>
        <v>72795.91</v>
      </c>
      <c r="I15" s="278"/>
      <c r="J15" s="278"/>
    </row>
    <row r="16" spans="1:10" x14ac:dyDescent="0.2">
      <c r="A16" s="688" t="s">
        <v>55</v>
      </c>
      <c r="B16" s="766">
        <f>SUM(B11:B15)</f>
        <v>36.25</v>
      </c>
      <c r="C16" s="619" t="s">
        <v>52</v>
      </c>
      <c r="D16" s="619" t="s">
        <v>52</v>
      </c>
      <c r="E16" s="619" t="s">
        <v>52</v>
      </c>
      <c r="F16" s="767" t="s">
        <v>52</v>
      </c>
      <c r="G16" s="768" t="s">
        <v>52</v>
      </c>
    </row>
    <row r="17" spans="1:10" ht="51" x14ac:dyDescent="0.2">
      <c r="A17" s="58" t="s">
        <v>205</v>
      </c>
      <c r="B17" s="53"/>
      <c r="C17" s="769"/>
      <c r="D17" s="770"/>
      <c r="E17" s="769"/>
      <c r="F17" s="763"/>
      <c r="G17" s="764"/>
    </row>
    <row r="18" spans="1:10" x14ac:dyDescent="0.2">
      <c r="A18" s="489" t="s">
        <v>269</v>
      </c>
      <c r="B18" s="54">
        <v>16</v>
      </c>
      <c r="C18" s="357">
        <v>1120</v>
      </c>
      <c r="D18" s="357">
        <v>46</v>
      </c>
      <c r="E18" s="357">
        <v>224</v>
      </c>
      <c r="F18" s="405">
        <f t="shared" ref="F18:F21" si="1">SUM(C18:E18)</f>
        <v>1390</v>
      </c>
      <c r="G18" s="771">
        <f>ROUND((C18+D18+E18)*('29_01_H_2020'!$F$10)*B18*12*1.2409,2)</f>
        <v>33117.14</v>
      </c>
      <c r="I18" s="278"/>
      <c r="J18" s="278"/>
    </row>
    <row r="19" spans="1:10" x14ac:dyDescent="0.2">
      <c r="A19" s="489" t="s">
        <v>275</v>
      </c>
      <c r="B19" s="54">
        <v>3.75</v>
      </c>
      <c r="C19" s="357">
        <v>1100</v>
      </c>
      <c r="D19" s="357">
        <v>94</v>
      </c>
      <c r="E19" s="357">
        <v>220</v>
      </c>
      <c r="F19" s="405">
        <f t="shared" si="1"/>
        <v>1414</v>
      </c>
      <c r="G19" s="771">
        <f>ROUND((C19+D19+E19)*('29_01_H_2020'!$F$10)*B19*12*1.2409,2)</f>
        <v>7895.85</v>
      </c>
      <c r="I19" s="278"/>
      <c r="J19" s="278"/>
    </row>
    <row r="20" spans="1:10" x14ac:dyDescent="0.2">
      <c r="A20" s="489" t="s">
        <v>272</v>
      </c>
      <c r="B20" s="54">
        <v>9</v>
      </c>
      <c r="C20" s="357">
        <v>1100</v>
      </c>
      <c r="D20" s="357">
        <v>51</v>
      </c>
      <c r="E20" s="357">
        <v>220</v>
      </c>
      <c r="F20" s="405">
        <f t="shared" si="1"/>
        <v>1371</v>
      </c>
      <c r="G20" s="771">
        <f>ROUND((C20+D20+E20)*('29_01_H_2020'!$F$10)*B20*12*1.2409,2)</f>
        <v>18373.759999999998</v>
      </c>
      <c r="I20" s="278"/>
      <c r="J20" s="278"/>
    </row>
    <row r="21" spans="1:10" x14ac:dyDescent="0.2">
      <c r="A21" s="489" t="s">
        <v>282</v>
      </c>
      <c r="B21" s="54">
        <v>35</v>
      </c>
      <c r="C21" s="357">
        <v>1000</v>
      </c>
      <c r="D21" s="357">
        <v>43</v>
      </c>
      <c r="E21" s="357">
        <v>200</v>
      </c>
      <c r="F21" s="405">
        <f t="shared" si="1"/>
        <v>1243</v>
      </c>
      <c r="G21" s="771">
        <f>ROUND((C21+D21+E21)*('29_01_H_2020'!$F$10)*B21*12*1.2409,2)</f>
        <v>64782.43</v>
      </c>
      <c r="I21" s="278"/>
      <c r="J21" s="278"/>
    </row>
    <row r="22" spans="1:10" x14ac:dyDescent="0.2">
      <c r="A22" s="688" t="s">
        <v>55</v>
      </c>
      <c r="B22" s="766">
        <f>SUM(B18:B21)</f>
        <v>63.75</v>
      </c>
      <c r="C22" s="619" t="s">
        <v>52</v>
      </c>
      <c r="D22" s="619" t="s">
        <v>52</v>
      </c>
      <c r="E22" s="619" t="s">
        <v>52</v>
      </c>
      <c r="F22" s="767" t="s">
        <v>52</v>
      </c>
      <c r="G22" s="768" t="s">
        <v>52</v>
      </c>
    </row>
    <row r="23" spans="1:10" x14ac:dyDescent="0.2">
      <c r="A23" s="929" t="s">
        <v>283</v>
      </c>
      <c r="B23" s="930"/>
      <c r="C23" s="930"/>
      <c r="D23" s="930"/>
      <c r="E23" s="930"/>
      <c r="F23" s="930"/>
      <c r="G23" s="760"/>
    </row>
    <row r="24" spans="1:10" ht="51" x14ac:dyDescent="0.2">
      <c r="A24" s="58" t="s">
        <v>204</v>
      </c>
      <c r="B24" s="53"/>
      <c r="C24" s="769"/>
      <c r="D24" s="770"/>
      <c r="E24" s="769"/>
      <c r="F24" s="763"/>
      <c r="G24" s="764"/>
    </row>
    <row r="25" spans="1:10" x14ac:dyDescent="0.2">
      <c r="A25" s="57" t="s">
        <v>279</v>
      </c>
      <c r="B25" s="54">
        <v>2</v>
      </c>
      <c r="C25" s="357">
        <v>1440</v>
      </c>
      <c r="D25" s="357">
        <v>65</v>
      </c>
      <c r="E25" s="357">
        <v>288</v>
      </c>
      <c r="F25" s="405">
        <f t="shared" ref="F25:F26" si="2">SUM(C25:E25)</f>
        <v>1793</v>
      </c>
      <c r="G25" s="765">
        <f>ROUND((C25+D25+E25)*('29_01_H_2020'!$F$14)*B25*12*1.2409,2)</f>
        <v>5339.84</v>
      </c>
      <c r="I25" s="278"/>
      <c r="J25" s="278"/>
    </row>
    <row r="26" spans="1:10" x14ac:dyDescent="0.2">
      <c r="A26" s="57" t="s">
        <v>24</v>
      </c>
      <c r="B26" s="54">
        <v>3.25</v>
      </c>
      <c r="C26" s="357">
        <v>1235</v>
      </c>
      <c r="D26" s="357">
        <v>91</v>
      </c>
      <c r="E26" s="357">
        <v>247</v>
      </c>
      <c r="F26" s="405">
        <f t="shared" si="2"/>
        <v>1573</v>
      </c>
      <c r="G26" s="765">
        <f>ROUND((C26+D26+E26)*('29_01_H_2020'!$F$14)*B26*12*1.2409,2)</f>
        <v>7612.55</v>
      </c>
      <c r="I26" s="278"/>
      <c r="J26" s="278"/>
    </row>
    <row r="27" spans="1:10" x14ac:dyDescent="0.2">
      <c r="A27" s="688" t="s">
        <v>55</v>
      </c>
      <c r="B27" s="766">
        <f>SUM(B25:B26)</f>
        <v>5.25</v>
      </c>
      <c r="C27" s="619" t="s">
        <v>52</v>
      </c>
      <c r="D27" s="619" t="s">
        <v>52</v>
      </c>
      <c r="E27" s="619" t="s">
        <v>52</v>
      </c>
      <c r="F27" s="767" t="s">
        <v>52</v>
      </c>
      <c r="G27" s="768" t="s">
        <v>52</v>
      </c>
    </row>
    <row r="28" spans="1:10" ht="63.75" x14ac:dyDescent="0.2">
      <c r="A28" s="58" t="s">
        <v>243</v>
      </c>
      <c r="B28" s="53"/>
      <c r="C28" s="769"/>
      <c r="D28" s="770"/>
      <c r="E28" s="769"/>
      <c r="F28" s="763"/>
      <c r="G28" s="764"/>
    </row>
    <row r="29" spans="1:10" x14ac:dyDescent="0.2">
      <c r="A29" s="489" t="s">
        <v>269</v>
      </c>
      <c r="B29" s="54">
        <v>5.5</v>
      </c>
      <c r="C29" s="357">
        <v>1080</v>
      </c>
      <c r="D29" s="357">
        <v>45</v>
      </c>
      <c r="E29" s="357">
        <v>216</v>
      </c>
      <c r="F29" s="405">
        <f t="shared" ref="F29:F30" si="3">SUM(C29:E29)</f>
        <v>1341</v>
      </c>
      <c r="G29" s="771">
        <f>ROUND((C29+D29+E29)*('29_01_H_2020'!$F$10)*B29*12*1.2409,2)</f>
        <v>10982.71</v>
      </c>
      <c r="I29" s="278"/>
      <c r="J29" s="278"/>
    </row>
    <row r="30" spans="1:10" x14ac:dyDescent="0.2">
      <c r="A30" s="489" t="s">
        <v>282</v>
      </c>
      <c r="B30" s="54">
        <v>2</v>
      </c>
      <c r="C30" s="357">
        <v>900</v>
      </c>
      <c r="D30" s="357">
        <v>25</v>
      </c>
      <c r="E30" s="357">
        <v>180</v>
      </c>
      <c r="F30" s="405">
        <f t="shared" si="3"/>
        <v>1105</v>
      </c>
      <c r="G30" s="771">
        <f>ROUND((C30+D30+E30)*('29_01_H_2020'!$F$10)*B30*12*1.2409,2)</f>
        <v>3290.87</v>
      </c>
      <c r="I30" s="278"/>
      <c r="J30" s="278"/>
    </row>
    <row r="31" spans="1:10" x14ac:dyDescent="0.2">
      <c r="A31" s="688" t="s">
        <v>55</v>
      </c>
      <c r="B31" s="766">
        <f>SUM(B29:B30)</f>
        <v>7.5</v>
      </c>
      <c r="C31" s="619" t="s">
        <v>52</v>
      </c>
      <c r="D31" s="619" t="s">
        <v>52</v>
      </c>
      <c r="E31" s="619" t="s">
        <v>52</v>
      </c>
      <c r="F31" s="767" t="s">
        <v>52</v>
      </c>
      <c r="G31" s="768" t="s">
        <v>52</v>
      </c>
    </row>
    <row r="32" spans="1:10" ht="38.25" x14ac:dyDescent="0.2">
      <c r="A32" s="58" t="s">
        <v>251</v>
      </c>
      <c r="B32" s="53"/>
      <c r="C32" s="769"/>
      <c r="D32" s="770"/>
      <c r="E32" s="769"/>
      <c r="F32" s="763"/>
      <c r="G32" s="764"/>
    </row>
    <row r="33" spans="1:11" x14ac:dyDescent="0.2">
      <c r="A33" s="57" t="s">
        <v>47</v>
      </c>
      <c r="B33" s="54">
        <v>2</v>
      </c>
      <c r="C33" s="357">
        <v>805</v>
      </c>
      <c r="D33" s="357">
        <v>10</v>
      </c>
      <c r="E33" s="357">
        <v>161</v>
      </c>
      <c r="F33" s="405">
        <f t="shared" ref="F33" si="4">SUM(C33:E33)</f>
        <v>976</v>
      </c>
      <c r="G33" s="765">
        <f>ROUND((C33+D33+E33)*('29_01_H_2020'!$F$14)*B33*12*1.2409,2)</f>
        <v>2906.68</v>
      </c>
      <c r="I33" s="278"/>
      <c r="J33" s="278"/>
    </row>
    <row r="34" spans="1:11" x14ac:dyDescent="0.2">
      <c r="A34" s="688" t="s">
        <v>55</v>
      </c>
      <c r="B34" s="766">
        <f>SUM(B33)</f>
        <v>2</v>
      </c>
      <c r="C34" s="619" t="s">
        <v>52</v>
      </c>
      <c r="D34" s="619" t="s">
        <v>52</v>
      </c>
      <c r="E34" s="619" t="s">
        <v>52</v>
      </c>
      <c r="F34" s="767" t="s">
        <v>52</v>
      </c>
      <c r="G34" s="768" t="s">
        <v>52</v>
      </c>
    </row>
    <row r="35" spans="1:11" ht="13.5" thickBot="1" x14ac:dyDescent="0.25">
      <c r="A35" s="633" t="s">
        <v>57</v>
      </c>
      <c r="B35" s="772">
        <f>SUM(B16,B22,B27,B31,B34)</f>
        <v>114.75</v>
      </c>
      <c r="C35" s="634"/>
      <c r="D35" s="634"/>
      <c r="E35" s="634"/>
      <c r="F35" s="773"/>
      <c r="G35" s="774">
        <f>SUM(G11:G15,G18:G21,G25:G26,G29:G30,G33)</f>
        <v>255393.23999999996</v>
      </c>
      <c r="I35" s="775"/>
      <c r="J35" s="775"/>
      <c r="K35" s="776"/>
    </row>
  </sheetData>
  <mergeCells count="12">
    <mergeCell ref="G4:G5"/>
    <mergeCell ref="A2:G2"/>
    <mergeCell ref="F4:F5"/>
    <mergeCell ref="A7:F7"/>
    <mergeCell ref="A9:F9"/>
    <mergeCell ref="A8:F8"/>
    <mergeCell ref="A23:F23"/>
    <mergeCell ref="A4:A5"/>
    <mergeCell ref="B4:B5"/>
    <mergeCell ref="C4:C5"/>
    <mergeCell ref="D4:D5"/>
    <mergeCell ref="E4:E5"/>
  </mergeCells>
  <pageMargins left="0.25" right="0.25" top="0.75" bottom="0.75" header="0.3" footer="0.3"/>
  <pageSetup paperSize="9" scale="5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M321"/>
  <sheetViews>
    <sheetView zoomScale="90" zoomScaleNormal="90" workbookViewId="0">
      <pane ySplit="4" topLeftCell="A108" activePane="bottomLeft" state="frozen"/>
      <selection activeCell="V212" sqref="V212"/>
      <selection pane="bottomLeft" activeCell="G316" sqref="G316"/>
    </sheetView>
  </sheetViews>
  <sheetFormatPr defaultRowHeight="15" x14ac:dyDescent="0.25"/>
  <cols>
    <col min="1" max="1" width="0" style="297" hidden="1" customWidth="1"/>
    <col min="2" max="2" width="35.85546875" style="297" customWidth="1"/>
    <col min="3" max="5" width="9.140625" style="297"/>
    <col min="6" max="6" width="9.7109375" style="297" customWidth="1"/>
    <col min="7" max="10" width="9.140625" style="297"/>
    <col min="11" max="15" width="11.85546875" style="297" customWidth="1"/>
    <col min="16" max="16" width="15" style="297" customWidth="1"/>
    <col min="17" max="17" width="11.28515625" style="297" customWidth="1"/>
    <col min="18" max="19" width="10" style="297" customWidth="1"/>
    <col min="20" max="20" width="9.5703125" style="297" customWidth="1"/>
    <col min="21" max="21" width="10.7109375" style="297" customWidth="1"/>
    <col min="22" max="22" width="10.7109375" style="297" bestFit="1" customWidth="1"/>
    <col min="23" max="24" width="11.42578125" style="297" bestFit="1" customWidth="1"/>
    <col min="25" max="25" width="9.42578125" style="297" customWidth="1"/>
    <col min="26" max="26" width="10.140625" style="297" customWidth="1"/>
    <col min="27" max="27" width="11.42578125" style="747" bestFit="1" customWidth="1"/>
    <col min="28" max="28" width="11.140625" style="747" customWidth="1"/>
    <col min="29" max="29" width="28" style="297" customWidth="1"/>
    <col min="30" max="30" width="13.28515625" style="297" customWidth="1"/>
    <col min="31" max="35" width="9.140625" style="297"/>
    <col min="36" max="36" width="10" style="297" bestFit="1" customWidth="1"/>
    <col min="37" max="37" width="9.140625" style="297"/>
    <col min="38" max="40" width="10" style="297" bestFit="1" customWidth="1"/>
    <col min="41" max="50" width="9.140625" style="297"/>
    <col min="51" max="53" width="10" style="297" bestFit="1" customWidth="1"/>
    <col min="54" max="16384" width="9.140625" style="297"/>
  </cols>
  <sheetData>
    <row r="1" spans="2:57" x14ac:dyDescent="0.25">
      <c r="T1" s="392" t="s">
        <v>612</v>
      </c>
      <c r="U1" s="388"/>
    </row>
    <row r="2" spans="2:57" ht="33.75" customHeight="1" x14ac:dyDescent="0.25">
      <c r="B2" s="978" t="s">
        <v>620</v>
      </c>
      <c r="C2" s="978"/>
      <c r="D2" s="978"/>
      <c r="E2" s="978"/>
      <c r="F2" s="978"/>
      <c r="G2" s="978"/>
      <c r="H2" s="978"/>
      <c r="I2" s="978"/>
      <c r="J2" s="978"/>
      <c r="K2" s="978"/>
      <c r="L2" s="978"/>
      <c r="M2" s="978"/>
      <c r="N2" s="978"/>
      <c r="O2" s="978"/>
      <c r="P2" s="978"/>
      <c r="Q2" s="978"/>
      <c r="R2" s="978"/>
      <c r="S2" s="978"/>
      <c r="T2" s="978"/>
      <c r="U2" s="978"/>
      <c r="V2" s="777"/>
      <c r="W2" s="777"/>
      <c r="X2" s="777"/>
      <c r="Y2" s="778"/>
    </row>
    <row r="3" spans="2:57" ht="15" customHeight="1" thickBot="1" x14ac:dyDescent="0.3">
      <c r="B3" s="569"/>
      <c r="C3" s="569"/>
      <c r="D3" s="569"/>
      <c r="E3" s="569"/>
      <c r="F3" s="569"/>
      <c r="G3" s="569"/>
      <c r="H3" s="569"/>
      <c r="I3" s="569"/>
      <c r="J3" s="569"/>
      <c r="K3" s="569"/>
      <c r="L3" s="569"/>
      <c r="M3" s="569"/>
      <c r="N3" s="569"/>
      <c r="O3" s="569"/>
      <c r="P3" s="569"/>
      <c r="Q3" s="569"/>
      <c r="R3" s="569"/>
      <c r="S3" s="569"/>
      <c r="T3" s="569"/>
      <c r="U3" s="779" t="s">
        <v>605</v>
      </c>
      <c r="V3" s="569"/>
      <c r="W3" s="569"/>
      <c r="X3" s="569"/>
      <c r="Y3" s="778"/>
      <c r="Z3" s="778"/>
      <c r="AA3" s="581"/>
      <c r="AB3" s="581"/>
      <c r="AC3" s="778"/>
      <c r="AD3" s="778"/>
      <c r="AE3" s="780"/>
      <c r="AF3" s="780"/>
      <c r="AG3" s="780"/>
      <c r="AH3" s="780"/>
      <c r="AI3" s="780"/>
      <c r="AJ3" s="780"/>
      <c r="AK3" s="780"/>
      <c r="AL3" s="780"/>
      <c r="AM3" s="780"/>
      <c r="AN3" s="780"/>
      <c r="AO3" s="780"/>
      <c r="AP3" s="778"/>
      <c r="AQ3" s="778"/>
      <c r="AR3" s="780"/>
      <c r="AS3" s="780"/>
      <c r="AT3" s="780"/>
      <c r="AU3" s="780"/>
      <c r="AV3" s="780"/>
      <c r="AW3" s="780"/>
      <c r="AX3" s="780"/>
      <c r="AY3" s="780"/>
      <c r="AZ3" s="780"/>
      <c r="BA3" s="780"/>
      <c r="BB3" s="780"/>
      <c r="BC3" s="778"/>
    </row>
    <row r="4" spans="2:57" ht="102.75" thickBot="1" x14ac:dyDescent="0.3">
      <c r="B4" s="781" t="s">
        <v>1</v>
      </c>
      <c r="C4" s="782" t="s">
        <v>2</v>
      </c>
      <c r="D4" s="782" t="s">
        <v>3</v>
      </c>
      <c r="E4" s="782" t="s">
        <v>4</v>
      </c>
      <c r="F4" s="782" t="s">
        <v>5</v>
      </c>
      <c r="G4" s="783" t="s">
        <v>384</v>
      </c>
      <c r="H4" s="782" t="s">
        <v>7</v>
      </c>
      <c r="I4" s="782" t="s">
        <v>399</v>
      </c>
      <c r="J4" s="443" t="s">
        <v>8</v>
      </c>
      <c r="K4" s="577" t="s">
        <v>640</v>
      </c>
      <c r="L4" s="588" t="s">
        <v>646</v>
      </c>
      <c r="M4" s="588" t="s">
        <v>642</v>
      </c>
      <c r="N4" s="588" t="s">
        <v>644</v>
      </c>
      <c r="O4" s="588" t="s">
        <v>643</v>
      </c>
      <c r="P4" s="588" t="s">
        <v>645</v>
      </c>
      <c r="Q4" s="418" t="s">
        <v>598</v>
      </c>
      <c r="R4" s="418" t="s">
        <v>599</v>
      </c>
      <c r="S4" s="419" t="s">
        <v>600</v>
      </c>
      <c r="T4" s="419" t="s">
        <v>601</v>
      </c>
      <c r="U4" s="420" t="s">
        <v>602</v>
      </c>
      <c r="V4" s="589"/>
      <c r="W4" s="589"/>
      <c r="X4" s="589"/>
      <c r="Y4" s="589"/>
      <c r="Z4" s="589"/>
      <c r="AA4" s="589"/>
      <c r="AB4" s="589"/>
      <c r="AC4" s="784"/>
      <c r="AD4" s="784"/>
      <c r="AE4" s="589"/>
      <c r="AF4" s="589"/>
      <c r="AG4" s="589"/>
      <c r="AH4" s="589"/>
      <c r="AI4" s="589"/>
      <c r="AJ4" s="589"/>
      <c r="AK4" s="589"/>
      <c r="AL4" s="589"/>
      <c r="AM4" s="590"/>
      <c r="AN4" s="590"/>
      <c r="AO4" s="589"/>
      <c r="AP4" s="581"/>
      <c r="AQ4" s="581"/>
      <c r="AR4" s="589"/>
      <c r="AS4" s="589"/>
      <c r="AT4" s="589"/>
      <c r="AU4" s="589"/>
      <c r="AV4" s="589"/>
      <c r="AW4" s="589"/>
      <c r="AX4" s="589"/>
      <c r="AY4" s="589"/>
      <c r="AZ4" s="590"/>
      <c r="BA4" s="590"/>
      <c r="BB4" s="589"/>
      <c r="BC4" s="581"/>
      <c r="BD4" s="581"/>
      <c r="BE4" s="747"/>
    </row>
    <row r="5" spans="2:57" x14ac:dyDescent="0.25">
      <c r="B5" s="785" t="s">
        <v>113</v>
      </c>
      <c r="C5" s="786"/>
      <c r="D5" s="786"/>
      <c r="E5" s="786"/>
      <c r="F5" s="786"/>
      <c r="G5" s="786"/>
      <c r="H5" s="786"/>
      <c r="I5" s="786"/>
      <c r="J5" s="786"/>
      <c r="K5" s="787"/>
      <c r="L5" s="788"/>
      <c r="M5" s="788"/>
      <c r="N5" s="788"/>
      <c r="O5" s="788"/>
      <c r="P5" s="788"/>
      <c r="Q5" s="789"/>
      <c r="R5" s="789"/>
      <c r="S5" s="789"/>
      <c r="T5" s="789"/>
      <c r="U5" s="790"/>
      <c r="V5" s="791"/>
      <c r="W5" s="791"/>
      <c r="X5" s="791"/>
      <c r="Y5" s="581"/>
      <c r="Z5" s="581"/>
      <c r="AA5" s="581"/>
      <c r="AB5" s="581"/>
      <c r="AC5" s="581"/>
      <c r="AD5" s="747"/>
      <c r="AE5" s="792"/>
      <c r="AF5" s="792"/>
      <c r="AG5" s="792"/>
      <c r="AH5" s="792"/>
      <c r="AI5" s="792"/>
      <c r="AJ5" s="792"/>
      <c r="AK5" s="792"/>
      <c r="AL5" s="792"/>
      <c r="AM5" s="792"/>
      <c r="AN5" s="792"/>
      <c r="AO5" s="792"/>
      <c r="AP5" s="747"/>
      <c r="AQ5" s="747"/>
      <c r="AR5" s="792"/>
      <c r="AS5" s="792"/>
      <c r="AT5" s="792"/>
      <c r="AU5" s="792"/>
      <c r="AV5" s="792"/>
      <c r="AW5" s="792"/>
      <c r="AX5" s="792"/>
      <c r="AY5" s="792"/>
      <c r="AZ5" s="792"/>
      <c r="BA5" s="792"/>
      <c r="BB5" s="792"/>
      <c r="BC5" s="747"/>
      <c r="BD5" s="747"/>
      <c r="BE5" s="747"/>
    </row>
    <row r="6" spans="2:57" x14ac:dyDescent="0.25">
      <c r="B6" s="974" t="s">
        <v>162</v>
      </c>
      <c r="C6" s="975"/>
      <c r="D6" s="975"/>
      <c r="E6" s="975"/>
      <c r="F6" s="975"/>
      <c r="G6" s="975"/>
      <c r="H6" s="975"/>
      <c r="I6" s="975"/>
      <c r="J6" s="979"/>
      <c r="K6" s="793"/>
      <c r="L6" s="794"/>
      <c r="M6" s="794"/>
      <c r="N6" s="794"/>
      <c r="O6" s="794"/>
      <c r="P6" s="794"/>
      <c r="Q6" s="795"/>
      <c r="R6" s="795"/>
      <c r="S6" s="795"/>
      <c r="T6" s="795"/>
      <c r="U6" s="796"/>
      <c r="V6" s="797"/>
      <c r="W6" s="797"/>
      <c r="X6" s="797"/>
      <c r="Y6" s="581"/>
      <c r="Z6" s="581"/>
      <c r="AA6" s="581"/>
      <c r="AB6" s="581"/>
      <c r="AC6" s="581"/>
      <c r="AD6" s="747"/>
      <c r="AE6" s="747"/>
      <c r="AF6" s="747"/>
      <c r="AG6" s="747"/>
      <c r="AH6" s="747"/>
      <c r="AI6" s="747"/>
      <c r="AJ6" s="747"/>
      <c r="AK6" s="747"/>
      <c r="AL6" s="747"/>
      <c r="AM6" s="747"/>
      <c r="AN6" s="747"/>
      <c r="AO6" s="747"/>
      <c r="AP6" s="747"/>
      <c r="AQ6" s="747"/>
      <c r="AR6" s="747"/>
      <c r="AS6" s="747"/>
      <c r="AT6" s="747"/>
      <c r="AU6" s="747"/>
      <c r="AV6" s="747"/>
      <c r="AW6" s="747"/>
      <c r="AX6" s="747"/>
      <c r="AY6" s="747"/>
      <c r="AZ6" s="747"/>
      <c r="BA6" s="747"/>
      <c r="BB6" s="747"/>
      <c r="BC6" s="747"/>
      <c r="BD6" s="747"/>
      <c r="BE6" s="747"/>
    </row>
    <row r="7" spans="2:57" x14ac:dyDescent="0.25">
      <c r="B7" s="798" t="s">
        <v>10</v>
      </c>
      <c r="C7" s="799"/>
      <c r="D7" s="799"/>
      <c r="E7" s="799"/>
      <c r="F7" s="799"/>
      <c r="G7" s="799"/>
      <c r="H7" s="799"/>
      <c r="I7" s="799"/>
      <c r="J7" s="799"/>
      <c r="K7" s="800"/>
      <c r="L7" s="801"/>
      <c r="M7" s="801"/>
      <c r="N7" s="801"/>
      <c r="O7" s="801"/>
      <c r="P7" s="801"/>
      <c r="Q7" s="802"/>
      <c r="R7" s="802"/>
      <c r="S7" s="802"/>
      <c r="T7" s="802"/>
      <c r="U7" s="803"/>
      <c r="V7" s="804"/>
      <c r="W7" s="804"/>
      <c r="X7" s="804"/>
      <c r="Y7" s="581"/>
      <c r="Z7" s="581"/>
      <c r="AA7" s="581"/>
      <c r="AB7" s="581"/>
      <c r="AC7" s="581"/>
      <c r="AD7" s="747"/>
      <c r="AE7" s="747"/>
      <c r="AF7" s="747"/>
      <c r="AG7" s="747"/>
      <c r="AH7" s="747"/>
      <c r="AI7" s="747"/>
      <c r="AJ7" s="747"/>
      <c r="AK7" s="747"/>
      <c r="AL7" s="747"/>
      <c r="AM7" s="747"/>
      <c r="AN7" s="747"/>
      <c r="AO7" s="747"/>
      <c r="AP7" s="747"/>
      <c r="AQ7" s="747"/>
      <c r="AR7" s="747"/>
      <c r="AS7" s="747"/>
      <c r="AT7" s="747"/>
      <c r="AU7" s="747"/>
      <c r="AV7" s="747"/>
      <c r="AW7" s="747"/>
      <c r="AX7" s="747"/>
      <c r="AY7" s="747"/>
      <c r="AZ7" s="747"/>
      <c r="BA7" s="747"/>
      <c r="BB7" s="747"/>
      <c r="BC7" s="747"/>
      <c r="BD7" s="747"/>
      <c r="BE7" s="747"/>
    </row>
    <row r="8" spans="2:57" ht="15" customHeight="1" x14ac:dyDescent="0.25">
      <c r="B8" s="3" t="s">
        <v>114</v>
      </c>
      <c r="C8" s="19" t="s">
        <v>115</v>
      </c>
      <c r="D8" s="19" t="s">
        <v>116</v>
      </c>
      <c r="E8" s="321" t="s">
        <v>117</v>
      </c>
      <c r="F8" s="321" t="s">
        <v>69</v>
      </c>
      <c r="G8" s="347">
        <v>2353</v>
      </c>
      <c r="H8" s="20">
        <v>2277</v>
      </c>
      <c r="I8" s="20">
        <v>0</v>
      </c>
      <c r="J8" s="331">
        <v>1</v>
      </c>
      <c r="K8" s="607">
        <f>ROUND(H8*(1+'29_01_H_2020'!$F$14),2)</f>
        <v>2504.6999999999998</v>
      </c>
      <c r="L8" s="608">
        <f>IF(K8&lt;=G8,K8,G8)</f>
        <v>2353</v>
      </c>
      <c r="M8" s="608">
        <f>L8-H8</f>
        <v>76</v>
      </c>
      <c r="N8" s="608">
        <f>K8-L8</f>
        <v>151.69999999999982</v>
      </c>
      <c r="O8" s="608">
        <f t="shared" ref="O8" si="0">ROUND(I8/H8*L8-I8,2)</f>
        <v>0</v>
      </c>
      <c r="P8" s="608">
        <f t="shared" ref="P8" si="1">ROUND(I8/H8*K8-I8-O8,2)</f>
        <v>0</v>
      </c>
      <c r="Q8" s="609">
        <f>M8+N8+O8+P8</f>
        <v>227.69999999999982</v>
      </c>
      <c r="R8" s="609">
        <f t="shared" ref="R8:R26" si="2">Q8*J8</f>
        <v>227.69999999999982</v>
      </c>
      <c r="S8" s="609">
        <f t="shared" ref="S8:S11" si="3">R8*12</f>
        <v>2732.3999999999978</v>
      </c>
      <c r="T8" s="609">
        <f t="shared" ref="T8:T11" si="4">ROUND(S8*0.2409,2)</f>
        <v>658.24</v>
      </c>
      <c r="U8" s="610">
        <f>SUM(S8:T8)</f>
        <v>3390.6399999999976</v>
      </c>
      <c r="V8" s="611"/>
      <c r="W8" s="611"/>
      <c r="X8" s="611"/>
      <c r="Y8" s="616"/>
      <c r="Z8" s="805"/>
      <c r="AA8" s="806"/>
      <c r="AB8" s="806"/>
      <c r="AC8" s="581"/>
      <c r="AD8" s="747"/>
      <c r="AE8" s="807"/>
      <c r="AF8" s="807"/>
      <c r="AG8" s="807"/>
      <c r="AH8" s="807"/>
      <c r="AI8" s="807"/>
      <c r="AJ8" s="807"/>
      <c r="AK8" s="807"/>
      <c r="AL8" s="807"/>
      <c r="AM8" s="807"/>
      <c r="AN8" s="807"/>
      <c r="AO8" s="808"/>
      <c r="AP8" s="747"/>
      <c r="AQ8" s="747"/>
      <c r="AR8" s="807"/>
      <c r="AS8" s="807"/>
      <c r="AT8" s="807"/>
      <c r="AU8" s="807"/>
      <c r="AV8" s="807"/>
      <c r="AW8" s="807"/>
      <c r="AX8" s="807"/>
      <c r="AY8" s="807"/>
      <c r="AZ8" s="807"/>
      <c r="BA8" s="807"/>
      <c r="BB8" s="808"/>
      <c r="BC8" s="747"/>
      <c r="BD8" s="747"/>
      <c r="BE8" s="747"/>
    </row>
    <row r="9" spans="2:57" ht="25.5" x14ac:dyDescent="0.25">
      <c r="B9" s="3" t="s">
        <v>118</v>
      </c>
      <c r="C9" s="19" t="s">
        <v>115</v>
      </c>
      <c r="D9" s="19" t="s">
        <v>116</v>
      </c>
      <c r="E9" s="321" t="s">
        <v>117</v>
      </c>
      <c r="F9" s="321" t="s">
        <v>69</v>
      </c>
      <c r="G9" s="347">
        <v>2353</v>
      </c>
      <c r="H9" s="20">
        <v>2277</v>
      </c>
      <c r="I9" s="20">
        <v>0</v>
      </c>
      <c r="J9" s="331">
        <v>1</v>
      </c>
      <c r="K9" s="607">
        <f>ROUND(H9*(1+'29_01_H_2020'!$F$14),2)</f>
        <v>2504.6999999999998</v>
      </c>
      <c r="L9" s="608">
        <f t="shared" ref="L9:L26" si="5">IF(K9&lt;=G9,K9,G9)</f>
        <v>2353</v>
      </c>
      <c r="M9" s="608">
        <f t="shared" ref="M9:M26" si="6">L9-H9</f>
        <v>76</v>
      </c>
      <c r="N9" s="608">
        <f t="shared" ref="N9:N26" si="7">K9-L9</f>
        <v>151.69999999999982</v>
      </c>
      <c r="O9" s="608">
        <f t="shared" ref="O9:O26" si="8">ROUND(I9/H9*L9-I9,2)</f>
        <v>0</v>
      </c>
      <c r="P9" s="608">
        <f t="shared" ref="P9:P26" si="9">ROUND(I9/H9*K9-I9-O9,2)</f>
        <v>0</v>
      </c>
      <c r="Q9" s="609">
        <f t="shared" ref="Q9:Q26" si="10">M9+N9+O9+P9</f>
        <v>227.69999999999982</v>
      </c>
      <c r="R9" s="609">
        <f t="shared" si="2"/>
        <v>227.69999999999982</v>
      </c>
      <c r="S9" s="609">
        <f t="shared" si="3"/>
        <v>2732.3999999999978</v>
      </c>
      <c r="T9" s="609">
        <f t="shared" si="4"/>
        <v>658.24</v>
      </c>
      <c r="U9" s="610">
        <f t="shared" ref="U9:U11" si="11">SUM(S9:T9)</f>
        <v>3390.6399999999976</v>
      </c>
      <c r="V9" s="611"/>
      <c r="W9" s="611"/>
      <c r="X9" s="611"/>
      <c r="Y9" s="616"/>
      <c r="Z9" s="805"/>
      <c r="AA9" s="806"/>
      <c r="AB9" s="806"/>
      <c r="AC9" s="581"/>
      <c r="AD9" s="747"/>
      <c r="AE9" s="807"/>
      <c r="AF9" s="807"/>
      <c r="AG9" s="807"/>
      <c r="AH9" s="807"/>
      <c r="AI9" s="807"/>
      <c r="AJ9" s="807"/>
      <c r="AK9" s="807"/>
      <c r="AL9" s="807"/>
      <c r="AM9" s="807"/>
      <c r="AN9" s="807"/>
      <c r="AO9" s="808"/>
      <c r="AP9" s="747"/>
      <c r="AQ9" s="747"/>
      <c r="AR9" s="807"/>
      <c r="AS9" s="807"/>
      <c r="AT9" s="807"/>
      <c r="AU9" s="807"/>
      <c r="AV9" s="807"/>
      <c r="AW9" s="807"/>
      <c r="AX9" s="807"/>
      <c r="AY9" s="807"/>
      <c r="AZ9" s="807"/>
      <c r="BA9" s="807"/>
      <c r="BB9" s="808"/>
      <c r="BC9" s="747"/>
      <c r="BD9" s="747"/>
      <c r="BE9" s="747"/>
    </row>
    <row r="10" spans="2:57" x14ac:dyDescent="0.25">
      <c r="B10" s="3" t="s">
        <v>119</v>
      </c>
      <c r="C10" s="19" t="s">
        <v>115</v>
      </c>
      <c r="D10" s="19" t="s">
        <v>116</v>
      </c>
      <c r="E10" s="321" t="s">
        <v>117</v>
      </c>
      <c r="F10" s="321" t="s">
        <v>69</v>
      </c>
      <c r="G10" s="347">
        <v>2353</v>
      </c>
      <c r="H10" s="20">
        <v>2277</v>
      </c>
      <c r="I10" s="20">
        <v>0</v>
      </c>
      <c r="J10" s="331">
        <v>1</v>
      </c>
      <c r="K10" s="607">
        <f>ROUND(H10*(1+'29_01_H_2020'!$F$14),2)</f>
        <v>2504.6999999999998</v>
      </c>
      <c r="L10" s="608">
        <f t="shared" si="5"/>
        <v>2353</v>
      </c>
      <c r="M10" s="608">
        <f t="shared" si="6"/>
        <v>76</v>
      </c>
      <c r="N10" s="608">
        <f t="shared" si="7"/>
        <v>151.69999999999982</v>
      </c>
      <c r="O10" s="608">
        <f t="shared" si="8"/>
        <v>0</v>
      </c>
      <c r="P10" s="608">
        <f t="shared" si="9"/>
        <v>0</v>
      </c>
      <c r="Q10" s="609">
        <f t="shared" si="10"/>
        <v>227.69999999999982</v>
      </c>
      <c r="R10" s="609">
        <f t="shared" si="2"/>
        <v>227.69999999999982</v>
      </c>
      <c r="S10" s="609">
        <f t="shared" si="3"/>
        <v>2732.3999999999978</v>
      </c>
      <c r="T10" s="609">
        <f t="shared" si="4"/>
        <v>658.24</v>
      </c>
      <c r="U10" s="610">
        <f t="shared" si="11"/>
        <v>3390.6399999999976</v>
      </c>
      <c r="V10" s="611"/>
      <c r="W10" s="611"/>
      <c r="X10" s="611"/>
      <c r="Y10" s="616"/>
      <c r="Z10" s="805"/>
      <c r="AA10" s="806"/>
      <c r="AB10" s="806"/>
      <c r="AC10" s="581"/>
      <c r="AD10" s="747"/>
      <c r="AE10" s="807"/>
      <c r="AF10" s="807"/>
      <c r="AG10" s="807"/>
      <c r="AH10" s="807"/>
      <c r="AI10" s="807"/>
      <c r="AJ10" s="807"/>
      <c r="AK10" s="807"/>
      <c r="AL10" s="807"/>
      <c r="AM10" s="807"/>
      <c r="AN10" s="807"/>
      <c r="AO10" s="808"/>
      <c r="AP10" s="747"/>
      <c r="AQ10" s="747"/>
      <c r="AR10" s="807"/>
      <c r="AS10" s="807"/>
      <c r="AT10" s="807"/>
      <c r="AU10" s="807"/>
      <c r="AV10" s="807"/>
      <c r="AW10" s="807"/>
      <c r="AX10" s="807"/>
      <c r="AY10" s="807"/>
      <c r="AZ10" s="807"/>
      <c r="BA10" s="807"/>
      <c r="BB10" s="808"/>
      <c r="BC10" s="747"/>
      <c r="BD10" s="747"/>
      <c r="BE10" s="747"/>
    </row>
    <row r="11" spans="2:57" ht="25.5" x14ac:dyDescent="0.25">
      <c r="B11" s="3" t="s">
        <v>120</v>
      </c>
      <c r="C11" s="19" t="s">
        <v>115</v>
      </c>
      <c r="D11" s="19" t="s">
        <v>116</v>
      </c>
      <c r="E11" s="321" t="s">
        <v>117</v>
      </c>
      <c r="F11" s="321" t="s">
        <v>69</v>
      </c>
      <c r="G11" s="347">
        <v>2353</v>
      </c>
      <c r="H11" s="20">
        <v>2200</v>
      </c>
      <c r="I11" s="20">
        <v>0</v>
      </c>
      <c r="J11" s="331">
        <v>1</v>
      </c>
      <c r="K11" s="607">
        <f>ROUND(H11*(1+'29_01_H_2020'!$F$14),2)</f>
        <v>2420</v>
      </c>
      <c r="L11" s="608">
        <f t="shared" si="5"/>
        <v>2353</v>
      </c>
      <c r="M11" s="608">
        <f t="shared" si="6"/>
        <v>153</v>
      </c>
      <c r="N11" s="608">
        <f t="shared" si="7"/>
        <v>67</v>
      </c>
      <c r="O11" s="608">
        <f t="shared" si="8"/>
        <v>0</v>
      </c>
      <c r="P11" s="608">
        <f t="shared" si="9"/>
        <v>0</v>
      </c>
      <c r="Q11" s="609">
        <f t="shared" si="10"/>
        <v>220</v>
      </c>
      <c r="R11" s="609">
        <f t="shared" si="2"/>
        <v>220</v>
      </c>
      <c r="S11" s="609">
        <f t="shared" si="3"/>
        <v>2640</v>
      </c>
      <c r="T11" s="609">
        <f t="shared" si="4"/>
        <v>635.98</v>
      </c>
      <c r="U11" s="610">
        <f t="shared" si="11"/>
        <v>3275.98</v>
      </c>
      <c r="V11" s="611"/>
      <c r="W11" s="611"/>
      <c r="X11" s="611"/>
      <c r="Y11" s="616"/>
      <c r="Z11" s="805"/>
      <c r="AA11" s="806"/>
      <c r="AB11" s="806"/>
      <c r="AC11" s="581"/>
      <c r="AD11" s="747"/>
      <c r="AE11" s="807"/>
      <c r="AF11" s="807"/>
      <c r="AG11" s="807"/>
      <c r="AH11" s="807"/>
      <c r="AI11" s="807"/>
      <c r="AJ11" s="807"/>
      <c r="AK11" s="807"/>
      <c r="AL11" s="807"/>
      <c r="AM11" s="807"/>
      <c r="AN11" s="807"/>
      <c r="AO11" s="808"/>
      <c r="AP11" s="747"/>
      <c r="AQ11" s="747"/>
      <c r="AR11" s="807"/>
      <c r="AS11" s="807"/>
      <c r="AT11" s="807"/>
      <c r="AU11" s="807"/>
      <c r="AV11" s="807"/>
      <c r="AW11" s="807"/>
      <c r="AX11" s="807"/>
      <c r="AY11" s="807"/>
      <c r="AZ11" s="807"/>
      <c r="BA11" s="807"/>
      <c r="BB11" s="808"/>
      <c r="BC11" s="747"/>
      <c r="BD11" s="747"/>
      <c r="BE11" s="747"/>
    </row>
    <row r="12" spans="2:57" ht="25.5" x14ac:dyDescent="0.25">
      <c r="B12" s="3" t="s">
        <v>121</v>
      </c>
      <c r="C12" s="19" t="s">
        <v>122</v>
      </c>
      <c r="D12" s="19" t="s">
        <v>20</v>
      </c>
      <c r="E12" s="321" t="s">
        <v>123</v>
      </c>
      <c r="F12" s="321" t="s">
        <v>69</v>
      </c>
      <c r="G12" s="347">
        <v>1647</v>
      </c>
      <c r="H12" s="20">
        <v>1647</v>
      </c>
      <c r="I12" s="20">
        <v>0</v>
      </c>
      <c r="J12" s="331">
        <v>3</v>
      </c>
      <c r="K12" s="607">
        <f>ROUND(H12*(1+'29_01_H_2020'!$F$14),2)</f>
        <v>1811.7</v>
      </c>
      <c r="L12" s="608">
        <f t="shared" si="5"/>
        <v>1647</v>
      </c>
      <c r="M12" s="608">
        <f t="shared" si="6"/>
        <v>0</v>
      </c>
      <c r="N12" s="608">
        <f t="shared" si="7"/>
        <v>164.70000000000005</v>
      </c>
      <c r="O12" s="608">
        <f t="shared" si="8"/>
        <v>0</v>
      </c>
      <c r="P12" s="608">
        <f t="shared" si="9"/>
        <v>0</v>
      </c>
      <c r="Q12" s="609">
        <f t="shared" si="10"/>
        <v>164.70000000000005</v>
      </c>
      <c r="R12" s="609">
        <f t="shared" si="2"/>
        <v>494.10000000000014</v>
      </c>
      <c r="S12" s="609">
        <f>R12*12</f>
        <v>5929.2000000000016</v>
      </c>
      <c r="T12" s="609">
        <f>ROUND(S12*0.2409,2)</f>
        <v>1428.34</v>
      </c>
      <c r="U12" s="610">
        <f>SUM(S12:T12)</f>
        <v>7357.5400000000018</v>
      </c>
      <c r="V12" s="611"/>
      <c r="W12" s="611"/>
      <c r="X12" s="611"/>
      <c r="Y12" s="616"/>
      <c r="Z12" s="805"/>
      <c r="AA12" s="806"/>
      <c r="AB12" s="806"/>
      <c r="AC12" s="581"/>
      <c r="AD12" s="747"/>
      <c r="AE12" s="807"/>
      <c r="AF12" s="807"/>
      <c r="AG12" s="807"/>
      <c r="AH12" s="807"/>
      <c r="AI12" s="807"/>
      <c r="AJ12" s="807"/>
      <c r="AK12" s="807"/>
      <c r="AL12" s="807"/>
      <c r="AM12" s="807"/>
      <c r="AN12" s="807"/>
      <c r="AO12" s="808"/>
      <c r="AP12" s="747"/>
      <c r="AQ12" s="747"/>
      <c r="AR12" s="807"/>
      <c r="AS12" s="807"/>
      <c r="AT12" s="807"/>
      <c r="AU12" s="807"/>
      <c r="AV12" s="807"/>
      <c r="AW12" s="807"/>
      <c r="AX12" s="807"/>
      <c r="AY12" s="807"/>
      <c r="AZ12" s="807"/>
      <c r="BA12" s="807"/>
      <c r="BB12" s="808"/>
      <c r="BC12" s="747"/>
      <c r="BD12" s="747"/>
      <c r="BE12" s="747"/>
    </row>
    <row r="13" spans="2:57" ht="38.25" x14ac:dyDescent="0.25">
      <c r="B13" s="3" t="s">
        <v>124</v>
      </c>
      <c r="C13" s="19" t="s">
        <v>115</v>
      </c>
      <c r="D13" s="19" t="s">
        <v>125</v>
      </c>
      <c r="E13" s="321" t="s">
        <v>126</v>
      </c>
      <c r="F13" s="321" t="s">
        <v>69</v>
      </c>
      <c r="G13" s="347">
        <v>1917</v>
      </c>
      <c r="H13" s="20">
        <v>1700</v>
      </c>
      <c r="I13" s="20">
        <v>0</v>
      </c>
      <c r="J13" s="331">
        <v>1</v>
      </c>
      <c r="K13" s="607">
        <f>ROUND(H13*(1+'29_01_H_2020'!$F$14),2)</f>
        <v>1870</v>
      </c>
      <c r="L13" s="608">
        <f t="shared" si="5"/>
        <v>1870</v>
      </c>
      <c r="M13" s="608">
        <f t="shared" si="6"/>
        <v>170</v>
      </c>
      <c r="N13" s="608">
        <f t="shared" si="7"/>
        <v>0</v>
      </c>
      <c r="O13" s="608">
        <f t="shared" si="8"/>
        <v>0</v>
      </c>
      <c r="P13" s="608">
        <f t="shared" si="9"/>
        <v>0</v>
      </c>
      <c r="Q13" s="609">
        <f t="shared" si="10"/>
        <v>170</v>
      </c>
      <c r="R13" s="609">
        <f t="shared" si="2"/>
        <v>170</v>
      </c>
      <c r="S13" s="609">
        <f t="shared" ref="S13:S26" si="12">R13*12</f>
        <v>2040</v>
      </c>
      <c r="T13" s="609">
        <f t="shared" ref="T13:T26" si="13">ROUND(S13*0.2409,2)</f>
        <v>491.44</v>
      </c>
      <c r="U13" s="610">
        <f t="shared" ref="U13:U26" si="14">SUM(S13:T13)</f>
        <v>2531.44</v>
      </c>
      <c r="V13" s="611"/>
      <c r="W13" s="611"/>
      <c r="X13" s="611"/>
      <c r="Y13" s="616"/>
      <c r="Z13" s="805"/>
      <c r="AA13" s="806"/>
      <c r="AB13" s="806"/>
      <c r="AC13" s="581"/>
      <c r="AD13" s="747"/>
      <c r="AE13" s="807"/>
      <c r="AF13" s="807"/>
      <c r="AG13" s="807"/>
      <c r="AH13" s="807"/>
      <c r="AI13" s="807"/>
      <c r="AJ13" s="807"/>
      <c r="AK13" s="807"/>
      <c r="AL13" s="807"/>
      <c r="AM13" s="807"/>
      <c r="AN13" s="807"/>
      <c r="AO13" s="808"/>
      <c r="AP13" s="747"/>
      <c r="AQ13" s="747"/>
      <c r="AR13" s="807"/>
      <c r="AS13" s="807"/>
      <c r="AT13" s="807"/>
      <c r="AU13" s="807"/>
      <c r="AV13" s="807"/>
      <c r="AW13" s="807"/>
      <c r="AX13" s="807"/>
      <c r="AY13" s="807"/>
      <c r="AZ13" s="807"/>
      <c r="BA13" s="807"/>
      <c r="BB13" s="808"/>
      <c r="BC13" s="747"/>
      <c r="BD13" s="747"/>
      <c r="BE13" s="747"/>
    </row>
    <row r="14" spans="2:57" x14ac:dyDescent="0.25">
      <c r="B14" s="3" t="s">
        <v>127</v>
      </c>
      <c r="C14" s="19" t="s">
        <v>115</v>
      </c>
      <c r="D14" s="19" t="s">
        <v>128</v>
      </c>
      <c r="E14" s="321" t="s">
        <v>117</v>
      </c>
      <c r="F14" s="321" t="s">
        <v>69</v>
      </c>
      <c r="G14" s="347">
        <v>2353</v>
      </c>
      <c r="H14" s="20">
        <v>1990</v>
      </c>
      <c r="I14" s="20">
        <v>0</v>
      </c>
      <c r="J14" s="331">
        <v>1</v>
      </c>
      <c r="K14" s="607">
        <f>ROUND(H14*(1+'29_01_H_2020'!$F$14),2)</f>
        <v>2189</v>
      </c>
      <c r="L14" s="608">
        <f t="shared" si="5"/>
        <v>2189</v>
      </c>
      <c r="M14" s="608">
        <f t="shared" si="6"/>
        <v>199</v>
      </c>
      <c r="N14" s="608">
        <f t="shared" si="7"/>
        <v>0</v>
      </c>
      <c r="O14" s="608">
        <f t="shared" si="8"/>
        <v>0</v>
      </c>
      <c r="P14" s="608">
        <f t="shared" si="9"/>
        <v>0</v>
      </c>
      <c r="Q14" s="609">
        <f t="shared" si="10"/>
        <v>199</v>
      </c>
      <c r="R14" s="609">
        <f t="shared" si="2"/>
        <v>199</v>
      </c>
      <c r="S14" s="609">
        <f t="shared" si="12"/>
        <v>2388</v>
      </c>
      <c r="T14" s="609">
        <f t="shared" si="13"/>
        <v>575.27</v>
      </c>
      <c r="U14" s="610">
        <f t="shared" si="14"/>
        <v>2963.27</v>
      </c>
      <c r="V14" s="611"/>
      <c r="W14" s="611"/>
      <c r="X14" s="611"/>
      <c r="Y14" s="616"/>
      <c r="Z14" s="805"/>
      <c r="AA14" s="806"/>
      <c r="AB14" s="806"/>
      <c r="AC14" s="581"/>
      <c r="AD14" s="747"/>
      <c r="AE14" s="807"/>
      <c r="AF14" s="807"/>
      <c r="AG14" s="807"/>
      <c r="AH14" s="807"/>
      <c r="AI14" s="807"/>
      <c r="AJ14" s="807"/>
      <c r="AK14" s="807"/>
      <c r="AL14" s="807"/>
      <c r="AM14" s="807"/>
      <c r="AN14" s="807"/>
      <c r="AO14" s="808"/>
      <c r="AP14" s="747"/>
      <c r="AQ14" s="747"/>
      <c r="AR14" s="807"/>
      <c r="AS14" s="807"/>
      <c r="AT14" s="807"/>
      <c r="AU14" s="807"/>
      <c r="AV14" s="807"/>
      <c r="AW14" s="807"/>
      <c r="AX14" s="807"/>
      <c r="AY14" s="807"/>
      <c r="AZ14" s="807"/>
      <c r="BA14" s="807"/>
      <c r="BB14" s="808"/>
      <c r="BC14" s="747"/>
      <c r="BD14" s="747"/>
      <c r="BE14" s="747"/>
    </row>
    <row r="15" spans="2:57" x14ac:dyDescent="0.25">
      <c r="B15" s="3" t="s">
        <v>129</v>
      </c>
      <c r="C15" s="19" t="s">
        <v>115</v>
      </c>
      <c r="D15" s="19" t="s">
        <v>130</v>
      </c>
      <c r="E15" s="321" t="s">
        <v>80</v>
      </c>
      <c r="F15" s="321" t="s">
        <v>69</v>
      </c>
      <c r="G15" s="347">
        <v>2264</v>
      </c>
      <c r="H15" s="20">
        <v>1860</v>
      </c>
      <c r="I15" s="20">
        <v>0</v>
      </c>
      <c r="J15" s="331">
        <v>1</v>
      </c>
      <c r="K15" s="607">
        <f>ROUND(H15*(1+'29_01_H_2020'!$F$14),2)</f>
        <v>2046</v>
      </c>
      <c r="L15" s="608">
        <f t="shared" si="5"/>
        <v>2046</v>
      </c>
      <c r="M15" s="608">
        <f t="shared" si="6"/>
        <v>186</v>
      </c>
      <c r="N15" s="608">
        <f t="shared" si="7"/>
        <v>0</v>
      </c>
      <c r="O15" s="608">
        <f t="shared" si="8"/>
        <v>0</v>
      </c>
      <c r="P15" s="608">
        <f t="shared" si="9"/>
        <v>0</v>
      </c>
      <c r="Q15" s="609">
        <f t="shared" si="10"/>
        <v>186</v>
      </c>
      <c r="R15" s="609">
        <f t="shared" si="2"/>
        <v>186</v>
      </c>
      <c r="S15" s="609">
        <f t="shared" si="12"/>
        <v>2232</v>
      </c>
      <c r="T15" s="609">
        <f t="shared" si="13"/>
        <v>537.69000000000005</v>
      </c>
      <c r="U15" s="610">
        <f t="shared" si="14"/>
        <v>2769.69</v>
      </c>
      <c r="V15" s="611"/>
      <c r="W15" s="611"/>
      <c r="X15" s="611"/>
      <c r="Y15" s="616"/>
      <c r="Z15" s="805"/>
      <c r="AA15" s="806"/>
      <c r="AB15" s="806"/>
      <c r="AC15" s="581"/>
      <c r="AD15" s="747"/>
      <c r="AE15" s="807"/>
      <c r="AF15" s="807"/>
      <c r="AG15" s="807"/>
      <c r="AH15" s="807"/>
      <c r="AI15" s="807"/>
      <c r="AJ15" s="807"/>
      <c r="AK15" s="807"/>
      <c r="AL15" s="807"/>
      <c r="AM15" s="807"/>
      <c r="AN15" s="807"/>
      <c r="AO15" s="808"/>
      <c r="AP15" s="747"/>
      <c r="AQ15" s="747"/>
      <c r="AR15" s="807"/>
      <c r="AS15" s="807"/>
      <c r="AT15" s="807"/>
      <c r="AU15" s="807"/>
      <c r="AV15" s="807"/>
      <c r="AW15" s="807"/>
      <c r="AX15" s="807"/>
      <c r="AY15" s="807"/>
      <c r="AZ15" s="807"/>
      <c r="BA15" s="807"/>
      <c r="BB15" s="808"/>
      <c r="BC15" s="747"/>
      <c r="BD15" s="747"/>
      <c r="BE15" s="747"/>
    </row>
    <row r="16" spans="2:57" x14ac:dyDescent="0.25">
      <c r="B16" s="3" t="s">
        <v>131</v>
      </c>
      <c r="C16" s="19" t="s">
        <v>115</v>
      </c>
      <c r="D16" s="19" t="s">
        <v>128</v>
      </c>
      <c r="E16" s="321" t="s">
        <v>117</v>
      </c>
      <c r="F16" s="321" t="s">
        <v>69</v>
      </c>
      <c r="G16" s="347">
        <v>2353</v>
      </c>
      <c r="H16" s="20">
        <v>2230</v>
      </c>
      <c r="I16" s="20">
        <v>0</v>
      </c>
      <c r="J16" s="331">
        <v>1</v>
      </c>
      <c r="K16" s="607">
        <f>ROUND(H16*(1+'29_01_H_2020'!$F$14),2)</f>
        <v>2453</v>
      </c>
      <c r="L16" s="608">
        <f t="shared" si="5"/>
        <v>2353</v>
      </c>
      <c r="M16" s="608">
        <f t="shared" si="6"/>
        <v>123</v>
      </c>
      <c r="N16" s="608">
        <f t="shared" si="7"/>
        <v>100</v>
      </c>
      <c r="O16" s="608">
        <f t="shared" si="8"/>
        <v>0</v>
      </c>
      <c r="P16" s="608">
        <f t="shared" si="9"/>
        <v>0</v>
      </c>
      <c r="Q16" s="609">
        <f t="shared" si="10"/>
        <v>223</v>
      </c>
      <c r="R16" s="609">
        <f t="shared" si="2"/>
        <v>223</v>
      </c>
      <c r="S16" s="609">
        <f t="shared" si="12"/>
        <v>2676</v>
      </c>
      <c r="T16" s="609">
        <f t="shared" si="13"/>
        <v>644.65</v>
      </c>
      <c r="U16" s="610">
        <f t="shared" si="14"/>
        <v>3320.65</v>
      </c>
      <c r="V16" s="611"/>
      <c r="W16" s="611"/>
      <c r="X16" s="611"/>
      <c r="Y16" s="616"/>
      <c r="Z16" s="805"/>
      <c r="AA16" s="806"/>
      <c r="AB16" s="806"/>
      <c r="AC16" s="581"/>
      <c r="AD16" s="747"/>
      <c r="AE16" s="807"/>
      <c r="AF16" s="807"/>
      <c r="AG16" s="807"/>
      <c r="AH16" s="807"/>
      <c r="AI16" s="807"/>
      <c r="AJ16" s="807"/>
      <c r="AK16" s="807"/>
      <c r="AL16" s="807"/>
      <c r="AM16" s="807"/>
      <c r="AN16" s="807"/>
      <c r="AO16" s="808"/>
      <c r="AP16" s="747"/>
      <c r="AQ16" s="747"/>
      <c r="AR16" s="807"/>
      <c r="AS16" s="807"/>
      <c r="AT16" s="807"/>
      <c r="AU16" s="807"/>
      <c r="AV16" s="807"/>
      <c r="AW16" s="807"/>
      <c r="AX16" s="807"/>
      <c r="AY16" s="807"/>
      <c r="AZ16" s="807"/>
      <c r="BA16" s="807"/>
      <c r="BB16" s="808"/>
      <c r="BC16" s="747"/>
      <c r="BD16" s="747"/>
      <c r="BE16" s="747"/>
    </row>
    <row r="17" spans="2:57" x14ac:dyDescent="0.25">
      <c r="B17" s="3" t="s">
        <v>132</v>
      </c>
      <c r="C17" s="19" t="s">
        <v>115</v>
      </c>
      <c r="D17" s="19" t="s">
        <v>130</v>
      </c>
      <c r="E17" s="321" t="s">
        <v>80</v>
      </c>
      <c r="F17" s="321" t="s">
        <v>69</v>
      </c>
      <c r="G17" s="347">
        <v>2264</v>
      </c>
      <c r="H17" s="20">
        <v>2162.77</v>
      </c>
      <c r="I17" s="20">
        <v>0</v>
      </c>
      <c r="J17" s="331">
        <v>1</v>
      </c>
      <c r="K17" s="607">
        <f>ROUND(H17*(1+'29_01_H_2020'!$F$14),2)</f>
        <v>2379.0500000000002</v>
      </c>
      <c r="L17" s="608">
        <f t="shared" si="5"/>
        <v>2264</v>
      </c>
      <c r="M17" s="608">
        <f t="shared" si="6"/>
        <v>101.23000000000002</v>
      </c>
      <c r="N17" s="608">
        <f t="shared" si="7"/>
        <v>115.05000000000018</v>
      </c>
      <c r="O17" s="608">
        <f t="shared" si="8"/>
        <v>0</v>
      </c>
      <c r="P17" s="608">
        <f t="shared" si="9"/>
        <v>0</v>
      </c>
      <c r="Q17" s="609">
        <f t="shared" si="10"/>
        <v>216.2800000000002</v>
      </c>
      <c r="R17" s="609">
        <f t="shared" si="2"/>
        <v>216.2800000000002</v>
      </c>
      <c r="S17" s="609">
        <f t="shared" si="12"/>
        <v>2595.3600000000024</v>
      </c>
      <c r="T17" s="609">
        <f t="shared" si="13"/>
        <v>625.22</v>
      </c>
      <c r="U17" s="610">
        <f t="shared" si="14"/>
        <v>3220.5800000000027</v>
      </c>
      <c r="V17" s="611"/>
      <c r="W17" s="611"/>
      <c r="X17" s="611"/>
      <c r="Y17" s="616"/>
      <c r="Z17" s="805"/>
      <c r="AA17" s="806"/>
      <c r="AB17" s="806"/>
      <c r="AC17" s="581"/>
      <c r="AD17" s="747"/>
      <c r="AE17" s="807"/>
      <c r="AF17" s="807"/>
      <c r="AG17" s="807"/>
      <c r="AH17" s="807"/>
      <c r="AI17" s="807"/>
      <c r="AJ17" s="807"/>
      <c r="AK17" s="807"/>
      <c r="AL17" s="807"/>
      <c r="AM17" s="807"/>
      <c r="AN17" s="807"/>
      <c r="AO17" s="808"/>
      <c r="AP17" s="747"/>
      <c r="AQ17" s="747"/>
      <c r="AR17" s="807"/>
      <c r="AS17" s="807"/>
      <c r="AT17" s="807"/>
      <c r="AU17" s="807"/>
      <c r="AV17" s="807"/>
      <c r="AW17" s="807"/>
      <c r="AX17" s="807"/>
      <c r="AY17" s="807"/>
      <c r="AZ17" s="807"/>
      <c r="BA17" s="807"/>
      <c r="BB17" s="808"/>
      <c r="BC17" s="747"/>
      <c r="BD17" s="747"/>
      <c r="BE17" s="747"/>
    </row>
    <row r="18" spans="2:57" x14ac:dyDescent="0.25">
      <c r="B18" s="3" t="s">
        <v>132</v>
      </c>
      <c r="C18" s="19" t="s">
        <v>115</v>
      </c>
      <c r="D18" s="19" t="s">
        <v>130</v>
      </c>
      <c r="E18" s="321" t="s">
        <v>80</v>
      </c>
      <c r="F18" s="321" t="s">
        <v>69</v>
      </c>
      <c r="G18" s="347">
        <v>2264</v>
      </c>
      <c r="H18" s="20">
        <v>1860</v>
      </c>
      <c r="I18" s="20">
        <v>0</v>
      </c>
      <c r="J18" s="331">
        <v>1</v>
      </c>
      <c r="K18" s="607">
        <f>ROUND(H18*(1+'29_01_H_2020'!$F$14),2)</f>
        <v>2046</v>
      </c>
      <c r="L18" s="608">
        <f t="shared" si="5"/>
        <v>2046</v>
      </c>
      <c r="M18" s="608">
        <f t="shared" si="6"/>
        <v>186</v>
      </c>
      <c r="N18" s="608">
        <f t="shared" si="7"/>
        <v>0</v>
      </c>
      <c r="O18" s="608">
        <f t="shared" si="8"/>
        <v>0</v>
      </c>
      <c r="P18" s="608">
        <f t="shared" si="9"/>
        <v>0</v>
      </c>
      <c r="Q18" s="609">
        <f t="shared" si="10"/>
        <v>186</v>
      </c>
      <c r="R18" s="609">
        <f t="shared" si="2"/>
        <v>186</v>
      </c>
      <c r="S18" s="609">
        <f t="shared" si="12"/>
        <v>2232</v>
      </c>
      <c r="T18" s="609">
        <f t="shared" si="13"/>
        <v>537.69000000000005</v>
      </c>
      <c r="U18" s="610">
        <f t="shared" si="14"/>
        <v>2769.69</v>
      </c>
      <c r="V18" s="611"/>
      <c r="W18" s="611"/>
      <c r="X18" s="611"/>
      <c r="Y18" s="616"/>
      <c r="Z18" s="805"/>
      <c r="AA18" s="806"/>
      <c r="AB18" s="806"/>
      <c r="AC18" s="581"/>
      <c r="AD18" s="747"/>
      <c r="AE18" s="807"/>
      <c r="AF18" s="807"/>
      <c r="AG18" s="807"/>
      <c r="AH18" s="807"/>
      <c r="AI18" s="807"/>
      <c r="AJ18" s="807"/>
      <c r="AK18" s="807"/>
      <c r="AL18" s="807"/>
      <c r="AM18" s="807"/>
      <c r="AN18" s="807"/>
      <c r="AO18" s="808"/>
      <c r="AP18" s="747"/>
      <c r="AQ18" s="747"/>
      <c r="AR18" s="807"/>
      <c r="AS18" s="807"/>
      <c r="AT18" s="807"/>
      <c r="AU18" s="807"/>
      <c r="AV18" s="807"/>
      <c r="AW18" s="807"/>
      <c r="AX18" s="807"/>
      <c r="AY18" s="807"/>
      <c r="AZ18" s="807"/>
      <c r="BA18" s="807"/>
      <c r="BB18" s="808"/>
      <c r="BC18" s="747"/>
      <c r="BD18" s="747"/>
      <c r="BE18" s="747"/>
    </row>
    <row r="19" spans="2:57" x14ac:dyDescent="0.25">
      <c r="B19" s="3" t="s">
        <v>133</v>
      </c>
      <c r="C19" s="19" t="s">
        <v>115</v>
      </c>
      <c r="D19" s="19" t="s">
        <v>128</v>
      </c>
      <c r="E19" s="321" t="s">
        <v>117</v>
      </c>
      <c r="F19" s="321" t="s">
        <v>69</v>
      </c>
      <c r="G19" s="347">
        <v>2353</v>
      </c>
      <c r="H19" s="20">
        <v>2030</v>
      </c>
      <c r="I19" s="20">
        <v>0</v>
      </c>
      <c r="J19" s="331">
        <v>1</v>
      </c>
      <c r="K19" s="607">
        <f>ROUND(H19*(1+'29_01_H_2020'!$F$14),2)</f>
        <v>2233</v>
      </c>
      <c r="L19" s="608">
        <f t="shared" si="5"/>
        <v>2233</v>
      </c>
      <c r="M19" s="608">
        <f t="shared" si="6"/>
        <v>203</v>
      </c>
      <c r="N19" s="608">
        <f t="shared" si="7"/>
        <v>0</v>
      </c>
      <c r="O19" s="608">
        <f t="shared" si="8"/>
        <v>0</v>
      </c>
      <c r="P19" s="608">
        <f t="shared" si="9"/>
        <v>0</v>
      </c>
      <c r="Q19" s="609">
        <f t="shared" si="10"/>
        <v>203</v>
      </c>
      <c r="R19" s="609">
        <f t="shared" si="2"/>
        <v>203</v>
      </c>
      <c r="S19" s="609">
        <f t="shared" si="12"/>
        <v>2436</v>
      </c>
      <c r="T19" s="609">
        <f t="shared" si="13"/>
        <v>586.83000000000004</v>
      </c>
      <c r="U19" s="610">
        <f t="shared" si="14"/>
        <v>3022.83</v>
      </c>
      <c r="V19" s="611"/>
      <c r="W19" s="611"/>
      <c r="X19" s="611"/>
      <c r="Y19" s="616"/>
      <c r="Z19" s="805"/>
      <c r="AA19" s="806"/>
      <c r="AB19" s="806"/>
      <c r="AC19" s="581"/>
      <c r="AD19" s="747"/>
      <c r="AE19" s="807"/>
      <c r="AF19" s="807"/>
      <c r="AG19" s="807"/>
      <c r="AH19" s="807"/>
      <c r="AI19" s="807"/>
      <c r="AJ19" s="807"/>
      <c r="AK19" s="807"/>
      <c r="AL19" s="807"/>
      <c r="AM19" s="807"/>
      <c r="AN19" s="807"/>
      <c r="AO19" s="808"/>
      <c r="AP19" s="747"/>
      <c r="AQ19" s="747"/>
      <c r="AR19" s="807"/>
      <c r="AS19" s="807"/>
      <c r="AT19" s="807"/>
      <c r="AU19" s="807"/>
      <c r="AV19" s="807"/>
      <c r="AW19" s="807"/>
      <c r="AX19" s="807"/>
      <c r="AY19" s="807"/>
      <c r="AZ19" s="807"/>
      <c r="BA19" s="807"/>
      <c r="BB19" s="808"/>
      <c r="BC19" s="747"/>
      <c r="BD19" s="747"/>
      <c r="BE19" s="747"/>
    </row>
    <row r="20" spans="2:57" x14ac:dyDescent="0.25">
      <c r="B20" s="3" t="s">
        <v>134</v>
      </c>
      <c r="C20" s="19" t="s">
        <v>115</v>
      </c>
      <c r="D20" s="19" t="s">
        <v>130</v>
      </c>
      <c r="E20" s="321" t="s">
        <v>80</v>
      </c>
      <c r="F20" s="321" t="s">
        <v>69</v>
      </c>
      <c r="G20" s="347">
        <v>2264</v>
      </c>
      <c r="H20" s="20">
        <v>1860</v>
      </c>
      <c r="I20" s="20">
        <v>0</v>
      </c>
      <c r="J20" s="331">
        <v>1</v>
      </c>
      <c r="K20" s="607">
        <f>ROUND(H20*(1+'29_01_H_2020'!$F$14),2)</f>
        <v>2046</v>
      </c>
      <c r="L20" s="608">
        <f t="shared" si="5"/>
        <v>2046</v>
      </c>
      <c r="M20" s="608">
        <f t="shared" si="6"/>
        <v>186</v>
      </c>
      <c r="N20" s="608">
        <f t="shared" si="7"/>
        <v>0</v>
      </c>
      <c r="O20" s="608">
        <f t="shared" si="8"/>
        <v>0</v>
      </c>
      <c r="P20" s="608">
        <f t="shared" si="9"/>
        <v>0</v>
      </c>
      <c r="Q20" s="609">
        <f t="shared" si="10"/>
        <v>186</v>
      </c>
      <c r="R20" s="609">
        <f t="shared" si="2"/>
        <v>186</v>
      </c>
      <c r="S20" s="609">
        <f t="shared" si="12"/>
        <v>2232</v>
      </c>
      <c r="T20" s="609">
        <f t="shared" si="13"/>
        <v>537.69000000000005</v>
      </c>
      <c r="U20" s="610">
        <f t="shared" si="14"/>
        <v>2769.69</v>
      </c>
      <c r="V20" s="611"/>
      <c r="W20" s="611"/>
      <c r="X20" s="611"/>
      <c r="Y20" s="616"/>
      <c r="Z20" s="805"/>
      <c r="AA20" s="806"/>
      <c r="AB20" s="806"/>
      <c r="AC20" s="581"/>
      <c r="AD20" s="747"/>
      <c r="AE20" s="807"/>
      <c r="AF20" s="807"/>
      <c r="AG20" s="807"/>
      <c r="AH20" s="807"/>
      <c r="AI20" s="807"/>
      <c r="AJ20" s="807"/>
      <c r="AK20" s="807"/>
      <c r="AL20" s="807"/>
      <c r="AM20" s="807"/>
      <c r="AN20" s="807"/>
      <c r="AO20" s="808"/>
      <c r="AP20" s="747"/>
      <c r="AQ20" s="747"/>
      <c r="AR20" s="807"/>
      <c r="AS20" s="807"/>
      <c r="AT20" s="807"/>
      <c r="AU20" s="807"/>
      <c r="AV20" s="807"/>
      <c r="AW20" s="807"/>
      <c r="AX20" s="807"/>
      <c r="AY20" s="807"/>
      <c r="AZ20" s="807"/>
      <c r="BA20" s="807"/>
      <c r="BB20" s="808"/>
      <c r="BC20" s="747"/>
      <c r="BD20" s="747"/>
      <c r="BE20" s="747"/>
    </row>
    <row r="21" spans="2:57" x14ac:dyDescent="0.25">
      <c r="B21" s="3" t="s">
        <v>135</v>
      </c>
      <c r="C21" s="19" t="s">
        <v>115</v>
      </c>
      <c r="D21" s="19" t="s">
        <v>125</v>
      </c>
      <c r="E21" s="321" t="s">
        <v>126</v>
      </c>
      <c r="F21" s="321" t="s">
        <v>69</v>
      </c>
      <c r="G21" s="347">
        <v>1917</v>
      </c>
      <c r="H21" s="20">
        <v>1850</v>
      </c>
      <c r="I21" s="20">
        <v>0</v>
      </c>
      <c r="J21" s="331">
        <v>1</v>
      </c>
      <c r="K21" s="607">
        <f>ROUND(H21*(1+'29_01_H_2020'!$F$14),2)</f>
        <v>2035</v>
      </c>
      <c r="L21" s="608">
        <f t="shared" si="5"/>
        <v>1917</v>
      </c>
      <c r="M21" s="608">
        <f t="shared" si="6"/>
        <v>67</v>
      </c>
      <c r="N21" s="608">
        <f t="shared" si="7"/>
        <v>118</v>
      </c>
      <c r="O21" s="608">
        <f t="shared" si="8"/>
        <v>0</v>
      </c>
      <c r="P21" s="608">
        <f t="shared" si="9"/>
        <v>0</v>
      </c>
      <c r="Q21" s="609">
        <f t="shared" si="10"/>
        <v>185</v>
      </c>
      <c r="R21" s="609">
        <f t="shared" si="2"/>
        <v>185</v>
      </c>
      <c r="S21" s="609">
        <f t="shared" si="12"/>
        <v>2220</v>
      </c>
      <c r="T21" s="609">
        <f t="shared" si="13"/>
        <v>534.79999999999995</v>
      </c>
      <c r="U21" s="610">
        <f t="shared" si="14"/>
        <v>2754.8</v>
      </c>
      <c r="V21" s="611"/>
      <c r="W21" s="611"/>
      <c r="X21" s="611"/>
      <c r="Y21" s="616"/>
      <c r="Z21" s="805"/>
      <c r="AA21" s="806"/>
      <c r="AB21" s="806"/>
      <c r="AC21" s="581"/>
      <c r="AD21" s="747"/>
      <c r="AE21" s="807"/>
      <c r="AF21" s="807"/>
      <c r="AG21" s="807"/>
      <c r="AH21" s="807"/>
      <c r="AI21" s="807"/>
      <c r="AJ21" s="807"/>
      <c r="AK21" s="807"/>
      <c r="AL21" s="807"/>
      <c r="AM21" s="807"/>
      <c r="AN21" s="807"/>
      <c r="AO21" s="808"/>
      <c r="AP21" s="747"/>
      <c r="AQ21" s="747"/>
      <c r="AR21" s="807"/>
      <c r="AS21" s="807"/>
      <c r="AT21" s="807"/>
      <c r="AU21" s="807"/>
      <c r="AV21" s="807"/>
      <c r="AW21" s="807"/>
      <c r="AX21" s="807"/>
      <c r="AY21" s="807"/>
      <c r="AZ21" s="807"/>
      <c r="BA21" s="807"/>
      <c r="BB21" s="808"/>
      <c r="BC21" s="747"/>
      <c r="BD21" s="747"/>
      <c r="BE21" s="747"/>
    </row>
    <row r="22" spans="2:57" x14ac:dyDescent="0.25">
      <c r="B22" s="3" t="s">
        <v>136</v>
      </c>
      <c r="C22" s="19" t="s">
        <v>115</v>
      </c>
      <c r="D22" s="19" t="s">
        <v>125</v>
      </c>
      <c r="E22" s="321" t="s">
        <v>126</v>
      </c>
      <c r="F22" s="321" t="s">
        <v>69</v>
      </c>
      <c r="G22" s="347">
        <v>1917</v>
      </c>
      <c r="H22" s="20">
        <v>1917</v>
      </c>
      <c r="I22" s="20">
        <v>0</v>
      </c>
      <c r="J22" s="331">
        <v>1</v>
      </c>
      <c r="K22" s="607">
        <f>ROUND(H22*(1+'29_01_H_2020'!$F$14),2)</f>
        <v>2108.6999999999998</v>
      </c>
      <c r="L22" s="608">
        <f t="shared" si="5"/>
        <v>1917</v>
      </c>
      <c r="M22" s="608">
        <f t="shared" si="6"/>
        <v>0</v>
      </c>
      <c r="N22" s="608">
        <f t="shared" si="7"/>
        <v>191.69999999999982</v>
      </c>
      <c r="O22" s="608">
        <f t="shared" si="8"/>
        <v>0</v>
      </c>
      <c r="P22" s="608">
        <f t="shared" si="9"/>
        <v>0</v>
      </c>
      <c r="Q22" s="609">
        <f t="shared" si="10"/>
        <v>191.69999999999982</v>
      </c>
      <c r="R22" s="609">
        <f t="shared" si="2"/>
        <v>191.69999999999982</v>
      </c>
      <c r="S22" s="609">
        <f t="shared" si="12"/>
        <v>2300.3999999999978</v>
      </c>
      <c r="T22" s="609">
        <f t="shared" si="13"/>
        <v>554.16999999999996</v>
      </c>
      <c r="U22" s="610">
        <f t="shared" si="14"/>
        <v>2854.5699999999979</v>
      </c>
      <c r="V22" s="611"/>
      <c r="W22" s="611"/>
      <c r="X22" s="611"/>
      <c r="Y22" s="616"/>
      <c r="Z22" s="805"/>
      <c r="AA22" s="806"/>
      <c r="AB22" s="806"/>
      <c r="AC22" s="581"/>
      <c r="AD22" s="747"/>
      <c r="AE22" s="807"/>
      <c r="AF22" s="807"/>
      <c r="AG22" s="807"/>
      <c r="AH22" s="807"/>
      <c r="AI22" s="807"/>
      <c r="AJ22" s="807"/>
      <c r="AK22" s="807"/>
      <c r="AL22" s="807"/>
      <c r="AM22" s="807"/>
      <c r="AN22" s="807"/>
      <c r="AO22" s="808"/>
      <c r="AP22" s="747"/>
      <c r="AQ22" s="747"/>
      <c r="AR22" s="807"/>
      <c r="AS22" s="807"/>
      <c r="AT22" s="807"/>
      <c r="AU22" s="807"/>
      <c r="AV22" s="807"/>
      <c r="AW22" s="807"/>
      <c r="AX22" s="807"/>
      <c r="AY22" s="807"/>
      <c r="AZ22" s="807"/>
      <c r="BA22" s="807"/>
      <c r="BB22" s="808"/>
      <c r="BC22" s="747"/>
      <c r="BD22" s="747"/>
      <c r="BE22" s="747"/>
    </row>
    <row r="23" spans="2:57" x14ac:dyDescent="0.25">
      <c r="B23" s="21" t="s">
        <v>137</v>
      </c>
      <c r="C23" s="402" t="s">
        <v>122</v>
      </c>
      <c r="D23" s="402" t="s">
        <v>20</v>
      </c>
      <c r="E23" s="321" t="s">
        <v>123</v>
      </c>
      <c r="F23" s="321" t="s">
        <v>69</v>
      </c>
      <c r="G23" s="347">
        <v>1647</v>
      </c>
      <c r="H23" s="391">
        <v>1647</v>
      </c>
      <c r="I23" s="391">
        <v>0</v>
      </c>
      <c r="J23" s="332">
        <v>1</v>
      </c>
      <c r="K23" s="607">
        <f>ROUND(H23*(1+'29_01_H_2020'!$F$14),2)</f>
        <v>1811.7</v>
      </c>
      <c r="L23" s="608">
        <f t="shared" si="5"/>
        <v>1647</v>
      </c>
      <c r="M23" s="608">
        <f t="shared" si="6"/>
        <v>0</v>
      </c>
      <c r="N23" s="608">
        <f t="shared" si="7"/>
        <v>164.70000000000005</v>
      </c>
      <c r="O23" s="608">
        <f t="shared" si="8"/>
        <v>0</v>
      </c>
      <c r="P23" s="608">
        <f t="shared" si="9"/>
        <v>0</v>
      </c>
      <c r="Q23" s="609">
        <f t="shared" si="10"/>
        <v>164.70000000000005</v>
      </c>
      <c r="R23" s="609">
        <f t="shared" si="2"/>
        <v>164.70000000000005</v>
      </c>
      <c r="S23" s="609">
        <f t="shared" si="12"/>
        <v>1976.4000000000005</v>
      </c>
      <c r="T23" s="609">
        <f t="shared" si="13"/>
        <v>476.11</v>
      </c>
      <c r="U23" s="610">
        <f t="shared" si="14"/>
        <v>2452.5100000000007</v>
      </c>
      <c r="V23" s="611"/>
      <c r="W23" s="611"/>
      <c r="X23" s="611"/>
      <c r="Y23" s="616"/>
      <c r="Z23" s="805"/>
      <c r="AA23" s="806"/>
      <c r="AB23" s="806"/>
      <c r="AC23" s="581"/>
      <c r="AD23" s="747"/>
      <c r="AE23" s="807"/>
      <c r="AF23" s="807"/>
      <c r="AG23" s="807"/>
      <c r="AH23" s="807"/>
      <c r="AI23" s="807"/>
      <c r="AJ23" s="807"/>
      <c r="AK23" s="807"/>
      <c r="AL23" s="807"/>
      <c r="AM23" s="807"/>
      <c r="AN23" s="807"/>
      <c r="AO23" s="808"/>
      <c r="AP23" s="747"/>
      <c r="AQ23" s="747"/>
      <c r="AR23" s="807"/>
      <c r="AS23" s="807"/>
      <c r="AT23" s="807"/>
      <c r="AU23" s="807"/>
      <c r="AV23" s="807"/>
      <c r="AW23" s="807"/>
      <c r="AX23" s="807"/>
      <c r="AY23" s="807"/>
      <c r="AZ23" s="807"/>
      <c r="BA23" s="807"/>
      <c r="BB23" s="808"/>
      <c r="BC23" s="747"/>
      <c r="BD23" s="747"/>
      <c r="BE23" s="747"/>
    </row>
    <row r="24" spans="2:57" x14ac:dyDescent="0.25">
      <c r="B24" s="21" t="s">
        <v>138</v>
      </c>
      <c r="C24" s="402" t="s">
        <v>115</v>
      </c>
      <c r="D24" s="402" t="s">
        <v>116</v>
      </c>
      <c r="E24" s="321" t="s">
        <v>117</v>
      </c>
      <c r="F24" s="321" t="s">
        <v>69</v>
      </c>
      <c r="G24" s="347">
        <v>2353</v>
      </c>
      <c r="H24" s="391">
        <v>2110</v>
      </c>
      <c r="I24" s="391">
        <v>0</v>
      </c>
      <c r="J24" s="332">
        <v>1</v>
      </c>
      <c r="K24" s="607">
        <f>ROUND(H24*(1+'29_01_H_2020'!$F$14),2)</f>
        <v>2321</v>
      </c>
      <c r="L24" s="608">
        <f t="shared" si="5"/>
        <v>2321</v>
      </c>
      <c r="M24" s="608">
        <f t="shared" si="6"/>
        <v>211</v>
      </c>
      <c r="N24" s="608">
        <f t="shared" si="7"/>
        <v>0</v>
      </c>
      <c r="O24" s="608">
        <f t="shared" si="8"/>
        <v>0</v>
      </c>
      <c r="P24" s="608">
        <f t="shared" si="9"/>
        <v>0</v>
      </c>
      <c r="Q24" s="609">
        <f t="shared" si="10"/>
        <v>211</v>
      </c>
      <c r="R24" s="609">
        <f t="shared" si="2"/>
        <v>211</v>
      </c>
      <c r="S24" s="609">
        <f t="shared" si="12"/>
        <v>2532</v>
      </c>
      <c r="T24" s="609">
        <f t="shared" si="13"/>
        <v>609.96</v>
      </c>
      <c r="U24" s="610">
        <f t="shared" si="14"/>
        <v>3141.96</v>
      </c>
      <c r="V24" s="611"/>
      <c r="W24" s="611"/>
      <c r="X24" s="611"/>
      <c r="Y24" s="616"/>
      <c r="Z24" s="805"/>
      <c r="AA24" s="806"/>
      <c r="AB24" s="806"/>
      <c r="AC24" s="581"/>
      <c r="AD24" s="747"/>
      <c r="AE24" s="807"/>
      <c r="AF24" s="807"/>
      <c r="AG24" s="807"/>
      <c r="AH24" s="807"/>
      <c r="AI24" s="807"/>
      <c r="AJ24" s="807"/>
      <c r="AK24" s="807"/>
      <c r="AL24" s="807"/>
      <c r="AM24" s="807"/>
      <c r="AN24" s="807"/>
      <c r="AO24" s="808"/>
      <c r="AP24" s="747"/>
      <c r="AQ24" s="747"/>
      <c r="AR24" s="807"/>
      <c r="AS24" s="807"/>
      <c r="AT24" s="807"/>
      <c r="AU24" s="807"/>
      <c r="AV24" s="807"/>
      <c r="AW24" s="807"/>
      <c r="AX24" s="807"/>
      <c r="AY24" s="807"/>
      <c r="AZ24" s="807"/>
      <c r="BA24" s="807"/>
      <c r="BB24" s="808"/>
      <c r="BC24" s="747"/>
      <c r="BD24" s="747"/>
      <c r="BE24" s="747"/>
    </row>
    <row r="25" spans="2:57" x14ac:dyDescent="0.25">
      <c r="B25" s="21" t="s">
        <v>139</v>
      </c>
      <c r="C25" s="402" t="s">
        <v>115</v>
      </c>
      <c r="D25" s="402" t="s">
        <v>130</v>
      </c>
      <c r="E25" s="321" t="s">
        <v>80</v>
      </c>
      <c r="F25" s="321" t="s">
        <v>69</v>
      </c>
      <c r="G25" s="347">
        <v>2264</v>
      </c>
      <c r="H25" s="391">
        <v>1860</v>
      </c>
      <c r="I25" s="391">
        <v>0</v>
      </c>
      <c r="J25" s="332">
        <v>1</v>
      </c>
      <c r="K25" s="607">
        <f>ROUND(H25*(1+'29_01_H_2020'!$F$14),2)</f>
        <v>2046</v>
      </c>
      <c r="L25" s="608">
        <f t="shared" si="5"/>
        <v>2046</v>
      </c>
      <c r="M25" s="608">
        <f t="shared" si="6"/>
        <v>186</v>
      </c>
      <c r="N25" s="608">
        <f t="shared" si="7"/>
        <v>0</v>
      </c>
      <c r="O25" s="608">
        <f t="shared" si="8"/>
        <v>0</v>
      </c>
      <c r="P25" s="608">
        <f t="shared" si="9"/>
        <v>0</v>
      </c>
      <c r="Q25" s="609">
        <f t="shared" si="10"/>
        <v>186</v>
      </c>
      <c r="R25" s="609">
        <f t="shared" si="2"/>
        <v>186</v>
      </c>
      <c r="S25" s="609">
        <f t="shared" si="12"/>
        <v>2232</v>
      </c>
      <c r="T25" s="609">
        <f t="shared" si="13"/>
        <v>537.69000000000005</v>
      </c>
      <c r="U25" s="610">
        <f t="shared" si="14"/>
        <v>2769.69</v>
      </c>
      <c r="V25" s="611"/>
      <c r="W25" s="611"/>
      <c r="X25" s="611"/>
      <c r="Y25" s="616"/>
      <c r="Z25" s="805"/>
      <c r="AA25" s="806"/>
      <c r="AB25" s="806"/>
      <c r="AC25" s="581"/>
      <c r="AD25" s="747"/>
      <c r="AE25" s="807"/>
      <c r="AF25" s="807"/>
      <c r="AG25" s="807"/>
      <c r="AH25" s="807"/>
      <c r="AI25" s="807"/>
      <c r="AJ25" s="807"/>
      <c r="AK25" s="807"/>
      <c r="AL25" s="807"/>
      <c r="AM25" s="807"/>
      <c r="AN25" s="807"/>
      <c r="AO25" s="808"/>
      <c r="AP25" s="747"/>
      <c r="AQ25" s="747"/>
      <c r="AR25" s="807"/>
      <c r="AS25" s="807"/>
      <c r="AT25" s="807"/>
      <c r="AU25" s="807"/>
      <c r="AV25" s="807"/>
      <c r="AW25" s="807"/>
      <c r="AX25" s="807"/>
      <c r="AY25" s="807"/>
      <c r="AZ25" s="807"/>
      <c r="BA25" s="807"/>
      <c r="BB25" s="808"/>
      <c r="BC25" s="747"/>
      <c r="BD25" s="747"/>
      <c r="BE25" s="747"/>
    </row>
    <row r="26" spans="2:57" x14ac:dyDescent="0.25">
      <c r="B26" s="21" t="s">
        <v>140</v>
      </c>
      <c r="C26" s="402" t="s">
        <v>115</v>
      </c>
      <c r="D26" s="19" t="s">
        <v>125</v>
      </c>
      <c r="E26" s="321" t="s">
        <v>126</v>
      </c>
      <c r="F26" s="321" t="s">
        <v>69</v>
      </c>
      <c r="G26" s="347">
        <v>1917</v>
      </c>
      <c r="H26" s="391">
        <v>1647</v>
      </c>
      <c r="I26" s="391">
        <v>0</v>
      </c>
      <c r="J26" s="332">
        <v>1</v>
      </c>
      <c r="K26" s="607">
        <f>ROUND(H26*(1+'29_01_H_2020'!$F$14),2)</f>
        <v>1811.7</v>
      </c>
      <c r="L26" s="608">
        <f t="shared" si="5"/>
        <v>1811.7</v>
      </c>
      <c r="M26" s="608">
        <f t="shared" si="6"/>
        <v>164.70000000000005</v>
      </c>
      <c r="N26" s="608">
        <f t="shared" si="7"/>
        <v>0</v>
      </c>
      <c r="O26" s="608">
        <f t="shared" si="8"/>
        <v>0</v>
      </c>
      <c r="P26" s="608">
        <f t="shared" si="9"/>
        <v>0</v>
      </c>
      <c r="Q26" s="609">
        <f t="shared" si="10"/>
        <v>164.70000000000005</v>
      </c>
      <c r="R26" s="609">
        <f t="shared" si="2"/>
        <v>164.70000000000005</v>
      </c>
      <c r="S26" s="609">
        <f t="shared" si="12"/>
        <v>1976.4000000000005</v>
      </c>
      <c r="T26" s="609">
        <f t="shared" si="13"/>
        <v>476.11</v>
      </c>
      <c r="U26" s="610">
        <f t="shared" si="14"/>
        <v>2452.5100000000007</v>
      </c>
      <c r="V26" s="611"/>
      <c r="W26" s="611"/>
      <c r="X26" s="611"/>
      <c r="Y26" s="616"/>
      <c r="Z26" s="805"/>
      <c r="AA26" s="806"/>
      <c r="AB26" s="806"/>
      <c r="AC26" s="581"/>
      <c r="AD26" s="747"/>
      <c r="AE26" s="807"/>
      <c r="AF26" s="807"/>
      <c r="AG26" s="807"/>
      <c r="AH26" s="807"/>
      <c r="AI26" s="807"/>
      <c r="AJ26" s="807"/>
      <c r="AK26" s="807"/>
      <c r="AL26" s="807"/>
      <c r="AM26" s="807"/>
      <c r="AN26" s="807"/>
      <c r="AO26" s="808"/>
      <c r="AP26" s="747"/>
      <c r="AQ26" s="747"/>
      <c r="AR26" s="807"/>
      <c r="AS26" s="807"/>
      <c r="AT26" s="807"/>
      <c r="AU26" s="807"/>
      <c r="AV26" s="807"/>
      <c r="AW26" s="807"/>
      <c r="AX26" s="807"/>
      <c r="AY26" s="807"/>
      <c r="AZ26" s="807"/>
      <c r="BA26" s="807"/>
      <c r="BB26" s="808"/>
      <c r="BC26" s="747"/>
      <c r="BD26" s="747"/>
      <c r="BE26" s="747"/>
    </row>
    <row r="27" spans="2:57" x14ac:dyDescent="0.25">
      <c r="B27" s="617" t="s">
        <v>55</v>
      </c>
      <c r="C27" s="618" t="s">
        <v>52</v>
      </c>
      <c r="D27" s="619" t="s">
        <v>52</v>
      </c>
      <c r="E27" s="619" t="s">
        <v>52</v>
      </c>
      <c r="F27" s="619" t="s">
        <v>52</v>
      </c>
      <c r="G27" s="620" t="s">
        <v>52</v>
      </c>
      <c r="H27" s="620" t="s">
        <v>52</v>
      </c>
      <c r="I27" s="620" t="s">
        <v>52</v>
      </c>
      <c r="J27" s="444">
        <f>SUM(J8:J26)</f>
        <v>21</v>
      </c>
      <c r="K27" s="621"/>
      <c r="L27" s="622"/>
      <c r="M27" s="622"/>
      <c r="N27" s="622"/>
      <c r="O27" s="622"/>
      <c r="P27" s="622"/>
      <c r="Q27" s="809"/>
      <c r="R27" s="623"/>
      <c r="S27" s="623"/>
      <c r="T27" s="623"/>
      <c r="U27" s="810"/>
      <c r="V27" s="750"/>
      <c r="W27" s="750"/>
      <c r="X27" s="750"/>
      <c r="Y27" s="811"/>
      <c r="Z27" s="811"/>
      <c r="AA27" s="811"/>
      <c r="AB27" s="811"/>
      <c r="AC27" s="811"/>
      <c r="AD27" s="747"/>
      <c r="AE27" s="747"/>
      <c r="AF27" s="747"/>
      <c r="AG27" s="747"/>
      <c r="AH27" s="747"/>
      <c r="AI27" s="747"/>
      <c r="AJ27" s="747"/>
      <c r="AK27" s="747"/>
      <c r="AL27" s="747"/>
      <c r="AM27" s="747"/>
      <c r="AN27" s="747"/>
      <c r="AO27" s="747"/>
      <c r="AP27" s="747"/>
      <c r="AQ27" s="747"/>
      <c r="AR27" s="747"/>
      <c r="AS27" s="747"/>
      <c r="AT27" s="747"/>
      <c r="AU27" s="747"/>
      <c r="AV27" s="747"/>
      <c r="AW27" s="747"/>
      <c r="AX27" s="747"/>
      <c r="AY27" s="747"/>
      <c r="AZ27" s="747"/>
      <c r="BA27" s="747"/>
      <c r="BB27" s="747"/>
      <c r="BC27" s="747"/>
      <c r="BD27" s="747"/>
      <c r="BE27" s="747"/>
    </row>
    <row r="28" spans="2:57" x14ac:dyDescent="0.25">
      <c r="B28" s="912" t="s">
        <v>27</v>
      </c>
      <c r="C28" s="913"/>
      <c r="D28" s="913"/>
      <c r="E28" s="913"/>
      <c r="F28" s="913"/>
      <c r="G28" s="913"/>
      <c r="H28" s="913"/>
      <c r="I28" s="913"/>
      <c r="J28" s="914">
        <f>SUM(J29:J43)</f>
        <v>29</v>
      </c>
      <c r="K28" s="625"/>
      <c r="L28" s="626"/>
      <c r="M28" s="626"/>
      <c r="N28" s="626"/>
      <c r="O28" s="626"/>
      <c r="P28" s="626"/>
      <c r="Q28" s="603"/>
      <c r="R28" s="603"/>
      <c r="S28" s="603"/>
      <c r="T28" s="603"/>
      <c r="U28" s="604"/>
      <c r="V28" s="750"/>
      <c r="W28" s="750"/>
      <c r="X28" s="750"/>
      <c r="Y28" s="811"/>
      <c r="Z28" s="811"/>
      <c r="AA28" s="811"/>
      <c r="AB28" s="811"/>
      <c r="AC28" s="811"/>
      <c r="AD28" s="747"/>
      <c r="AE28" s="747"/>
      <c r="AF28" s="747"/>
      <c r="AG28" s="747"/>
      <c r="AH28" s="747"/>
      <c r="AI28" s="747"/>
      <c r="AJ28" s="747"/>
      <c r="AK28" s="747"/>
      <c r="AL28" s="747"/>
      <c r="AM28" s="747"/>
      <c r="AN28" s="747"/>
      <c r="AO28" s="747"/>
      <c r="AP28" s="747"/>
      <c r="AQ28" s="747"/>
      <c r="AR28" s="747"/>
      <c r="AS28" s="747"/>
      <c r="AT28" s="747"/>
      <c r="AU28" s="747"/>
      <c r="AV28" s="747"/>
      <c r="AW28" s="747"/>
      <c r="AX28" s="747"/>
      <c r="AY28" s="747"/>
      <c r="AZ28" s="747"/>
      <c r="BA28" s="747"/>
      <c r="BB28" s="747"/>
      <c r="BC28" s="747"/>
      <c r="BD28" s="747"/>
      <c r="BE28" s="747"/>
    </row>
    <row r="29" spans="2:57" ht="25.5" x14ac:dyDescent="0.25">
      <c r="B29" s="322" t="s">
        <v>141</v>
      </c>
      <c r="C29" s="323" t="s">
        <v>115</v>
      </c>
      <c r="D29" s="323" t="s">
        <v>16</v>
      </c>
      <c r="E29" s="323" t="s">
        <v>123</v>
      </c>
      <c r="F29" s="323">
        <v>3</v>
      </c>
      <c r="G29" s="348">
        <v>1647</v>
      </c>
      <c r="H29" s="383">
        <v>1143</v>
      </c>
      <c r="I29" s="385">
        <v>0</v>
      </c>
      <c r="J29" s="441">
        <v>1</v>
      </c>
      <c r="K29" s="607">
        <f>ROUND(H29*(1+'29_01_H_2020'!$F$10),2)</f>
        <v>1257.3</v>
      </c>
      <c r="L29" s="608">
        <f t="shared" ref="L29" si="15">IF(K29&lt;=G29,K29,G29)</f>
        <v>1257.3</v>
      </c>
      <c r="M29" s="608">
        <f t="shared" ref="M29" si="16">L29-H29</f>
        <v>114.29999999999995</v>
      </c>
      <c r="N29" s="608">
        <f t="shared" ref="N29" si="17">K29-L29</f>
        <v>0</v>
      </c>
      <c r="O29" s="608">
        <f t="shared" ref="O29" si="18">ROUND(I29/H29*L29-I29,2)</f>
        <v>0</v>
      </c>
      <c r="P29" s="608">
        <f t="shared" ref="P29" si="19">ROUND(I29/H29*K29-I29-O29,2)</f>
        <v>0</v>
      </c>
      <c r="Q29" s="609">
        <f t="shared" ref="Q29:Q42" si="20">M29+N29+O29+P29</f>
        <v>114.29999999999995</v>
      </c>
      <c r="R29" s="609">
        <f t="shared" ref="R29:R42" si="21">Q29*J29</f>
        <v>114.29999999999995</v>
      </c>
      <c r="S29" s="609">
        <f t="shared" ref="S29:S42" si="22">R29*12</f>
        <v>1371.5999999999995</v>
      </c>
      <c r="T29" s="609">
        <f t="shared" ref="T29:T42" si="23">ROUND(S29*0.2409,2)</f>
        <v>330.42</v>
      </c>
      <c r="U29" s="610">
        <f t="shared" ref="U29" si="24">SUM(S29:T29)</f>
        <v>1702.0199999999995</v>
      </c>
      <c r="V29" s="750"/>
      <c r="W29" s="750"/>
      <c r="X29" s="750"/>
      <c r="Y29" s="811"/>
      <c r="Z29" s="811"/>
      <c r="AA29" s="811"/>
      <c r="AB29" s="811"/>
      <c r="AC29" s="811"/>
      <c r="AD29" s="747"/>
      <c r="AE29" s="807"/>
      <c r="AF29" s="807"/>
      <c r="AG29" s="807"/>
      <c r="AH29" s="807"/>
      <c r="AI29" s="807"/>
      <c r="AJ29" s="807"/>
      <c r="AK29" s="807"/>
      <c r="AL29" s="807"/>
      <c r="AM29" s="807"/>
      <c r="AN29" s="807"/>
      <c r="AO29" s="808"/>
      <c r="AP29" s="747"/>
      <c r="AQ29" s="747"/>
      <c r="AR29" s="807"/>
      <c r="AS29" s="807"/>
      <c r="AT29" s="807"/>
      <c r="AU29" s="807"/>
      <c r="AV29" s="807"/>
      <c r="AW29" s="807"/>
      <c r="AX29" s="807"/>
      <c r="AY29" s="807"/>
      <c r="AZ29" s="807"/>
      <c r="BA29" s="807"/>
      <c r="BB29" s="808"/>
      <c r="BC29" s="747"/>
      <c r="BD29" s="747"/>
      <c r="BE29" s="747"/>
    </row>
    <row r="30" spans="2:57" x14ac:dyDescent="0.25">
      <c r="B30" s="322" t="s">
        <v>142</v>
      </c>
      <c r="C30" s="323" t="s">
        <v>115</v>
      </c>
      <c r="D30" s="323" t="s">
        <v>128</v>
      </c>
      <c r="E30" s="323" t="s">
        <v>117</v>
      </c>
      <c r="F30" s="323" t="s">
        <v>69</v>
      </c>
      <c r="G30" s="348">
        <v>2353</v>
      </c>
      <c r="H30" s="383">
        <v>1990</v>
      </c>
      <c r="I30" s="385">
        <v>0</v>
      </c>
      <c r="J30" s="441">
        <v>1</v>
      </c>
      <c r="K30" s="607">
        <f>ROUND(H30*(1+'29_01_H_2020'!$F$10),2)</f>
        <v>2189</v>
      </c>
      <c r="L30" s="608">
        <f t="shared" ref="L30:L42" si="25">IF(K30&lt;=G30,K30,G30)</f>
        <v>2189</v>
      </c>
      <c r="M30" s="608">
        <f t="shared" ref="M30:M42" si="26">L30-H30</f>
        <v>199</v>
      </c>
      <c r="N30" s="608">
        <f t="shared" ref="N30:N42" si="27">K30-L30</f>
        <v>0</v>
      </c>
      <c r="O30" s="608">
        <f t="shared" ref="O30:O42" si="28">ROUND(I30/H30*L30-I30,2)</f>
        <v>0</v>
      </c>
      <c r="P30" s="608">
        <f t="shared" ref="P30:P42" si="29">ROUND(I30/H30*K30-I30-O30,2)</f>
        <v>0</v>
      </c>
      <c r="Q30" s="609">
        <f t="shared" si="20"/>
        <v>199</v>
      </c>
      <c r="R30" s="609">
        <f t="shared" si="21"/>
        <v>199</v>
      </c>
      <c r="S30" s="609">
        <f t="shared" si="22"/>
        <v>2388</v>
      </c>
      <c r="T30" s="609">
        <f t="shared" si="23"/>
        <v>575.27</v>
      </c>
      <c r="U30" s="610">
        <f t="shared" ref="U30:U36" si="30">SUM(S30:T30)</f>
        <v>2963.27</v>
      </c>
      <c r="V30" s="750"/>
      <c r="W30" s="750"/>
      <c r="X30" s="750"/>
      <c r="Y30" s="811"/>
      <c r="Z30" s="811"/>
      <c r="AA30" s="811"/>
      <c r="AB30" s="811"/>
      <c r="AC30" s="811"/>
      <c r="AD30" s="747"/>
      <c r="AE30" s="807"/>
      <c r="AF30" s="807"/>
      <c r="AG30" s="807"/>
      <c r="AH30" s="807"/>
      <c r="AI30" s="807"/>
      <c r="AJ30" s="807"/>
      <c r="AK30" s="807"/>
      <c r="AL30" s="807"/>
      <c r="AM30" s="807"/>
      <c r="AN30" s="807"/>
      <c r="AO30" s="808"/>
      <c r="AP30" s="747"/>
      <c r="AQ30" s="747"/>
      <c r="AR30" s="807"/>
      <c r="AS30" s="807"/>
      <c r="AT30" s="807"/>
      <c r="AU30" s="807"/>
      <c r="AV30" s="807"/>
      <c r="AW30" s="807"/>
      <c r="AX30" s="807"/>
      <c r="AY30" s="807"/>
      <c r="AZ30" s="807"/>
      <c r="BA30" s="807"/>
      <c r="BB30" s="808"/>
      <c r="BC30" s="747"/>
      <c r="BD30" s="747"/>
      <c r="BE30" s="747"/>
    </row>
    <row r="31" spans="2:57" x14ac:dyDescent="0.25">
      <c r="B31" s="322" t="s">
        <v>143</v>
      </c>
      <c r="C31" s="323" t="s">
        <v>115</v>
      </c>
      <c r="D31" s="323" t="s">
        <v>130</v>
      </c>
      <c r="E31" s="323" t="s">
        <v>80</v>
      </c>
      <c r="F31" s="323" t="s">
        <v>69</v>
      </c>
      <c r="G31" s="348">
        <v>2264</v>
      </c>
      <c r="H31" s="383">
        <v>1810</v>
      </c>
      <c r="I31" s="385">
        <v>0</v>
      </c>
      <c r="J31" s="441">
        <v>1</v>
      </c>
      <c r="K31" s="607">
        <f>ROUND(H31*(1+'29_01_H_2020'!$F$10),2)</f>
        <v>1991</v>
      </c>
      <c r="L31" s="608">
        <f t="shared" si="25"/>
        <v>1991</v>
      </c>
      <c r="M31" s="608">
        <f t="shared" si="26"/>
        <v>181</v>
      </c>
      <c r="N31" s="608">
        <f t="shared" si="27"/>
        <v>0</v>
      </c>
      <c r="O31" s="608">
        <f t="shared" si="28"/>
        <v>0</v>
      </c>
      <c r="P31" s="608">
        <f t="shared" si="29"/>
        <v>0</v>
      </c>
      <c r="Q31" s="609">
        <f t="shared" si="20"/>
        <v>181</v>
      </c>
      <c r="R31" s="609">
        <f t="shared" si="21"/>
        <v>181</v>
      </c>
      <c r="S31" s="609">
        <f t="shared" si="22"/>
        <v>2172</v>
      </c>
      <c r="T31" s="609">
        <f t="shared" si="23"/>
        <v>523.23</v>
      </c>
      <c r="U31" s="610">
        <f t="shared" si="30"/>
        <v>2695.23</v>
      </c>
      <c r="V31" s="750"/>
      <c r="W31" s="750"/>
      <c r="X31" s="750"/>
      <c r="Y31" s="811"/>
      <c r="Z31" s="811"/>
      <c r="AA31" s="811"/>
      <c r="AB31" s="811"/>
      <c r="AC31" s="811"/>
      <c r="AD31" s="747"/>
      <c r="AE31" s="807"/>
      <c r="AF31" s="807"/>
      <c r="AG31" s="807"/>
      <c r="AH31" s="807"/>
      <c r="AI31" s="807"/>
      <c r="AJ31" s="807"/>
      <c r="AK31" s="807"/>
      <c r="AL31" s="807"/>
      <c r="AM31" s="807"/>
      <c r="AN31" s="807"/>
      <c r="AO31" s="808"/>
      <c r="AP31" s="747"/>
      <c r="AQ31" s="747"/>
      <c r="AR31" s="807"/>
      <c r="AS31" s="807"/>
      <c r="AT31" s="807"/>
      <c r="AU31" s="807"/>
      <c r="AV31" s="807"/>
      <c r="AW31" s="807"/>
      <c r="AX31" s="807"/>
      <c r="AY31" s="807"/>
      <c r="AZ31" s="807"/>
      <c r="BA31" s="807"/>
      <c r="BB31" s="808"/>
      <c r="BC31" s="747"/>
      <c r="BD31" s="747"/>
      <c r="BE31" s="747"/>
    </row>
    <row r="32" spans="2:57" x14ac:dyDescent="0.25">
      <c r="B32" s="322" t="s">
        <v>144</v>
      </c>
      <c r="C32" s="323" t="s">
        <v>115</v>
      </c>
      <c r="D32" s="323" t="s">
        <v>130</v>
      </c>
      <c r="E32" s="323" t="s">
        <v>80</v>
      </c>
      <c r="F32" s="323" t="s">
        <v>69</v>
      </c>
      <c r="G32" s="348">
        <v>2264</v>
      </c>
      <c r="H32" s="383">
        <v>1810</v>
      </c>
      <c r="I32" s="385">
        <v>0</v>
      </c>
      <c r="J32" s="441">
        <v>1</v>
      </c>
      <c r="K32" s="607">
        <f>ROUND(H32*(1+'29_01_H_2020'!$F$10),2)</f>
        <v>1991</v>
      </c>
      <c r="L32" s="608">
        <f t="shared" si="25"/>
        <v>1991</v>
      </c>
      <c r="M32" s="608">
        <f t="shared" si="26"/>
        <v>181</v>
      </c>
      <c r="N32" s="608">
        <f t="shared" si="27"/>
        <v>0</v>
      </c>
      <c r="O32" s="608">
        <f t="shared" si="28"/>
        <v>0</v>
      </c>
      <c r="P32" s="608">
        <f t="shared" si="29"/>
        <v>0</v>
      </c>
      <c r="Q32" s="609">
        <f t="shared" si="20"/>
        <v>181</v>
      </c>
      <c r="R32" s="609">
        <f t="shared" si="21"/>
        <v>181</v>
      </c>
      <c r="S32" s="609">
        <f t="shared" si="22"/>
        <v>2172</v>
      </c>
      <c r="T32" s="609">
        <f t="shared" si="23"/>
        <v>523.23</v>
      </c>
      <c r="U32" s="610">
        <f t="shared" si="30"/>
        <v>2695.23</v>
      </c>
      <c r="V32" s="750"/>
      <c r="W32" s="750"/>
      <c r="X32" s="750"/>
      <c r="Y32" s="811"/>
      <c r="Z32" s="811"/>
      <c r="AA32" s="811"/>
      <c r="AB32" s="811"/>
      <c r="AC32" s="811"/>
      <c r="AD32" s="747"/>
      <c r="AE32" s="807"/>
      <c r="AF32" s="807"/>
      <c r="AG32" s="807"/>
      <c r="AH32" s="807"/>
      <c r="AI32" s="807"/>
      <c r="AJ32" s="807"/>
      <c r="AK32" s="807"/>
      <c r="AL32" s="807"/>
      <c r="AM32" s="807"/>
      <c r="AN32" s="807"/>
      <c r="AO32" s="808"/>
      <c r="AP32" s="747"/>
      <c r="AQ32" s="747"/>
      <c r="AR32" s="807"/>
      <c r="AS32" s="807"/>
      <c r="AT32" s="807"/>
      <c r="AU32" s="807"/>
      <c r="AV32" s="807"/>
      <c r="AW32" s="807"/>
      <c r="AX32" s="807"/>
      <c r="AY32" s="807"/>
      <c r="AZ32" s="807"/>
      <c r="BA32" s="807"/>
      <c r="BB32" s="808"/>
      <c r="BC32" s="747"/>
      <c r="BD32" s="747"/>
      <c r="BE32" s="747"/>
    </row>
    <row r="33" spans="2:57" x14ac:dyDescent="0.25">
      <c r="B33" s="322" t="s">
        <v>145</v>
      </c>
      <c r="C33" s="323" t="s">
        <v>115</v>
      </c>
      <c r="D33" s="323" t="s">
        <v>128</v>
      </c>
      <c r="E33" s="323" t="s">
        <v>117</v>
      </c>
      <c r="F33" s="323" t="s">
        <v>69</v>
      </c>
      <c r="G33" s="348">
        <v>2353</v>
      </c>
      <c r="H33" s="383">
        <v>2030</v>
      </c>
      <c r="I33" s="385">
        <v>0</v>
      </c>
      <c r="J33" s="441">
        <v>1</v>
      </c>
      <c r="K33" s="607">
        <f>ROUND(H33*(1+'29_01_H_2020'!$F$10),2)</f>
        <v>2233</v>
      </c>
      <c r="L33" s="608">
        <f t="shared" si="25"/>
        <v>2233</v>
      </c>
      <c r="M33" s="608">
        <f t="shared" si="26"/>
        <v>203</v>
      </c>
      <c r="N33" s="608">
        <f t="shared" si="27"/>
        <v>0</v>
      </c>
      <c r="O33" s="608">
        <f t="shared" si="28"/>
        <v>0</v>
      </c>
      <c r="P33" s="608">
        <f t="shared" si="29"/>
        <v>0</v>
      </c>
      <c r="Q33" s="609">
        <f t="shared" si="20"/>
        <v>203</v>
      </c>
      <c r="R33" s="609">
        <f t="shared" si="21"/>
        <v>203</v>
      </c>
      <c r="S33" s="609">
        <f t="shared" si="22"/>
        <v>2436</v>
      </c>
      <c r="T33" s="609">
        <f t="shared" si="23"/>
        <v>586.83000000000004</v>
      </c>
      <c r="U33" s="610">
        <f t="shared" si="30"/>
        <v>3022.83</v>
      </c>
      <c r="V33" s="750"/>
      <c r="W33" s="750"/>
      <c r="X33" s="750"/>
      <c r="Y33" s="811"/>
      <c r="Z33" s="811"/>
      <c r="AA33" s="811"/>
      <c r="AB33" s="811"/>
      <c r="AC33" s="811"/>
      <c r="AD33" s="747"/>
      <c r="AE33" s="807"/>
      <c r="AF33" s="807"/>
      <c r="AG33" s="807"/>
      <c r="AH33" s="807"/>
      <c r="AI33" s="807"/>
      <c r="AJ33" s="807"/>
      <c r="AK33" s="807"/>
      <c r="AL33" s="807"/>
      <c r="AM33" s="807"/>
      <c r="AN33" s="807"/>
      <c r="AO33" s="808"/>
      <c r="AP33" s="747"/>
      <c r="AQ33" s="747"/>
      <c r="AR33" s="807"/>
      <c r="AS33" s="807"/>
      <c r="AT33" s="807"/>
      <c r="AU33" s="807"/>
      <c r="AV33" s="807"/>
      <c r="AW33" s="807"/>
      <c r="AX33" s="807"/>
      <c r="AY33" s="807"/>
      <c r="AZ33" s="807"/>
      <c r="BA33" s="807"/>
      <c r="BB33" s="808"/>
      <c r="BC33" s="747"/>
      <c r="BD33" s="747"/>
      <c r="BE33" s="747"/>
    </row>
    <row r="34" spans="2:57" x14ac:dyDescent="0.25">
      <c r="B34" s="535" t="s">
        <v>146</v>
      </c>
      <c r="C34" s="323" t="s">
        <v>147</v>
      </c>
      <c r="D34" s="323" t="s">
        <v>20</v>
      </c>
      <c r="E34" s="323" t="s">
        <v>85</v>
      </c>
      <c r="F34" s="323">
        <v>3</v>
      </c>
      <c r="G34" s="348">
        <v>1190</v>
      </c>
      <c r="H34" s="383">
        <v>800</v>
      </c>
      <c r="I34" s="385">
        <v>0</v>
      </c>
      <c r="J34" s="441">
        <v>0.5</v>
      </c>
      <c r="K34" s="607">
        <f>ROUND(H34*(1+'29_01_H_2020'!$F$10),2)</f>
        <v>880</v>
      </c>
      <c r="L34" s="608">
        <f t="shared" si="25"/>
        <v>880</v>
      </c>
      <c r="M34" s="608">
        <f t="shared" si="26"/>
        <v>80</v>
      </c>
      <c r="N34" s="608">
        <f t="shared" si="27"/>
        <v>0</v>
      </c>
      <c r="O34" s="608">
        <f t="shared" si="28"/>
        <v>0</v>
      </c>
      <c r="P34" s="608">
        <f t="shared" si="29"/>
        <v>0</v>
      </c>
      <c r="Q34" s="609">
        <f t="shared" si="20"/>
        <v>80</v>
      </c>
      <c r="R34" s="609">
        <f t="shared" si="21"/>
        <v>40</v>
      </c>
      <c r="S34" s="609">
        <f t="shared" si="22"/>
        <v>480</v>
      </c>
      <c r="T34" s="609">
        <f t="shared" si="23"/>
        <v>115.63</v>
      </c>
      <c r="U34" s="610">
        <f t="shared" si="30"/>
        <v>595.63</v>
      </c>
      <c r="V34" s="750"/>
      <c r="W34" s="750"/>
      <c r="X34" s="750"/>
      <c r="Y34" s="811"/>
      <c r="Z34" s="811"/>
      <c r="AA34" s="811"/>
      <c r="AB34" s="811"/>
      <c r="AC34" s="811"/>
      <c r="AD34" s="747"/>
      <c r="AE34" s="807"/>
      <c r="AF34" s="807"/>
      <c r="AG34" s="807"/>
      <c r="AH34" s="807"/>
      <c r="AI34" s="807"/>
      <c r="AJ34" s="807"/>
      <c r="AK34" s="807"/>
      <c r="AL34" s="807"/>
      <c r="AM34" s="807"/>
      <c r="AN34" s="807"/>
      <c r="AO34" s="808"/>
      <c r="AP34" s="747"/>
      <c r="AQ34" s="747"/>
      <c r="AR34" s="807"/>
      <c r="AS34" s="807"/>
      <c r="AT34" s="807"/>
      <c r="AU34" s="807"/>
      <c r="AV34" s="807"/>
      <c r="AW34" s="807"/>
      <c r="AX34" s="807"/>
      <c r="AY34" s="807"/>
      <c r="AZ34" s="807"/>
      <c r="BA34" s="807"/>
      <c r="BB34" s="808"/>
      <c r="BC34" s="747"/>
      <c r="BD34" s="747"/>
      <c r="BE34" s="747"/>
    </row>
    <row r="35" spans="2:57" ht="38.25" x14ac:dyDescent="0.25">
      <c r="B35" s="401" t="s">
        <v>148</v>
      </c>
      <c r="C35" s="321" t="s">
        <v>115</v>
      </c>
      <c r="D35" s="321" t="s">
        <v>125</v>
      </c>
      <c r="E35" s="321" t="s">
        <v>126</v>
      </c>
      <c r="F35" s="321" t="s">
        <v>69</v>
      </c>
      <c r="G35" s="347">
        <v>1917</v>
      </c>
      <c r="H35" s="324">
        <v>1700</v>
      </c>
      <c r="I35" s="385">
        <v>0</v>
      </c>
      <c r="J35" s="441">
        <v>1</v>
      </c>
      <c r="K35" s="607">
        <f>ROUND(H35*(1+'29_01_H_2020'!$F$10),2)</f>
        <v>1870</v>
      </c>
      <c r="L35" s="608">
        <f t="shared" si="25"/>
        <v>1870</v>
      </c>
      <c r="M35" s="608">
        <f t="shared" si="26"/>
        <v>170</v>
      </c>
      <c r="N35" s="608">
        <f t="shared" si="27"/>
        <v>0</v>
      </c>
      <c r="O35" s="608">
        <f t="shared" si="28"/>
        <v>0</v>
      </c>
      <c r="P35" s="608">
        <f t="shared" si="29"/>
        <v>0</v>
      </c>
      <c r="Q35" s="609">
        <f t="shared" si="20"/>
        <v>170</v>
      </c>
      <c r="R35" s="609">
        <f t="shared" si="21"/>
        <v>170</v>
      </c>
      <c r="S35" s="609">
        <f t="shared" si="22"/>
        <v>2040</v>
      </c>
      <c r="T35" s="609">
        <f t="shared" si="23"/>
        <v>491.44</v>
      </c>
      <c r="U35" s="610">
        <f t="shared" si="30"/>
        <v>2531.44</v>
      </c>
      <c r="V35" s="750"/>
      <c r="W35" s="750"/>
      <c r="X35" s="750"/>
      <c r="Y35" s="811"/>
      <c r="Z35" s="811"/>
      <c r="AA35" s="811"/>
      <c r="AB35" s="811"/>
      <c r="AC35" s="811"/>
      <c r="AD35" s="747"/>
      <c r="AE35" s="807"/>
      <c r="AF35" s="807"/>
      <c r="AG35" s="807"/>
      <c r="AH35" s="807"/>
      <c r="AI35" s="807"/>
      <c r="AJ35" s="807"/>
      <c r="AK35" s="807"/>
      <c r="AL35" s="807"/>
      <c r="AM35" s="807"/>
      <c r="AN35" s="807"/>
      <c r="AO35" s="808"/>
      <c r="AP35" s="747"/>
      <c r="AQ35" s="747"/>
      <c r="AR35" s="807"/>
      <c r="AS35" s="807"/>
      <c r="AT35" s="807"/>
      <c r="AU35" s="807"/>
      <c r="AV35" s="807"/>
      <c r="AW35" s="807"/>
      <c r="AX35" s="807"/>
      <c r="AY35" s="807"/>
      <c r="AZ35" s="807"/>
      <c r="BA35" s="807"/>
      <c r="BB35" s="808"/>
      <c r="BC35" s="747"/>
      <c r="BD35" s="747"/>
      <c r="BE35" s="747"/>
    </row>
    <row r="36" spans="2:57" ht="25.5" x14ac:dyDescent="0.25">
      <c r="B36" s="536" t="s">
        <v>149</v>
      </c>
      <c r="C36" s="325" t="s">
        <v>115</v>
      </c>
      <c r="D36" s="323" t="s">
        <v>16</v>
      </c>
      <c r="E36" s="323" t="s">
        <v>126</v>
      </c>
      <c r="F36" s="323">
        <v>3</v>
      </c>
      <c r="G36" s="348">
        <v>1917</v>
      </c>
      <c r="H36" s="383">
        <v>1752</v>
      </c>
      <c r="I36" s="385">
        <v>0</v>
      </c>
      <c r="J36" s="441">
        <v>1</v>
      </c>
      <c r="K36" s="607">
        <f>ROUND(H36*(1+'29_01_H_2020'!$F$10),2)</f>
        <v>1927.2</v>
      </c>
      <c r="L36" s="608">
        <f t="shared" si="25"/>
        <v>1917</v>
      </c>
      <c r="M36" s="608">
        <f t="shared" si="26"/>
        <v>165</v>
      </c>
      <c r="N36" s="608">
        <f t="shared" si="27"/>
        <v>10.200000000000045</v>
      </c>
      <c r="O36" s="608">
        <f t="shared" si="28"/>
        <v>0</v>
      </c>
      <c r="P36" s="608">
        <f t="shared" si="29"/>
        <v>0</v>
      </c>
      <c r="Q36" s="609">
        <f t="shared" si="20"/>
        <v>175.20000000000005</v>
      </c>
      <c r="R36" s="609">
        <f t="shared" si="21"/>
        <v>175.20000000000005</v>
      </c>
      <c r="S36" s="609">
        <f t="shared" si="22"/>
        <v>2102.4000000000005</v>
      </c>
      <c r="T36" s="609">
        <f t="shared" si="23"/>
        <v>506.47</v>
      </c>
      <c r="U36" s="610">
        <f t="shared" si="30"/>
        <v>2608.8700000000008</v>
      </c>
      <c r="V36" s="750"/>
      <c r="W36" s="750"/>
      <c r="X36" s="750"/>
      <c r="Y36" s="811"/>
      <c r="Z36" s="811"/>
      <c r="AA36" s="811"/>
      <c r="AB36" s="811"/>
      <c r="AC36" s="811"/>
      <c r="AD36" s="747"/>
      <c r="AE36" s="807"/>
      <c r="AF36" s="807"/>
      <c r="AG36" s="807"/>
      <c r="AH36" s="807"/>
      <c r="AI36" s="807"/>
      <c r="AJ36" s="807"/>
      <c r="AK36" s="807"/>
      <c r="AL36" s="807"/>
      <c r="AM36" s="807"/>
      <c r="AN36" s="807"/>
      <c r="AO36" s="808"/>
      <c r="AP36" s="747"/>
      <c r="AQ36" s="747"/>
      <c r="AR36" s="807"/>
      <c r="AS36" s="807"/>
      <c r="AT36" s="807"/>
      <c r="AU36" s="807"/>
      <c r="AV36" s="807"/>
      <c r="AW36" s="807"/>
      <c r="AX36" s="807"/>
      <c r="AY36" s="807"/>
      <c r="AZ36" s="807"/>
      <c r="BA36" s="807"/>
      <c r="BB36" s="808"/>
      <c r="BC36" s="747"/>
      <c r="BD36" s="747"/>
      <c r="BE36" s="747"/>
    </row>
    <row r="37" spans="2:57" ht="25.5" x14ac:dyDescent="0.25">
      <c r="B37" s="401" t="s">
        <v>150</v>
      </c>
      <c r="C37" s="321" t="s">
        <v>115</v>
      </c>
      <c r="D37" s="321" t="s">
        <v>151</v>
      </c>
      <c r="E37" s="321" t="s">
        <v>75</v>
      </c>
      <c r="F37" s="321" t="s">
        <v>69</v>
      </c>
      <c r="G37" s="347">
        <v>1287</v>
      </c>
      <c r="H37" s="324">
        <v>1190</v>
      </c>
      <c r="I37" s="383">
        <v>0</v>
      </c>
      <c r="J37" s="441">
        <v>2</v>
      </c>
      <c r="K37" s="607">
        <f>ROUND(H37*(1+'29_01_H_2020'!$F$10),2)</f>
        <v>1309</v>
      </c>
      <c r="L37" s="608">
        <f t="shared" si="25"/>
        <v>1287</v>
      </c>
      <c r="M37" s="608">
        <f t="shared" si="26"/>
        <v>97</v>
      </c>
      <c r="N37" s="608">
        <f t="shared" si="27"/>
        <v>22</v>
      </c>
      <c r="O37" s="608">
        <f t="shared" si="28"/>
        <v>0</v>
      </c>
      <c r="P37" s="608">
        <f t="shared" si="29"/>
        <v>0</v>
      </c>
      <c r="Q37" s="609">
        <f t="shared" si="20"/>
        <v>119</v>
      </c>
      <c r="R37" s="609">
        <f t="shared" si="21"/>
        <v>238</v>
      </c>
      <c r="S37" s="609">
        <f t="shared" si="22"/>
        <v>2856</v>
      </c>
      <c r="T37" s="609">
        <f t="shared" si="23"/>
        <v>688.01</v>
      </c>
      <c r="U37" s="610">
        <f t="shared" ref="U37:U42" si="31">SUM(S37:T37)</f>
        <v>3544.01</v>
      </c>
      <c r="V37" s="750"/>
      <c r="W37" s="750"/>
      <c r="X37" s="750"/>
      <c r="Y37" s="811"/>
      <c r="Z37" s="811"/>
      <c r="AA37" s="811"/>
      <c r="AB37" s="811"/>
      <c r="AC37" s="811"/>
      <c r="AD37" s="747"/>
      <c r="AE37" s="807"/>
      <c r="AF37" s="807"/>
      <c r="AG37" s="807"/>
      <c r="AH37" s="807"/>
      <c r="AI37" s="807"/>
      <c r="AJ37" s="807"/>
      <c r="AK37" s="807"/>
      <c r="AL37" s="807"/>
      <c r="AM37" s="807"/>
      <c r="AN37" s="807"/>
      <c r="AO37" s="808"/>
      <c r="AP37" s="747"/>
      <c r="AQ37" s="747"/>
      <c r="AR37" s="807"/>
      <c r="AS37" s="807"/>
      <c r="AT37" s="807"/>
      <c r="AU37" s="807"/>
      <c r="AV37" s="807"/>
      <c r="AW37" s="807"/>
      <c r="AX37" s="807"/>
      <c r="AY37" s="807"/>
      <c r="AZ37" s="807"/>
      <c r="BA37" s="807"/>
      <c r="BB37" s="808"/>
      <c r="BC37" s="747"/>
      <c r="BD37" s="747"/>
      <c r="BE37" s="747"/>
    </row>
    <row r="38" spans="2:57" x14ac:dyDescent="0.25">
      <c r="B38" s="401" t="s">
        <v>152</v>
      </c>
      <c r="C38" s="321" t="s">
        <v>75</v>
      </c>
      <c r="D38" s="321" t="s">
        <v>41</v>
      </c>
      <c r="E38" s="321" t="s">
        <v>85</v>
      </c>
      <c r="F38" s="321" t="s">
        <v>69</v>
      </c>
      <c r="G38" s="347">
        <v>1190</v>
      </c>
      <c r="H38" s="326">
        <v>1190</v>
      </c>
      <c r="I38" s="384">
        <v>0</v>
      </c>
      <c r="J38" s="441">
        <v>1</v>
      </c>
      <c r="K38" s="607">
        <f>ROUND(H38*(1+'29_01_H_2020'!$F$10),2)</f>
        <v>1309</v>
      </c>
      <c r="L38" s="608">
        <f t="shared" si="25"/>
        <v>1190</v>
      </c>
      <c r="M38" s="608">
        <f t="shared" si="26"/>
        <v>0</v>
      </c>
      <c r="N38" s="608">
        <f t="shared" si="27"/>
        <v>119</v>
      </c>
      <c r="O38" s="608">
        <f t="shared" si="28"/>
        <v>0</v>
      </c>
      <c r="P38" s="608">
        <f t="shared" si="29"/>
        <v>0</v>
      </c>
      <c r="Q38" s="609">
        <f t="shared" si="20"/>
        <v>119</v>
      </c>
      <c r="R38" s="609">
        <f t="shared" si="21"/>
        <v>119</v>
      </c>
      <c r="S38" s="609">
        <f t="shared" si="22"/>
        <v>1428</v>
      </c>
      <c r="T38" s="609">
        <f t="shared" si="23"/>
        <v>344.01</v>
      </c>
      <c r="U38" s="610">
        <f t="shared" si="31"/>
        <v>1772.01</v>
      </c>
      <c r="V38" s="750"/>
      <c r="W38" s="750"/>
      <c r="X38" s="750"/>
      <c r="Y38" s="811"/>
      <c r="Z38" s="811"/>
      <c r="AA38" s="811"/>
      <c r="AB38" s="811"/>
      <c r="AC38" s="811"/>
      <c r="AD38" s="747"/>
      <c r="AE38" s="807"/>
      <c r="AF38" s="807"/>
      <c r="AG38" s="807"/>
      <c r="AH38" s="807"/>
      <c r="AI38" s="807"/>
      <c r="AJ38" s="807"/>
      <c r="AK38" s="807"/>
      <c r="AL38" s="807"/>
      <c r="AM38" s="807"/>
      <c r="AN38" s="807"/>
      <c r="AO38" s="808"/>
      <c r="AP38" s="747"/>
      <c r="AQ38" s="747"/>
      <c r="AR38" s="807"/>
      <c r="AS38" s="807"/>
      <c r="AT38" s="807"/>
      <c r="AU38" s="807"/>
      <c r="AV38" s="807"/>
      <c r="AW38" s="807"/>
      <c r="AX38" s="807"/>
      <c r="AY38" s="807"/>
      <c r="AZ38" s="807"/>
      <c r="BA38" s="807"/>
      <c r="BB38" s="808"/>
      <c r="BC38" s="747"/>
      <c r="BD38" s="747"/>
      <c r="BE38" s="747"/>
    </row>
    <row r="39" spans="2:57" ht="29.25" customHeight="1" x14ac:dyDescent="0.25">
      <c r="B39" s="537" t="s">
        <v>153</v>
      </c>
      <c r="C39" s="399" t="s">
        <v>115</v>
      </c>
      <c r="D39" s="394" t="s">
        <v>20</v>
      </c>
      <c r="E39" s="394" t="s">
        <v>123</v>
      </c>
      <c r="F39" s="394">
        <v>3</v>
      </c>
      <c r="G39" s="348">
        <v>1647</v>
      </c>
      <c r="H39" s="384">
        <v>1647</v>
      </c>
      <c r="I39" s="386">
        <v>0</v>
      </c>
      <c r="J39" s="441">
        <v>1</v>
      </c>
      <c r="K39" s="607">
        <f>ROUND(H39*(1+'29_01_H_2020'!$F$10),2)</f>
        <v>1811.7</v>
      </c>
      <c r="L39" s="608">
        <f t="shared" si="25"/>
        <v>1647</v>
      </c>
      <c r="M39" s="608">
        <f t="shared" si="26"/>
        <v>0</v>
      </c>
      <c r="N39" s="608">
        <f t="shared" si="27"/>
        <v>164.70000000000005</v>
      </c>
      <c r="O39" s="608">
        <f t="shared" si="28"/>
        <v>0</v>
      </c>
      <c r="P39" s="608">
        <f t="shared" si="29"/>
        <v>0</v>
      </c>
      <c r="Q39" s="609">
        <f t="shared" si="20"/>
        <v>164.70000000000005</v>
      </c>
      <c r="R39" s="609">
        <f t="shared" si="21"/>
        <v>164.70000000000005</v>
      </c>
      <c r="S39" s="609">
        <f t="shared" si="22"/>
        <v>1976.4000000000005</v>
      </c>
      <c r="T39" s="609">
        <f t="shared" si="23"/>
        <v>476.11</v>
      </c>
      <c r="U39" s="610">
        <f t="shared" si="31"/>
        <v>2452.5100000000007</v>
      </c>
      <c r="V39" s="750"/>
      <c r="W39" s="750"/>
      <c r="X39" s="750"/>
      <c r="Y39" s="811"/>
      <c r="Z39" s="811"/>
      <c r="AA39" s="811"/>
      <c r="AB39" s="811"/>
      <c r="AC39" s="811"/>
      <c r="AD39" s="747"/>
      <c r="AE39" s="807"/>
      <c r="AF39" s="807"/>
      <c r="AG39" s="807"/>
      <c r="AH39" s="807"/>
      <c r="AI39" s="807"/>
      <c r="AJ39" s="807"/>
      <c r="AK39" s="807"/>
      <c r="AL39" s="807"/>
      <c r="AM39" s="807"/>
      <c r="AN39" s="807"/>
      <c r="AO39" s="808"/>
      <c r="AP39" s="747"/>
      <c r="AQ39" s="747"/>
      <c r="AR39" s="807"/>
      <c r="AS39" s="807"/>
      <c r="AT39" s="807"/>
      <c r="AU39" s="807"/>
      <c r="AV39" s="807"/>
      <c r="AW39" s="807"/>
      <c r="AX39" s="807"/>
      <c r="AY39" s="807"/>
      <c r="AZ39" s="807"/>
      <c r="BA39" s="807"/>
      <c r="BB39" s="808"/>
      <c r="BC39" s="747"/>
      <c r="BD39" s="747"/>
      <c r="BE39" s="747"/>
    </row>
    <row r="40" spans="2:57" ht="26.25" x14ac:dyDescent="0.25">
      <c r="B40" s="537" t="s">
        <v>154</v>
      </c>
      <c r="C40" s="321" t="s">
        <v>84</v>
      </c>
      <c r="D40" s="321" t="s">
        <v>41</v>
      </c>
      <c r="E40" s="321" t="s">
        <v>85</v>
      </c>
      <c r="F40" s="321" t="s">
        <v>69</v>
      </c>
      <c r="G40" s="347">
        <v>1190</v>
      </c>
      <c r="H40" s="326">
        <v>1150</v>
      </c>
      <c r="I40" s="384">
        <v>0</v>
      </c>
      <c r="J40" s="441">
        <v>1</v>
      </c>
      <c r="K40" s="607">
        <f>ROUND(H40*(1+'29_01_H_2020'!$F$10),2)</f>
        <v>1265</v>
      </c>
      <c r="L40" s="608">
        <f t="shared" si="25"/>
        <v>1190</v>
      </c>
      <c r="M40" s="608">
        <f t="shared" si="26"/>
        <v>40</v>
      </c>
      <c r="N40" s="608">
        <f t="shared" si="27"/>
        <v>75</v>
      </c>
      <c r="O40" s="608">
        <f t="shared" si="28"/>
        <v>0</v>
      </c>
      <c r="P40" s="608">
        <f t="shared" si="29"/>
        <v>0</v>
      </c>
      <c r="Q40" s="609">
        <f t="shared" si="20"/>
        <v>115</v>
      </c>
      <c r="R40" s="609">
        <f t="shared" si="21"/>
        <v>115</v>
      </c>
      <c r="S40" s="609">
        <f t="shared" si="22"/>
        <v>1380</v>
      </c>
      <c r="T40" s="609">
        <f t="shared" si="23"/>
        <v>332.44</v>
      </c>
      <c r="U40" s="610">
        <f t="shared" si="31"/>
        <v>1712.44</v>
      </c>
      <c r="V40" s="750"/>
      <c r="W40" s="750"/>
      <c r="X40" s="750"/>
      <c r="Y40" s="811"/>
      <c r="Z40" s="811"/>
      <c r="AA40" s="811"/>
      <c r="AB40" s="811"/>
      <c r="AC40" s="811"/>
      <c r="AD40" s="747"/>
      <c r="AE40" s="807"/>
      <c r="AF40" s="807"/>
      <c r="AG40" s="807"/>
      <c r="AH40" s="807"/>
      <c r="AI40" s="807"/>
      <c r="AJ40" s="807"/>
      <c r="AK40" s="807"/>
      <c r="AL40" s="807"/>
      <c r="AM40" s="807"/>
      <c r="AN40" s="807"/>
      <c r="AO40" s="808"/>
      <c r="AP40" s="747"/>
      <c r="AQ40" s="747"/>
      <c r="AR40" s="807"/>
      <c r="AS40" s="807"/>
      <c r="AT40" s="807"/>
      <c r="AU40" s="807"/>
      <c r="AV40" s="807"/>
      <c r="AW40" s="807"/>
      <c r="AX40" s="807"/>
      <c r="AY40" s="807"/>
      <c r="AZ40" s="807"/>
      <c r="BA40" s="807"/>
      <c r="BB40" s="808"/>
      <c r="BC40" s="747"/>
      <c r="BD40" s="747"/>
      <c r="BE40" s="747"/>
    </row>
    <row r="41" spans="2:57" ht="25.5" x14ac:dyDescent="0.25">
      <c r="B41" s="401" t="s">
        <v>155</v>
      </c>
      <c r="C41" s="321" t="s">
        <v>84</v>
      </c>
      <c r="D41" s="321" t="s">
        <v>20</v>
      </c>
      <c r="E41" s="321" t="s">
        <v>92</v>
      </c>
      <c r="F41" s="321" t="s">
        <v>69</v>
      </c>
      <c r="G41" s="347">
        <v>1382</v>
      </c>
      <c r="H41" s="326">
        <v>1287</v>
      </c>
      <c r="I41" s="384">
        <v>0</v>
      </c>
      <c r="J41" s="441">
        <v>1</v>
      </c>
      <c r="K41" s="607">
        <f>ROUND(H41*(1+'29_01_H_2020'!$F$10),2)</f>
        <v>1415.7</v>
      </c>
      <c r="L41" s="608">
        <f t="shared" si="25"/>
        <v>1382</v>
      </c>
      <c r="M41" s="608">
        <f t="shared" si="26"/>
        <v>95</v>
      </c>
      <c r="N41" s="608">
        <f t="shared" si="27"/>
        <v>33.700000000000045</v>
      </c>
      <c r="O41" s="608">
        <f t="shared" si="28"/>
        <v>0</v>
      </c>
      <c r="P41" s="608">
        <f t="shared" si="29"/>
        <v>0</v>
      </c>
      <c r="Q41" s="609">
        <f t="shared" si="20"/>
        <v>128.70000000000005</v>
      </c>
      <c r="R41" s="609">
        <f t="shared" si="21"/>
        <v>128.70000000000005</v>
      </c>
      <c r="S41" s="609">
        <f t="shared" si="22"/>
        <v>1544.4000000000005</v>
      </c>
      <c r="T41" s="609">
        <f t="shared" si="23"/>
        <v>372.05</v>
      </c>
      <c r="U41" s="610">
        <f t="shared" si="31"/>
        <v>1916.4500000000005</v>
      </c>
      <c r="V41" s="750"/>
      <c r="W41" s="750"/>
      <c r="X41" s="750"/>
      <c r="Y41" s="811"/>
      <c r="Z41" s="811"/>
      <c r="AA41" s="811"/>
      <c r="AB41" s="811"/>
      <c r="AC41" s="811"/>
      <c r="AD41" s="747"/>
      <c r="AE41" s="807"/>
      <c r="AF41" s="807"/>
      <c r="AG41" s="807"/>
      <c r="AH41" s="807"/>
      <c r="AI41" s="807"/>
      <c r="AJ41" s="807"/>
      <c r="AK41" s="807"/>
      <c r="AL41" s="807"/>
      <c r="AM41" s="807"/>
      <c r="AN41" s="807"/>
      <c r="AO41" s="808"/>
      <c r="AP41" s="747"/>
      <c r="AQ41" s="747"/>
      <c r="AR41" s="807"/>
      <c r="AS41" s="807"/>
      <c r="AT41" s="807"/>
      <c r="AU41" s="807"/>
      <c r="AV41" s="807"/>
      <c r="AW41" s="807"/>
      <c r="AX41" s="807"/>
      <c r="AY41" s="807"/>
      <c r="AZ41" s="807"/>
      <c r="BA41" s="807"/>
      <c r="BB41" s="808"/>
      <c r="BC41" s="747"/>
      <c r="BD41" s="747"/>
      <c r="BE41" s="747"/>
    </row>
    <row r="42" spans="2:57" ht="25.5" x14ac:dyDescent="0.25">
      <c r="B42" s="401" t="s">
        <v>156</v>
      </c>
      <c r="C42" s="321" t="s">
        <v>84</v>
      </c>
      <c r="D42" s="321" t="s">
        <v>25</v>
      </c>
      <c r="E42" s="321" t="s">
        <v>75</v>
      </c>
      <c r="F42" s="321" t="s">
        <v>69</v>
      </c>
      <c r="G42" s="347">
        <v>1287</v>
      </c>
      <c r="H42" s="326">
        <v>1150</v>
      </c>
      <c r="I42" s="384">
        <v>0</v>
      </c>
      <c r="J42" s="441">
        <v>1</v>
      </c>
      <c r="K42" s="607">
        <f>ROUND(H42*(1+'29_01_H_2020'!$F$10),2)</f>
        <v>1265</v>
      </c>
      <c r="L42" s="608">
        <f t="shared" si="25"/>
        <v>1265</v>
      </c>
      <c r="M42" s="608">
        <f t="shared" si="26"/>
        <v>115</v>
      </c>
      <c r="N42" s="608">
        <f t="shared" si="27"/>
        <v>0</v>
      </c>
      <c r="O42" s="608">
        <f t="shared" si="28"/>
        <v>0</v>
      </c>
      <c r="P42" s="608">
        <f t="shared" si="29"/>
        <v>0</v>
      </c>
      <c r="Q42" s="609">
        <f t="shared" si="20"/>
        <v>115</v>
      </c>
      <c r="R42" s="609">
        <f t="shared" si="21"/>
        <v>115</v>
      </c>
      <c r="S42" s="609">
        <f t="shared" si="22"/>
        <v>1380</v>
      </c>
      <c r="T42" s="609">
        <f t="shared" si="23"/>
        <v>332.44</v>
      </c>
      <c r="U42" s="610">
        <f t="shared" si="31"/>
        <v>1712.44</v>
      </c>
      <c r="V42" s="750"/>
      <c r="W42" s="750"/>
      <c r="X42" s="750"/>
      <c r="Y42" s="811"/>
      <c r="Z42" s="811"/>
      <c r="AA42" s="811"/>
      <c r="AB42" s="811"/>
      <c r="AC42" s="811"/>
      <c r="AD42" s="747"/>
      <c r="AE42" s="807"/>
      <c r="AF42" s="807"/>
      <c r="AG42" s="807"/>
      <c r="AH42" s="807"/>
      <c r="AI42" s="807"/>
      <c r="AJ42" s="807"/>
      <c r="AK42" s="807"/>
      <c r="AL42" s="807"/>
      <c r="AM42" s="807"/>
      <c r="AN42" s="807"/>
      <c r="AO42" s="808"/>
      <c r="AP42" s="747"/>
      <c r="AQ42" s="747"/>
      <c r="AR42" s="807"/>
      <c r="AS42" s="807"/>
      <c r="AT42" s="807"/>
      <c r="AU42" s="807"/>
      <c r="AV42" s="807"/>
      <c r="AW42" s="807"/>
      <c r="AX42" s="807"/>
      <c r="AY42" s="807"/>
      <c r="AZ42" s="807"/>
      <c r="BA42" s="807"/>
      <c r="BB42" s="808"/>
      <c r="BC42" s="747"/>
      <c r="BD42" s="747"/>
      <c r="BE42" s="747"/>
    </row>
    <row r="43" spans="2:57" x14ac:dyDescent="0.25">
      <c r="B43" s="617" t="s">
        <v>55</v>
      </c>
      <c r="C43" s="618" t="s">
        <v>52</v>
      </c>
      <c r="D43" s="619" t="s">
        <v>52</v>
      </c>
      <c r="E43" s="619" t="s">
        <v>52</v>
      </c>
      <c r="F43" s="619" t="s">
        <v>52</v>
      </c>
      <c r="G43" s="620" t="s">
        <v>52</v>
      </c>
      <c r="H43" s="620" t="s">
        <v>52</v>
      </c>
      <c r="I43" s="620" t="s">
        <v>52</v>
      </c>
      <c r="J43" s="444">
        <f>SUM(J29:J42)</f>
        <v>14.5</v>
      </c>
      <c r="K43" s="621"/>
      <c r="L43" s="622"/>
      <c r="M43" s="622"/>
      <c r="N43" s="622"/>
      <c r="O43" s="622"/>
      <c r="P43" s="622"/>
      <c r="Q43" s="623"/>
      <c r="R43" s="623"/>
      <c r="S43" s="623"/>
      <c r="T43" s="623"/>
      <c r="U43" s="624"/>
      <c r="V43" s="750"/>
      <c r="W43" s="750"/>
      <c r="X43" s="750"/>
      <c r="Y43" s="811"/>
      <c r="Z43" s="811"/>
      <c r="AA43" s="811"/>
      <c r="AB43" s="811"/>
      <c r="AC43" s="811"/>
      <c r="AD43" s="747"/>
      <c r="AE43" s="747"/>
      <c r="AF43" s="747"/>
      <c r="AG43" s="747"/>
      <c r="AH43" s="747"/>
      <c r="AI43" s="747"/>
      <c r="AJ43" s="747"/>
      <c r="AK43" s="747"/>
      <c r="AL43" s="747"/>
      <c r="AM43" s="747"/>
      <c r="AN43" s="747"/>
      <c r="AO43" s="747"/>
      <c r="AP43" s="747"/>
      <c r="AQ43" s="747"/>
      <c r="AR43" s="747"/>
      <c r="AS43" s="747"/>
      <c r="AT43" s="747"/>
      <c r="AU43" s="747"/>
      <c r="AV43" s="747"/>
      <c r="AW43" s="747"/>
      <c r="AX43" s="747"/>
      <c r="AY43" s="747"/>
      <c r="AZ43" s="747"/>
      <c r="BA43" s="747"/>
      <c r="BB43" s="747"/>
      <c r="BC43" s="747"/>
      <c r="BD43" s="747"/>
      <c r="BE43" s="747"/>
    </row>
    <row r="44" spans="2:57" x14ac:dyDescent="0.25">
      <c r="B44" s="931" t="s">
        <v>46</v>
      </c>
      <c r="C44" s="932"/>
      <c r="D44" s="932"/>
      <c r="E44" s="932"/>
      <c r="F44" s="932"/>
      <c r="G44" s="932"/>
      <c r="H44" s="932"/>
      <c r="I44" s="932"/>
      <c r="J44" s="933"/>
      <c r="K44" s="625"/>
      <c r="L44" s="626"/>
      <c r="M44" s="626"/>
      <c r="N44" s="626"/>
      <c r="O44" s="626"/>
      <c r="P44" s="626"/>
      <c r="Q44" s="603"/>
      <c r="R44" s="603"/>
      <c r="S44" s="603"/>
      <c r="T44" s="603"/>
      <c r="U44" s="604"/>
      <c r="V44" s="750"/>
      <c r="W44" s="750"/>
      <c r="X44" s="750"/>
      <c r="Y44" s="811"/>
      <c r="Z44" s="811"/>
      <c r="AA44" s="811"/>
      <c r="AB44" s="811"/>
      <c r="AC44" s="811"/>
      <c r="AD44" s="747"/>
      <c r="AE44" s="747"/>
      <c r="AF44" s="747"/>
      <c r="AG44" s="747"/>
      <c r="AH44" s="747"/>
      <c r="AI44" s="747"/>
      <c r="AJ44" s="747"/>
      <c r="AK44" s="747"/>
      <c r="AL44" s="747"/>
      <c r="AM44" s="747"/>
      <c r="AN44" s="747"/>
      <c r="AO44" s="747"/>
      <c r="AP44" s="747"/>
      <c r="AQ44" s="747"/>
      <c r="AR44" s="747"/>
      <c r="AS44" s="747"/>
      <c r="AT44" s="747"/>
      <c r="AU44" s="747"/>
      <c r="AV44" s="747"/>
      <c r="AW44" s="747"/>
      <c r="AX44" s="747"/>
      <c r="AY44" s="747"/>
      <c r="AZ44" s="747"/>
      <c r="BA44" s="747"/>
      <c r="BB44" s="747"/>
      <c r="BC44" s="747"/>
      <c r="BD44" s="747"/>
      <c r="BE44" s="747"/>
    </row>
    <row r="45" spans="2:57" x14ac:dyDescent="0.25">
      <c r="B45" s="322" t="s">
        <v>157</v>
      </c>
      <c r="C45" s="325" t="s">
        <v>158</v>
      </c>
      <c r="D45" s="323" t="s">
        <v>48</v>
      </c>
      <c r="E45" s="323" t="s">
        <v>159</v>
      </c>
      <c r="F45" s="323" t="s">
        <v>160</v>
      </c>
      <c r="G45" s="348">
        <v>552</v>
      </c>
      <c r="H45" s="383">
        <v>490</v>
      </c>
      <c r="I45" s="385">
        <f>H45*0.4075</f>
        <v>199.67499999999998</v>
      </c>
      <c r="J45" s="441">
        <v>5</v>
      </c>
      <c r="K45" s="607">
        <f>ROUND(H45*(1+'29_01_H_2020'!$F$14),2)</f>
        <v>539</v>
      </c>
      <c r="L45" s="608">
        <f t="shared" ref="L45" si="32">IF(K45&lt;=G45,K45,G45)</f>
        <v>539</v>
      </c>
      <c r="M45" s="608">
        <f t="shared" ref="M45" si="33">L45-H45</f>
        <v>49</v>
      </c>
      <c r="N45" s="608">
        <f t="shared" ref="N45" si="34">K45-L45</f>
        <v>0</v>
      </c>
      <c r="O45" s="608">
        <f t="shared" ref="O45" si="35">ROUND(I45/H45*L45-I45,2)</f>
        <v>19.97</v>
      </c>
      <c r="P45" s="608">
        <f t="shared" ref="P45" si="36">ROUND(I45/H45*K45-I45-O45,2)</f>
        <v>0</v>
      </c>
      <c r="Q45" s="609">
        <f t="shared" ref="Q45:Q46" si="37">M45+N45+O45+P45</f>
        <v>68.97</v>
      </c>
      <c r="R45" s="609">
        <f>Q45*J45</f>
        <v>344.85</v>
      </c>
      <c r="S45" s="609">
        <f t="shared" ref="S45:S47" si="38">R45*12</f>
        <v>4138.2000000000007</v>
      </c>
      <c r="T45" s="609">
        <f t="shared" ref="T45:T47" si="39">ROUND(S45*0.2409,2)</f>
        <v>996.89</v>
      </c>
      <c r="U45" s="610">
        <f t="shared" ref="U45" si="40">SUM(S45:T45)</f>
        <v>5135.0900000000011</v>
      </c>
      <c r="V45" s="750"/>
      <c r="W45" s="750"/>
      <c r="X45" s="750"/>
      <c r="Y45" s="811"/>
      <c r="Z45" s="811"/>
      <c r="AA45" s="811"/>
      <c r="AB45" s="811"/>
      <c r="AC45" s="811"/>
      <c r="AD45" s="747"/>
      <c r="AE45" s="807"/>
      <c r="AF45" s="807"/>
      <c r="AG45" s="807"/>
      <c r="AH45" s="807"/>
      <c r="AI45" s="807"/>
      <c r="AJ45" s="807"/>
      <c r="AK45" s="807"/>
      <c r="AL45" s="807"/>
      <c r="AM45" s="807"/>
      <c r="AN45" s="807"/>
      <c r="AO45" s="808"/>
      <c r="AP45" s="747"/>
      <c r="AQ45" s="747"/>
      <c r="AR45" s="807"/>
      <c r="AS45" s="807"/>
      <c r="AT45" s="807"/>
      <c r="AU45" s="807"/>
      <c r="AV45" s="807"/>
      <c r="AW45" s="807"/>
      <c r="AX45" s="807"/>
      <c r="AY45" s="807"/>
      <c r="AZ45" s="807"/>
      <c r="BA45" s="807"/>
      <c r="BB45" s="808"/>
      <c r="BC45" s="747"/>
      <c r="BD45" s="747"/>
      <c r="BE45" s="747"/>
    </row>
    <row r="46" spans="2:57" ht="15" customHeight="1" x14ac:dyDescent="0.25">
      <c r="B46" s="322" t="s">
        <v>157</v>
      </c>
      <c r="C46" s="325" t="s">
        <v>158</v>
      </c>
      <c r="D46" s="323" t="s">
        <v>48</v>
      </c>
      <c r="E46" s="323" t="s">
        <v>159</v>
      </c>
      <c r="F46" s="323" t="s">
        <v>161</v>
      </c>
      <c r="G46" s="348">
        <v>680</v>
      </c>
      <c r="H46" s="383">
        <v>500</v>
      </c>
      <c r="I46" s="385">
        <f>H46*0.4075</f>
        <v>203.75</v>
      </c>
      <c r="J46" s="441">
        <v>16.75</v>
      </c>
      <c r="K46" s="607">
        <f>ROUND(H46*(1+'29_01_H_2020'!$F$14),2)</f>
        <v>550</v>
      </c>
      <c r="L46" s="608">
        <f t="shared" ref="L46:L47" si="41">IF(K46&lt;=G46,K46,G46)</f>
        <v>550</v>
      </c>
      <c r="M46" s="608">
        <f t="shared" ref="M46" si="42">L46-H46</f>
        <v>50</v>
      </c>
      <c r="N46" s="608">
        <f t="shared" ref="N46:N47" si="43">K46-L46</f>
        <v>0</v>
      </c>
      <c r="O46" s="608">
        <f t="shared" ref="O46:O47" si="44">ROUND(I46/H46*L46-I46,2)</f>
        <v>20.38</v>
      </c>
      <c r="P46" s="608">
        <f>ROUND(I46/H46*K46-I46-O46,2)+0.01</f>
        <v>0</v>
      </c>
      <c r="Q46" s="609">
        <f t="shared" si="37"/>
        <v>70.38</v>
      </c>
      <c r="R46" s="609">
        <f>Q46*J46</f>
        <v>1178.865</v>
      </c>
      <c r="S46" s="609">
        <f t="shared" si="38"/>
        <v>14146.380000000001</v>
      </c>
      <c r="T46" s="609">
        <f t="shared" si="39"/>
        <v>3407.86</v>
      </c>
      <c r="U46" s="610">
        <f t="shared" ref="U46:U47" si="45">SUM(S46:T46)</f>
        <v>17554.240000000002</v>
      </c>
      <c r="V46" s="750"/>
      <c r="W46" s="750"/>
      <c r="X46" s="807"/>
      <c r="Y46" s="811"/>
      <c r="Z46" s="811"/>
      <c r="AA46" s="811"/>
      <c r="AB46" s="811"/>
      <c r="AC46" s="811"/>
      <c r="AD46" s="747"/>
      <c r="AE46" s="807"/>
      <c r="AF46" s="807"/>
      <c r="AG46" s="807"/>
      <c r="AH46" s="807"/>
      <c r="AI46" s="807"/>
      <c r="AJ46" s="807"/>
      <c r="AK46" s="807"/>
      <c r="AL46" s="807"/>
      <c r="AM46" s="807"/>
      <c r="AN46" s="807"/>
      <c r="AO46" s="808"/>
      <c r="AP46" s="747"/>
      <c r="AQ46" s="747"/>
      <c r="AR46" s="807"/>
      <c r="AS46" s="807"/>
      <c r="AT46" s="807"/>
      <c r="AU46" s="807"/>
      <c r="AV46" s="807"/>
      <c r="AW46" s="807"/>
      <c r="AX46" s="807"/>
      <c r="AY46" s="807"/>
      <c r="AZ46" s="807"/>
      <c r="BA46" s="807"/>
      <c r="BB46" s="808"/>
      <c r="BC46" s="747"/>
      <c r="BD46" s="747"/>
      <c r="BE46" s="747"/>
    </row>
    <row r="47" spans="2:57" ht="15" customHeight="1" x14ac:dyDescent="0.25">
      <c r="B47" s="322" t="s">
        <v>157</v>
      </c>
      <c r="C47" s="325" t="s">
        <v>158</v>
      </c>
      <c r="D47" s="323" t="s">
        <v>48</v>
      </c>
      <c r="E47" s="323" t="s">
        <v>159</v>
      </c>
      <c r="F47" s="323" t="s">
        <v>69</v>
      </c>
      <c r="G47" s="348">
        <v>802</v>
      </c>
      <c r="H47" s="383">
        <v>510</v>
      </c>
      <c r="I47" s="385">
        <f>H47*0.4075</f>
        <v>207.82499999999999</v>
      </c>
      <c r="J47" s="441">
        <v>63.75</v>
      </c>
      <c r="K47" s="607">
        <f>ROUND(H47*(1+'29_01_H_2020'!$F$14),2)</f>
        <v>561</v>
      </c>
      <c r="L47" s="608">
        <f t="shared" si="41"/>
        <v>561</v>
      </c>
      <c r="M47" s="608">
        <f>(L47-H47)+0.01</f>
        <v>51.01</v>
      </c>
      <c r="N47" s="608">
        <f t="shared" si="43"/>
        <v>0</v>
      </c>
      <c r="O47" s="608">
        <f t="shared" si="44"/>
        <v>20.78</v>
      </c>
      <c r="P47" s="608">
        <f t="shared" ref="P47" si="46">ROUND(I47/H47*K47-I47-O47,2)</f>
        <v>0</v>
      </c>
      <c r="Q47" s="609">
        <f>M47+N47+O47+P47</f>
        <v>71.789999999999992</v>
      </c>
      <c r="R47" s="609">
        <f>Q47*J47</f>
        <v>4576.6124999999993</v>
      </c>
      <c r="S47" s="609">
        <f t="shared" si="38"/>
        <v>54919.349999999991</v>
      </c>
      <c r="T47" s="609">
        <f t="shared" si="39"/>
        <v>13230.07</v>
      </c>
      <c r="U47" s="610">
        <f t="shared" si="45"/>
        <v>68149.419999999984</v>
      </c>
      <c r="V47" s="750"/>
      <c r="W47" s="750"/>
      <c r="X47" s="807"/>
      <c r="Y47" s="811"/>
      <c r="Z47" s="811"/>
      <c r="AA47" s="811"/>
      <c r="AB47" s="811"/>
      <c r="AC47" s="811"/>
      <c r="AD47" s="747"/>
      <c r="AE47" s="807"/>
      <c r="AF47" s="807"/>
      <c r="AG47" s="807"/>
      <c r="AH47" s="807"/>
      <c r="AI47" s="807"/>
      <c r="AJ47" s="807"/>
      <c r="AK47" s="807"/>
      <c r="AL47" s="807"/>
      <c r="AM47" s="807"/>
      <c r="AN47" s="807"/>
      <c r="AO47" s="808"/>
      <c r="AP47" s="747"/>
      <c r="AQ47" s="747"/>
      <c r="AR47" s="807"/>
      <c r="AS47" s="807"/>
      <c r="AT47" s="807"/>
      <c r="AU47" s="807"/>
      <c r="AV47" s="807"/>
      <c r="AW47" s="807"/>
      <c r="AX47" s="807"/>
      <c r="AY47" s="807"/>
      <c r="AZ47" s="807"/>
      <c r="BA47" s="807"/>
      <c r="BB47" s="808"/>
      <c r="BC47" s="747"/>
      <c r="BD47" s="747"/>
      <c r="BE47" s="747"/>
    </row>
    <row r="48" spans="2:57" ht="15" customHeight="1" thickBot="1" x14ac:dyDescent="0.3">
      <c r="B48" s="617" t="s">
        <v>55</v>
      </c>
      <c r="C48" s="618" t="s">
        <v>52</v>
      </c>
      <c r="D48" s="619" t="s">
        <v>52</v>
      </c>
      <c r="E48" s="619" t="s">
        <v>52</v>
      </c>
      <c r="F48" s="619" t="s">
        <v>52</v>
      </c>
      <c r="G48" s="620" t="s">
        <v>52</v>
      </c>
      <c r="H48" s="620" t="s">
        <v>52</v>
      </c>
      <c r="I48" s="620" t="s">
        <v>52</v>
      </c>
      <c r="J48" s="375">
        <f>SUM(J45:J47)</f>
        <v>85.5</v>
      </c>
      <c r="K48" s="629"/>
      <c r="L48" s="630"/>
      <c r="M48" s="630"/>
      <c r="N48" s="630"/>
      <c r="O48" s="630"/>
      <c r="P48" s="630"/>
      <c r="Q48" s="631"/>
      <c r="R48" s="631"/>
      <c r="S48" s="631"/>
      <c r="T48" s="631"/>
      <c r="U48" s="632"/>
      <c r="V48" s="750"/>
      <c r="W48" s="750"/>
      <c r="X48" s="750"/>
      <c r="Y48" s="811"/>
      <c r="Z48" s="811"/>
      <c r="AA48" s="811"/>
      <c r="AB48" s="811"/>
      <c r="AC48" s="811"/>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row>
    <row r="49" spans="2:60" ht="15.75" thickBot="1" x14ac:dyDescent="0.3">
      <c r="B49" s="812" t="s">
        <v>57</v>
      </c>
      <c r="C49" s="813"/>
      <c r="D49" s="813"/>
      <c r="E49" s="813"/>
      <c r="F49" s="813"/>
      <c r="G49" s="813"/>
      <c r="H49" s="813"/>
      <c r="I49" s="813"/>
      <c r="J49" s="422">
        <f>SUM(J27,J43,J48)</f>
        <v>121</v>
      </c>
      <c r="K49" s="423"/>
      <c r="L49" s="578"/>
      <c r="M49" s="578"/>
      <c r="N49" s="578"/>
      <c r="O49" s="578"/>
      <c r="P49" s="578"/>
      <c r="Q49" s="424"/>
      <c r="R49" s="424"/>
      <c r="S49" s="424"/>
      <c r="T49" s="814"/>
      <c r="U49" s="815">
        <f>SUM(U8:U26,U29:U42,U45:U47)</f>
        <v>183362.44999999998</v>
      </c>
      <c r="V49" s="816"/>
      <c r="W49" s="747"/>
      <c r="X49" s="750"/>
      <c r="Y49" s="811"/>
      <c r="Z49" s="811"/>
      <c r="AA49" s="811"/>
      <c r="AB49" s="811"/>
      <c r="AC49" s="811"/>
      <c r="AD49" s="747"/>
      <c r="AE49" s="747"/>
      <c r="AF49" s="747"/>
      <c r="AG49" s="747"/>
      <c r="AH49" s="747"/>
      <c r="AI49" s="747"/>
      <c r="AJ49" s="747"/>
      <c r="AK49" s="747"/>
      <c r="AL49" s="748"/>
      <c r="AM49" s="748"/>
      <c r="AN49" s="748"/>
      <c r="AO49" s="747"/>
      <c r="AP49" s="747"/>
      <c r="AQ49" s="747"/>
      <c r="AR49" s="747"/>
      <c r="AS49" s="747"/>
      <c r="AT49" s="747"/>
      <c r="AU49" s="747"/>
      <c r="AV49" s="747"/>
      <c r="AW49" s="747"/>
      <c r="AX49" s="747"/>
      <c r="AY49" s="748"/>
      <c r="AZ49" s="748"/>
      <c r="BA49" s="748"/>
      <c r="BB49" s="747"/>
      <c r="BC49" s="747"/>
      <c r="BD49" s="747"/>
      <c r="BE49" s="747"/>
    </row>
    <row r="50" spans="2:60" ht="8.1" customHeight="1" thickBot="1" x14ac:dyDescent="0.3">
      <c r="B50" s="817"/>
      <c r="C50" s="589"/>
      <c r="D50" s="589"/>
      <c r="E50" s="589"/>
      <c r="F50" s="589"/>
      <c r="G50" s="589"/>
      <c r="H50" s="589"/>
      <c r="I50" s="589"/>
      <c r="J50" s="589"/>
      <c r="V50" s="750"/>
      <c r="W50" s="750"/>
      <c r="X50" s="750"/>
      <c r="Y50" s="811"/>
      <c r="Z50" s="811"/>
      <c r="AA50" s="811"/>
      <c r="AB50" s="811"/>
      <c r="AC50" s="811"/>
      <c r="AD50" s="747"/>
      <c r="AE50" s="747"/>
      <c r="AF50" s="747"/>
      <c r="AG50" s="747"/>
      <c r="AH50" s="747"/>
      <c r="AI50" s="747"/>
      <c r="AJ50" s="747"/>
      <c r="AK50" s="747"/>
      <c r="AL50" s="747"/>
      <c r="AM50" s="747"/>
      <c r="AN50" s="747"/>
      <c r="AO50" s="747"/>
      <c r="AP50" s="747"/>
      <c r="AQ50" s="747"/>
      <c r="AR50" s="747"/>
      <c r="AS50" s="747"/>
      <c r="AT50" s="747"/>
      <c r="AU50" s="747"/>
      <c r="AV50" s="747"/>
      <c r="AW50" s="747"/>
      <c r="AX50" s="747"/>
      <c r="AY50" s="747"/>
      <c r="AZ50" s="747"/>
      <c r="BA50" s="747"/>
      <c r="BB50" s="747"/>
      <c r="BC50" s="747"/>
      <c r="BD50" s="747"/>
      <c r="BE50" s="747"/>
    </row>
    <row r="51" spans="2:60" x14ac:dyDescent="0.25">
      <c r="B51" s="976" t="s">
        <v>56</v>
      </c>
      <c r="C51" s="977"/>
      <c r="D51" s="977"/>
      <c r="E51" s="977"/>
      <c r="F51" s="977"/>
      <c r="G51" s="977"/>
      <c r="H51" s="977"/>
      <c r="I51" s="977"/>
      <c r="J51" s="977"/>
      <c r="K51" s="818"/>
      <c r="L51" s="819"/>
      <c r="M51" s="819"/>
      <c r="N51" s="819"/>
      <c r="O51" s="819"/>
      <c r="P51" s="819"/>
      <c r="Q51" s="820"/>
      <c r="R51" s="820"/>
      <c r="S51" s="820"/>
      <c r="T51" s="820"/>
      <c r="U51" s="821"/>
      <c r="V51" s="750"/>
      <c r="W51" s="750"/>
      <c r="X51" s="750"/>
      <c r="Y51" s="811"/>
      <c r="Z51" s="811"/>
      <c r="AA51" s="811"/>
      <c r="AB51" s="811"/>
      <c r="AC51" s="811"/>
      <c r="AD51" s="747"/>
      <c r="AE51" s="747"/>
      <c r="AF51" s="747"/>
      <c r="AG51" s="747"/>
      <c r="AH51" s="747"/>
      <c r="AI51" s="747"/>
      <c r="AJ51" s="747"/>
      <c r="AK51" s="747"/>
      <c r="AL51" s="747"/>
      <c r="AM51" s="747"/>
      <c r="AN51" s="822"/>
      <c r="AO51" s="747"/>
      <c r="AP51" s="747"/>
      <c r="AQ51" s="747"/>
      <c r="AR51" s="747"/>
      <c r="AS51" s="747"/>
      <c r="AT51" s="747"/>
      <c r="AU51" s="747"/>
      <c r="AV51" s="747"/>
      <c r="AW51" s="747"/>
      <c r="AX51" s="747"/>
      <c r="AY51" s="747"/>
      <c r="AZ51" s="747"/>
      <c r="BA51" s="822"/>
      <c r="BB51" s="747"/>
      <c r="BC51" s="747"/>
      <c r="BD51" s="747"/>
      <c r="BE51" s="747"/>
    </row>
    <row r="52" spans="2:60" x14ac:dyDescent="0.25">
      <c r="B52" s="974" t="s">
        <v>9</v>
      </c>
      <c r="C52" s="975"/>
      <c r="D52" s="975"/>
      <c r="E52" s="975"/>
      <c r="F52" s="975"/>
      <c r="G52" s="975"/>
      <c r="H52" s="975"/>
      <c r="I52" s="975"/>
      <c r="J52" s="975"/>
      <c r="K52" s="666"/>
      <c r="L52" s="667"/>
      <c r="M52" s="667"/>
      <c r="N52" s="667"/>
      <c r="O52" s="667"/>
      <c r="P52" s="667"/>
      <c r="Q52" s="668"/>
      <c r="R52" s="668"/>
      <c r="S52" s="668"/>
      <c r="T52" s="668"/>
      <c r="U52" s="669"/>
      <c r="V52" s="750"/>
      <c r="W52" s="750"/>
      <c r="X52" s="750"/>
      <c r="Y52" s="811"/>
      <c r="Z52" s="811"/>
      <c r="AA52" s="811"/>
      <c r="AB52" s="811"/>
      <c r="AC52" s="811"/>
      <c r="AD52" s="581"/>
      <c r="AE52" s="581"/>
      <c r="AF52" s="581"/>
      <c r="AG52" s="581"/>
      <c r="AH52" s="581"/>
      <c r="AI52" s="581"/>
      <c r="AJ52" s="581"/>
      <c r="AK52" s="581"/>
      <c r="AL52" s="581"/>
      <c r="AM52" s="581"/>
      <c r="AN52" s="581"/>
      <c r="AO52" s="581"/>
      <c r="AP52" s="581"/>
      <c r="AQ52" s="581"/>
      <c r="AR52" s="581"/>
      <c r="AS52" s="581"/>
      <c r="AT52" s="581"/>
      <c r="AU52" s="581"/>
      <c r="AV52" s="581"/>
      <c r="AW52" s="581"/>
      <c r="AX52" s="581"/>
      <c r="AY52" s="581"/>
      <c r="AZ52" s="581"/>
      <c r="BA52" s="581"/>
      <c r="BB52" s="581"/>
      <c r="BC52" s="581"/>
      <c r="BD52" s="581"/>
      <c r="BE52" s="581"/>
      <c r="BF52" s="581"/>
      <c r="BG52" s="581"/>
      <c r="BH52" s="581"/>
    </row>
    <row r="53" spans="2:60" x14ac:dyDescent="0.25">
      <c r="B53" s="915" t="s">
        <v>10</v>
      </c>
      <c r="C53" s="916"/>
      <c r="D53" s="916"/>
      <c r="E53" s="916"/>
      <c r="F53" s="916"/>
      <c r="G53" s="916"/>
      <c r="H53" s="916"/>
      <c r="I53" s="916"/>
      <c r="J53" s="916"/>
      <c r="K53" s="625"/>
      <c r="L53" s="626"/>
      <c r="M53" s="626"/>
      <c r="N53" s="626"/>
      <c r="O53" s="626"/>
      <c r="P53" s="626"/>
      <c r="Q53" s="603"/>
      <c r="R53" s="603"/>
      <c r="S53" s="603"/>
      <c r="T53" s="603"/>
      <c r="U53" s="604"/>
      <c r="V53" s="581"/>
      <c r="W53" s="581"/>
      <c r="X53" s="581"/>
      <c r="Y53" s="581"/>
      <c r="Z53" s="581"/>
      <c r="AA53" s="581"/>
      <c r="AB53" s="581"/>
      <c r="AC53" s="581"/>
      <c r="AD53" s="581"/>
      <c r="AE53" s="581"/>
      <c r="AF53" s="581"/>
      <c r="AG53" s="581"/>
      <c r="AH53" s="581"/>
      <c r="AI53" s="581"/>
      <c r="AJ53" s="581"/>
      <c r="AK53" s="581"/>
      <c r="AL53" s="581"/>
      <c r="AM53" s="581"/>
      <c r="AN53" s="581"/>
      <c r="AO53" s="581"/>
      <c r="AP53" s="581"/>
      <c r="AQ53" s="581"/>
      <c r="AR53" s="581"/>
      <c r="AS53" s="581"/>
      <c r="AT53" s="581"/>
      <c r="AU53" s="581"/>
      <c r="AV53" s="581"/>
      <c r="AW53" s="581"/>
      <c r="AX53" s="581"/>
      <c r="AY53" s="581"/>
      <c r="AZ53" s="581"/>
      <c r="BA53" s="581"/>
      <c r="BB53" s="581"/>
      <c r="BC53" s="581"/>
      <c r="BD53" s="581"/>
      <c r="BE53" s="581"/>
      <c r="BF53" s="581"/>
      <c r="BG53" s="581"/>
      <c r="BH53" s="581"/>
    </row>
    <row r="54" spans="2:60" x14ac:dyDescent="0.25">
      <c r="B54" s="156" t="s">
        <v>11</v>
      </c>
      <c r="C54" s="46">
        <v>35</v>
      </c>
      <c r="D54" s="605" t="s">
        <v>12</v>
      </c>
      <c r="E54" s="317">
        <v>13</v>
      </c>
      <c r="F54" s="317">
        <v>3</v>
      </c>
      <c r="G54" s="823">
        <v>1917</v>
      </c>
      <c r="H54" s="605">
        <v>1917</v>
      </c>
      <c r="I54" s="605">
        <v>0</v>
      </c>
      <c r="J54" s="393">
        <v>1</v>
      </c>
      <c r="K54" s="607">
        <f>ROUND(H54*(1+'29_01_H_2020'!$F$14),2)</f>
        <v>2108.6999999999998</v>
      </c>
      <c r="L54" s="608">
        <f t="shared" ref="L54" si="47">IF(K54&lt;=G54,K54,G54)</f>
        <v>1917</v>
      </c>
      <c r="M54" s="608">
        <f t="shared" ref="M54" si="48">L54-H54</f>
        <v>0</v>
      </c>
      <c r="N54" s="608">
        <f t="shared" ref="N54" si="49">K54-L54</f>
        <v>191.69999999999982</v>
      </c>
      <c r="O54" s="608">
        <f t="shared" ref="O54" si="50">ROUND(I54/H54*L54-I54,2)</f>
        <v>0</v>
      </c>
      <c r="P54" s="608">
        <f t="shared" ref="P54" si="51">ROUND(I54/H54*K54-I54-O54,2)</f>
        <v>0</v>
      </c>
      <c r="Q54" s="609">
        <f t="shared" ref="Q54:Q63" si="52">M54+N54+O54+P54</f>
        <v>191.69999999999982</v>
      </c>
      <c r="R54" s="609">
        <f t="shared" ref="R54:R63" si="53">Q54*J54</f>
        <v>191.69999999999982</v>
      </c>
      <c r="S54" s="609">
        <f t="shared" ref="S54:S63" si="54">R54*12</f>
        <v>2300.3999999999978</v>
      </c>
      <c r="T54" s="609">
        <f t="shared" ref="T54:T63" si="55">ROUND(S54*0.2409,2)</f>
        <v>554.16999999999996</v>
      </c>
      <c r="U54" s="610">
        <f t="shared" ref="U54" si="56">SUM(S54:T54)</f>
        <v>2854.5699999999979</v>
      </c>
      <c r="V54" s="611"/>
      <c r="W54" s="611"/>
      <c r="X54" s="611"/>
      <c r="Y54" s="616"/>
      <c r="Z54" s="805"/>
      <c r="AA54" s="806"/>
      <c r="AB54" s="806"/>
      <c r="AC54" s="581"/>
      <c r="AD54" s="581"/>
      <c r="AE54" s="824"/>
      <c r="AF54" s="824"/>
      <c r="AG54" s="824"/>
      <c r="AH54" s="824"/>
      <c r="AI54" s="824"/>
      <c r="AJ54" s="824"/>
      <c r="AK54" s="824"/>
      <c r="AL54" s="824"/>
      <c r="AM54" s="824"/>
      <c r="AN54" s="824"/>
      <c r="AO54" s="616"/>
      <c r="AP54" s="581"/>
      <c r="AQ54" s="581"/>
      <c r="AR54" s="824"/>
      <c r="AS54" s="824"/>
      <c r="AT54" s="824"/>
      <c r="AU54" s="824"/>
      <c r="AV54" s="824"/>
      <c r="AW54" s="824"/>
      <c r="AX54" s="824"/>
      <c r="AY54" s="824"/>
      <c r="AZ54" s="824"/>
      <c r="BA54" s="824"/>
      <c r="BB54" s="616"/>
      <c r="BC54" s="581"/>
      <c r="BD54" s="581"/>
      <c r="BE54" s="581"/>
      <c r="BF54" s="581"/>
      <c r="BG54" s="581"/>
      <c r="BH54" s="581"/>
    </row>
    <row r="55" spans="2:60" x14ac:dyDescent="0.25">
      <c r="B55" s="156" t="s">
        <v>13</v>
      </c>
      <c r="C55" s="46">
        <v>35</v>
      </c>
      <c r="D55" s="605" t="s">
        <v>12</v>
      </c>
      <c r="E55" s="317">
        <v>13</v>
      </c>
      <c r="F55" s="317">
        <v>3</v>
      </c>
      <c r="G55" s="823">
        <v>1917</v>
      </c>
      <c r="H55" s="605">
        <v>1917</v>
      </c>
      <c r="I55" s="605">
        <v>0</v>
      </c>
      <c r="J55" s="393">
        <v>1</v>
      </c>
      <c r="K55" s="607">
        <f>ROUND(H55*(1+'29_01_H_2020'!$F$14),2)</f>
        <v>2108.6999999999998</v>
      </c>
      <c r="L55" s="608">
        <f t="shared" ref="L55:L63" si="57">IF(K55&lt;=G55,K55,G55)</f>
        <v>1917</v>
      </c>
      <c r="M55" s="608">
        <f t="shared" ref="M55:M63" si="58">L55-H55</f>
        <v>0</v>
      </c>
      <c r="N55" s="608">
        <f t="shared" ref="N55:N63" si="59">K55-L55</f>
        <v>191.69999999999982</v>
      </c>
      <c r="O55" s="608">
        <f t="shared" ref="O55:O63" si="60">ROUND(I55/H55*L55-I55,2)</f>
        <v>0</v>
      </c>
      <c r="P55" s="608">
        <f t="shared" ref="P55:P63" si="61">ROUND(I55/H55*K55-I55-O55,2)</f>
        <v>0</v>
      </c>
      <c r="Q55" s="609">
        <f t="shared" si="52"/>
        <v>191.69999999999982</v>
      </c>
      <c r="R55" s="609">
        <f t="shared" si="53"/>
        <v>191.69999999999982</v>
      </c>
      <c r="S55" s="609">
        <f t="shared" si="54"/>
        <v>2300.3999999999978</v>
      </c>
      <c r="T55" s="609">
        <f t="shared" si="55"/>
        <v>554.16999999999996</v>
      </c>
      <c r="U55" s="610">
        <f t="shared" ref="U55:U63" si="62">SUM(S55:T55)</f>
        <v>2854.5699999999979</v>
      </c>
      <c r="V55" s="611"/>
      <c r="W55" s="611"/>
      <c r="X55" s="611"/>
      <c r="Y55" s="616"/>
      <c r="Z55" s="805"/>
      <c r="AA55" s="806"/>
      <c r="AB55" s="806"/>
      <c r="AC55" s="581"/>
      <c r="AD55" s="581"/>
      <c r="AE55" s="824"/>
      <c r="AF55" s="824"/>
      <c r="AG55" s="824"/>
      <c r="AH55" s="824"/>
      <c r="AI55" s="824"/>
      <c r="AJ55" s="824"/>
      <c r="AK55" s="824"/>
      <c r="AL55" s="824"/>
      <c r="AM55" s="824"/>
      <c r="AN55" s="824"/>
      <c r="AO55" s="616"/>
      <c r="AP55" s="581"/>
      <c r="AQ55" s="581"/>
      <c r="AR55" s="824"/>
      <c r="AS55" s="824"/>
      <c r="AT55" s="824"/>
      <c r="AU55" s="824"/>
      <c r="AV55" s="824"/>
      <c r="AW55" s="824"/>
      <c r="AX55" s="824"/>
      <c r="AY55" s="824"/>
      <c r="AZ55" s="824"/>
      <c r="BA55" s="824"/>
      <c r="BB55" s="616"/>
      <c r="BC55" s="581"/>
      <c r="BD55" s="581"/>
      <c r="BE55" s="581"/>
      <c r="BF55" s="581"/>
      <c r="BG55" s="581"/>
      <c r="BH55" s="581"/>
    </row>
    <row r="56" spans="2:60" x14ac:dyDescent="0.25">
      <c r="B56" s="57" t="s">
        <v>14</v>
      </c>
      <c r="C56" s="46" t="s">
        <v>15</v>
      </c>
      <c r="D56" s="605" t="s">
        <v>16</v>
      </c>
      <c r="E56" s="317">
        <v>12</v>
      </c>
      <c r="F56" s="317">
        <v>3</v>
      </c>
      <c r="G56" s="823">
        <v>1647</v>
      </c>
      <c r="H56" s="605">
        <v>1647</v>
      </c>
      <c r="I56" s="605">
        <v>0</v>
      </c>
      <c r="J56" s="393">
        <v>3</v>
      </c>
      <c r="K56" s="607">
        <f>ROUND(H56*(1+'29_01_H_2020'!$F$14),2)</f>
        <v>1811.7</v>
      </c>
      <c r="L56" s="608">
        <f t="shared" si="57"/>
        <v>1647</v>
      </c>
      <c r="M56" s="608">
        <f t="shared" si="58"/>
        <v>0</v>
      </c>
      <c r="N56" s="608">
        <f t="shared" si="59"/>
        <v>164.70000000000005</v>
      </c>
      <c r="O56" s="608">
        <f t="shared" si="60"/>
        <v>0</v>
      </c>
      <c r="P56" s="608">
        <f t="shared" si="61"/>
        <v>0</v>
      </c>
      <c r="Q56" s="609">
        <f t="shared" si="52"/>
        <v>164.70000000000005</v>
      </c>
      <c r="R56" s="609">
        <f t="shared" si="53"/>
        <v>494.10000000000014</v>
      </c>
      <c r="S56" s="609">
        <f t="shared" si="54"/>
        <v>5929.2000000000016</v>
      </c>
      <c r="T56" s="609">
        <f t="shared" si="55"/>
        <v>1428.34</v>
      </c>
      <c r="U56" s="610">
        <f t="shared" si="62"/>
        <v>7357.5400000000018</v>
      </c>
      <c r="V56" s="611"/>
      <c r="W56" s="611"/>
      <c r="X56" s="611"/>
      <c r="Y56" s="616"/>
      <c r="Z56" s="805"/>
      <c r="AA56" s="806"/>
      <c r="AB56" s="806"/>
      <c r="AC56" s="581"/>
      <c r="AD56" s="581"/>
      <c r="AE56" s="824"/>
      <c r="AF56" s="824"/>
      <c r="AG56" s="824"/>
      <c r="AH56" s="824"/>
      <c r="AI56" s="824"/>
      <c r="AJ56" s="824"/>
      <c r="AK56" s="824"/>
      <c r="AL56" s="824"/>
      <c r="AM56" s="824"/>
      <c r="AN56" s="824"/>
      <c r="AO56" s="616"/>
      <c r="AP56" s="581"/>
      <c r="AQ56" s="581"/>
      <c r="AR56" s="824"/>
      <c r="AS56" s="824"/>
      <c r="AT56" s="824"/>
      <c r="AU56" s="824"/>
      <c r="AV56" s="824"/>
      <c r="AW56" s="824"/>
      <c r="AX56" s="824"/>
      <c r="AY56" s="824"/>
      <c r="AZ56" s="824"/>
      <c r="BA56" s="824"/>
      <c r="BB56" s="616"/>
      <c r="BC56" s="581"/>
      <c r="BD56" s="581"/>
      <c r="BE56" s="581"/>
      <c r="BF56" s="581"/>
      <c r="BG56" s="581"/>
      <c r="BH56" s="581"/>
    </row>
    <row r="57" spans="2:60" x14ac:dyDescent="0.25">
      <c r="B57" s="57" t="s">
        <v>17</v>
      </c>
      <c r="C57" s="46">
        <v>10</v>
      </c>
      <c r="D57" s="605" t="s">
        <v>18</v>
      </c>
      <c r="E57" s="317">
        <v>12</v>
      </c>
      <c r="F57" s="317">
        <v>3</v>
      </c>
      <c r="G57" s="823">
        <v>1647</v>
      </c>
      <c r="H57" s="605">
        <v>1647</v>
      </c>
      <c r="I57" s="605">
        <v>0</v>
      </c>
      <c r="J57" s="393">
        <v>1</v>
      </c>
      <c r="K57" s="607">
        <f>ROUND(H57*(1+'29_01_H_2020'!$F$14),2)</f>
        <v>1811.7</v>
      </c>
      <c r="L57" s="608">
        <f t="shared" si="57"/>
        <v>1647</v>
      </c>
      <c r="M57" s="608">
        <f t="shared" si="58"/>
        <v>0</v>
      </c>
      <c r="N57" s="608">
        <f t="shared" si="59"/>
        <v>164.70000000000005</v>
      </c>
      <c r="O57" s="608">
        <f t="shared" si="60"/>
        <v>0</v>
      </c>
      <c r="P57" s="608">
        <f t="shared" si="61"/>
        <v>0</v>
      </c>
      <c r="Q57" s="609">
        <f t="shared" si="52"/>
        <v>164.70000000000005</v>
      </c>
      <c r="R57" s="609">
        <f t="shared" si="53"/>
        <v>164.70000000000005</v>
      </c>
      <c r="S57" s="609">
        <f t="shared" si="54"/>
        <v>1976.4000000000005</v>
      </c>
      <c r="T57" s="609">
        <f t="shared" si="55"/>
        <v>476.11</v>
      </c>
      <c r="U57" s="610">
        <f t="shared" si="62"/>
        <v>2452.5100000000007</v>
      </c>
      <c r="V57" s="611"/>
      <c r="W57" s="611"/>
      <c r="X57" s="611"/>
      <c r="Y57" s="616"/>
      <c r="Z57" s="805"/>
      <c r="AA57" s="806"/>
      <c r="AB57" s="806"/>
      <c r="AC57" s="581"/>
      <c r="AD57" s="581"/>
      <c r="AE57" s="824"/>
      <c r="AF57" s="824"/>
      <c r="AG57" s="824"/>
      <c r="AH57" s="824"/>
      <c r="AI57" s="824"/>
      <c r="AJ57" s="824"/>
      <c r="AK57" s="824"/>
      <c r="AL57" s="824"/>
      <c r="AM57" s="824"/>
      <c r="AN57" s="824"/>
      <c r="AO57" s="616"/>
      <c r="AP57" s="581"/>
      <c r="AQ57" s="581"/>
      <c r="AR57" s="824"/>
      <c r="AS57" s="824"/>
      <c r="AT57" s="824"/>
      <c r="AU57" s="824"/>
      <c r="AV57" s="824"/>
      <c r="AW57" s="824"/>
      <c r="AX57" s="824"/>
      <c r="AY57" s="824"/>
      <c r="AZ57" s="824"/>
      <c r="BA57" s="824"/>
      <c r="BB57" s="616"/>
      <c r="BC57" s="581"/>
      <c r="BD57" s="581"/>
      <c r="BE57" s="581"/>
      <c r="BF57" s="581"/>
      <c r="BG57" s="581"/>
      <c r="BH57" s="581"/>
    </row>
    <row r="58" spans="2:60" x14ac:dyDescent="0.25">
      <c r="B58" s="57" t="s">
        <v>17</v>
      </c>
      <c r="C58" s="46">
        <v>10</v>
      </c>
      <c r="D58" s="605" t="s">
        <v>18</v>
      </c>
      <c r="E58" s="317">
        <v>12</v>
      </c>
      <c r="F58" s="317">
        <v>3</v>
      </c>
      <c r="G58" s="823">
        <v>1647</v>
      </c>
      <c r="H58" s="605">
        <v>1600</v>
      </c>
      <c r="I58" s="605">
        <v>0</v>
      </c>
      <c r="J58" s="393">
        <v>1</v>
      </c>
      <c r="K58" s="607">
        <f>ROUND(H58*(1+'29_01_H_2020'!$F$14),2)</f>
        <v>1760</v>
      </c>
      <c r="L58" s="608">
        <f t="shared" si="57"/>
        <v>1647</v>
      </c>
      <c r="M58" s="608">
        <f t="shared" si="58"/>
        <v>47</v>
      </c>
      <c r="N58" s="608">
        <f t="shared" si="59"/>
        <v>113</v>
      </c>
      <c r="O58" s="608">
        <f t="shared" si="60"/>
        <v>0</v>
      </c>
      <c r="P58" s="608">
        <f t="shared" si="61"/>
        <v>0</v>
      </c>
      <c r="Q58" s="609">
        <f t="shared" si="52"/>
        <v>160</v>
      </c>
      <c r="R58" s="609">
        <f t="shared" si="53"/>
        <v>160</v>
      </c>
      <c r="S58" s="609">
        <f t="shared" si="54"/>
        <v>1920</v>
      </c>
      <c r="T58" s="609">
        <f t="shared" si="55"/>
        <v>462.53</v>
      </c>
      <c r="U58" s="610">
        <f t="shared" si="62"/>
        <v>2382.5299999999997</v>
      </c>
      <c r="V58" s="611"/>
      <c r="W58" s="611"/>
      <c r="X58" s="611"/>
      <c r="Y58" s="616"/>
      <c r="Z58" s="805"/>
      <c r="AA58" s="806"/>
      <c r="AB58" s="806"/>
      <c r="AC58" s="581"/>
      <c r="AD58" s="581"/>
      <c r="AE58" s="824"/>
      <c r="AF58" s="824"/>
      <c r="AG58" s="824"/>
      <c r="AH58" s="824"/>
      <c r="AI58" s="824"/>
      <c r="AJ58" s="824"/>
      <c r="AK58" s="824"/>
      <c r="AL58" s="824"/>
      <c r="AM58" s="824"/>
      <c r="AN58" s="824"/>
      <c r="AO58" s="616"/>
      <c r="AP58" s="581"/>
      <c r="AQ58" s="581"/>
      <c r="AR58" s="824"/>
      <c r="AS58" s="824"/>
      <c r="AT58" s="824"/>
      <c r="AU58" s="824"/>
      <c r="AV58" s="824"/>
      <c r="AW58" s="824"/>
      <c r="AX58" s="824"/>
      <c r="AY58" s="824"/>
      <c r="AZ58" s="824"/>
      <c r="BA58" s="824"/>
      <c r="BB58" s="616"/>
      <c r="BC58" s="581"/>
      <c r="BD58" s="581"/>
      <c r="BE58" s="581"/>
      <c r="BF58" s="581"/>
      <c r="BG58" s="581"/>
      <c r="BH58" s="581"/>
    </row>
    <row r="59" spans="2:60" x14ac:dyDescent="0.25">
      <c r="B59" s="156" t="s">
        <v>19</v>
      </c>
      <c r="C59" s="46">
        <v>35</v>
      </c>
      <c r="D59" s="605" t="s">
        <v>20</v>
      </c>
      <c r="E59" s="317">
        <v>11</v>
      </c>
      <c r="F59" s="317">
        <v>3</v>
      </c>
      <c r="G59" s="823">
        <v>1382</v>
      </c>
      <c r="H59" s="605">
        <v>1382</v>
      </c>
      <c r="I59" s="605">
        <v>0</v>
      </c>
      <c r="J59" s="393">
        <v>1</v>
      </c>
      <c r="K59" s="607">
        <f>ROUND(H59*(1+'29_01_H_2020'!$F$14),2)</f>
        <v>1520.2</v>
      </c>
      <c r="L59" s="608">
        <f t="shared" si="57"/>
        <v>1382</v>
      </c>
      <c r="M59" s="608">
        <f t="shared" si="58"/>
        <v>0</v>
      </c>
      <c r="N59" s="608">
        <f t="shared" si="59"/>
        <v>138.20000000000005</v>
      </c>
      <c r="O59" s="608">
        <f t="shared" si="60"/>
        <v>0</v>
      </c>
      <c r="P59" s="608">
        <f t="shared" si="61"/>
        <v>0</v>
      </c>
      <c r="Q59" s="609">
        <f t="shared" si="52"/>
        <v>138.20000000000005</v>
      </c>
      <c r="R59" s="609">
        <f t="shared" si="53"/>
        <v>138.20000000000005</v>
      </c>
      <c r="S59" s="609">
        <f t="shared" si="54"/>
        <v>1658.4000000000005</v>
      </c>
      <c r="T59" s="609">
        <f t="shared" si="55"/>
        <v>399.51</v>
      </c>
      <c r="U59" s="610">
        <f t="shared" si="62"/>
        <v>2057.9100000000008</v>
      </c>
      <c r="V59" s="611"/>
      <c r="W59" s="611"/>
      <c r="X59" s="611"/>
      <c r="Y59" s="616"/>
      <c r="Z59" s="805"/>
      <c r="AA59" s="806"/>
      <c r="AB59" s="806"/>
      <c r="AC59" s="581"/>
      <c r="AD59" s="581"/>
      <c r="AE59" s="824"/>
      <c r="AF59" s="824"/>
      <c r="AG59" s="824"/>
      <c r="AH59" s="824"/>
      <c r="AI59" s="824"/>
      <c r="AJ59" s="824"/>
      <c r="AK59" s="824"/>
      <c r="AL59" s="824"/>
      <c r="AM59" s="824"/>
      <c r="AN59" s="824"/>
      <c r="AO59" s="616"/>
      <c r="AP59" s="581"/>
      <c r="AQ59" s="581"/>
      <c r="AR59" s="824"/>
      <c r="AS59" s="824"/>
      <c r="AT59" s="824"/>
      <c r="AU59" s="824"/>
      <c r="AV59" s="824"/>
      <c r="AW59" s="824"/>
      <c r="AX59" s="824"/>
      <c r="AY59" s="824"/>
      <c r="AZ59" s="824"/>
      <c r="BA59" s="824"/>
      <c r="BB59" s="616"/>
      <c r="BC59" s="581"/>
      <c r="BD59" s="581"/>
      <c r="BE59" s="581"/>
      <c r="BF59" s="581"/>
      <c r="BG59" s="581"/>
      <c r="BH59" s="581"/>
    </row>
    <row r="60" spans="2:60" x14ac:dyDescent="0.25">
      <c r="B60" s="57" t="s">
        <v>21</v>
      </c>
      <c r="C60" s="46" t="s">
        <v>22</v>
      </c>
      <c r="D60" s="605" t="s">
        <v>12</v>
      </c>
      <c r="E60" s="317">
        <v>11</v>
      </c>
      <c r="F60" s="317">
        <v>3</v>
      </c>
      <c r="G60" s="823">
        <v>1382</v>
      </c>
      <c r="H60" s="605">
        <v>1382</v>
      </c>
      <c r="I60" s="605">
        <v>0</v>
      </c>
      <c r="J60" s="393">
        <v>1</v>
      </c>
      <c r="K60" s="607">
        <f>ROUND(H60*(1+'29_01_H_2020'!$F$14),2)</f>
        <v>1520.2</v>
      </c>
      <c r="L60" s="608">
        <f t="shared" si="57"/>
        <v>1382</v>
      </c>
      <c r="M60" s="608">
        <f t="shared" si="58"/>
        <v>0</v>
      </c>
      <c r="N60" s="608">
        <f t="shared" si="59"/>
        <v>138.20000000000005</v>
      </c>
      <c r="O60" s="608">
        <f t="shared" si="60"/>
        <v>0</v>
      </c>
      <c r="P60" s="608">
        <f t="shared" si="61"/>
        <v>0</v>
      </c>
      <c r="Q60" s="609">
        <f t="shared" si="52"/>
        <v>138.20000000000005</v>
      </c>
      <c r="R60" s="609">
        <f t="shared" si="53"/>
        <v>138.20000000000005</v>
      </c>
      <c r="S60" s="609">
        <f t="shared" si="54"/>
        <v>1658.4000000000005</v>
      </c>
      <c r="T60" s="609">
        <f t="shared" si="55"/>
        <v>399.51</v>
      </c>
      <c r="U60" s="610">
        <f t="shared" si="62"/>
        <v>2057.9100000000008</v>
      </c>
      <c r="V60" s="611"/>
      <c r="W60" s="611"/>
      <c r="X60" s="611"/>
      <c r="Y60" s="616"/>
      <c r="Z60" s="805"/>
      <c r="AA60" s="806"/>
      <c r="AB60" s="806"/>
      <c r="AC60" s="581"/>
      <c r="AD60" s="581"/>
      <c r="AE60" s="824"/>
      <c r="AF60" s="824"/>
      <c r="AG60" s="824"/>
      <c r="AH60" s="824"/>
      <c r="AI60" s="824"/>
      <c r="AJ60" s="824"/>
      <c r="AK60" s="824"/>
      <c r="AL60" s="824"/>
      <c r="AM60" s="824"/>
      <c r="AN60" s="824"/>
      <c r="AO60" s="616"/>
      <c r="AP60" s="581"/>
      <c r="AQ60" s="581"/>
      <c r="AR60" s="824"/>
      <c r="AS60" s="824"/>
      <c r="AT60" s="824"/>
      <c r="AU60" s="824"/>
      <c r="AV60" s="824"/>
      <c r="AW60" s="824"/>
      <c r="AX60" s="824"/>
      <c r="AY60" s="824"/>
      <c r="AZ60" s="824"/>
      <c r="BA60" s="824"/>
      <c r="BB60" s="616"/>
      <c r="BC60" s="581"/>
      <c r="BD60" s="581"/>
      <c r="BE60" s="581"/>
      <c r="BF60" s="581"/>
      <c r="BG60" s="581"/>
      <c r="BH60" s="581"/>
    </row>
    <row r="61" spans="2:60" x14ac:dyDescent="0.25">
      <c r="B61" s="57" t="s">
        <v>23</v>
      </c>
      <c r="C61" s="46">
        <v>23</v>
      </c>
      <c r="D61" s="605" t="s">
        <v>18</v>
      </c>
      <c r="E61" s="606">
        <v>10</v>
      </c>
      <c r="F61" s="606">
        <v>3</v>
      </c>
      <c r="G61" s="823">
        <v>1287</v>
      </c>
      <c r="H61" s="605">
        <v>1287</v>
      </c>
      <c r="I61" s="605">
        <v>0</v>
      </c>
      <c r="J61" s="393">
        <v>1</v>
      </c>
      <c r="K61" s="607">
        <f>ROUND(H61*(1+'29_01_H_2020'!$F$14),2)</f>
        <v>1415.7</v>
      </c>
      <c r="L61" s="608">
        <f t="shared" si="57"/>
        <v>1287</v>
      </c>
      <c r="M61" s="608">
        <f t="shared" si="58"/>
        <v>0</v>
      </c>
      <c r="N61" s="608">
        <f t="shared" si="59"/>
        <v>128.70000000000005</v>
      </c>
      <c r="O61" s="608">
        <f t="shared" si="60"/>
        <v>0</v>
      </c>
      <c r="P61" s="608">
        <f t="shared" si="61"/>
        <v>0</v>
      </c>
      <c r="Q61" s="609">
        <f t="shared" si="52"/>
        <v>128.70000000000005</v>
      </c>
      <c r="R61" s="609">
        <f t="shared" si="53"/>
        <v>128.70000000000005</v>
      </c>
      <c r="S61" s="609">
        <f t="shared" si="54"/>
        <v>1544.4000000000005</v>
      </c>
      <c r="T61" s="609">
        <f t="shared" si="55"/>
        <v>372.05</v>
      </c>
      <c r="U61" s="610">
        <f t="shared" si="62"/>
        <v>1916.4500000000005</v>
      </c>
      <c r="V61" s="611"/>
      <c r="W61" s="611"/>
      <c r="X61" s="611"/>
      <c r="Y61" s="616"/>
      <c r="Z61" s="805"/>
      <c r="AA61" s="806"/>
      <c r="AB61" s="806"/>
      <c r="AC61" s="581"/>
      <c r="AD61" s="581"/>
      <c r="AE61" s="824"/>
      <c r="AF61" s="824"/>
      <c r="AG61" s="824"/>
      <c r="AH61" s="824"/>
      <c r="AI61" s="824"/>
      <c r="AJ61" s="824"/>
      <c r="AK61" s="824"/>
      <c r="AL61" s="824"/>
      <c r="AM61" s="824"/>
      <c r="AN61" s="824"/>
      <c r="AO61" s="616"/>
      <c r="AP61" s="581"/>
      <c r="AQ61" s="581"/>
      <c r="AR61" s="824"/>
      <c r="AS61" s="824"/>
      <c r="AT61" s="824"/>
      <c r="AU61" s="824"/>
      <c r="AV61" s="824"/>
      <c r="AW61" s="824"/>
      <c r="AX61" s="824"/>
      <c r="AY61" s="824"/>
      <c r="AZ61" s="824"/>
      <c r="BA61" s="824"/>
      <c r="BB61" s="616"/>
      <c r="BC61" s="581"/>
      <c r="BD61" s="581"/>
      <c r="BE61" s="581"/>
      <c r="BF61" s="581"/>
      <c r="BG61" s="581"/>
      <c r="BH61" s="581"/>
    </row>
    <row r="62" spans="2:60" x14ac:dyDescent="0.25">
      <c r="B62" s="57" t="s">
        <v>24</v>
      </c>
      <c r="C62" s="46" t="s">
        <v>15</v>
      </c>
      <c r="D62" s="825" t="s">
        <v>25</v>
      </c>
      <c r="E62" s="606">
        <v>10</v>
      </c>
      <c r="F62" s="606">
        <v>3</v>
      </c>
      <c r="G62" s="823">
        <v>1287</v>
      </c>
      <c r="H62" s="605">
        <v>1287</v>
      </c>
      <c r="I62" s="605">
        <v>0</v>
      </c>
      <c r="J62" s="393">
        <v>6.75</v>
      </c>
      <c r="K62" s="607">
        <f>ROUND(H62*(1+'29_01_H_2020'!$F$14),2)</f>
        <v>1415.7</v>
      </c>
      <c r="L62" s="608">
        <f t="shared" si="57"/>
        <v>1287</v>
      </c>
      <c r="M62" s="608">
        <f t="shared" si="58"/>
        <v>0</v>
      </c>
      <c r="N62" s="608">
        <f t="shared" si="59"/>
        <v>128.70000000000005</v>
      </c>
      <c r="O62" s="608">
        <f t="shared" si="60"/>
        <v>0</v>
      </c>
      <c r="P62" s="608">
        <f t="shared" si="61"/>
        <v>0</v>
      </c>
      <c r="Q62" s="609">
        <f t="shared" si="52"/>
        <v>128.70000000000005</v>
      </c>
      <c r="R62" s="609">
        <f t="shared" si="53"/>
        <v>868.72500000000036</v>
      </c>
      <c r="S62" s="609">
        <f t="shared" si="54"/>
        <v>10424.700000000004</v>
      </c>
      <c r="T62" s="609">
        <f t="shared" si="55"/>
        <v>2511.31</v>
      </c>
      <c r="U62" s="610">
        <f t="shared" si="62"/>
        <v>12936.010000000004</v>
      </c>
      <c r="V62" s="611"/>
      <c r="W62" s="611"/>
      <c r="X62" s="611"/>
      <c r="Y62" s="616"/>
      <c r="Z62" s="805"/>
      <c r="AA62" s="806"/>
      <c r="AB62" s="806"/>
      <c r="AC62" s="581"/>
      <c r="AD62" s="581"/>
      <c r="AE62" s="824"/>
      <c r="AF62" s="824"/>
      <c r="AG62" s="824"/>
      <c r="AH62" s="824"/>
      <c r="AI62" s="824"/>
      <c r="AJ62" s="824"/>
      <c r="AK62" s="824"/>
      <c r="AL62" s="824"/>
      <c r="AM62" s="824"/>
      <c r="AN62" s="824"/>
      <c r="AO62" s="616"/>
      <c r="AP62" s="581"/>
      <c r="AQ62" s="581"/>
      <c r="AR62" s="824"/>
      <c r="AS62" s="824"/>
      <c r="AT62" s="824"/>
      <c r="AU62" s="824"/>
      <c r="AV62" s="824"/>
      <c r="AW62" s="824"/>
      <c r="AX62" s="824"/>
      <c r="AY62" s="824"/>
      <c r="AZ62" s="824"/>
      <c r="BA62" s="824"/>
      <c r="BB62" s="616"/>
      <c r="BC62" s="581"/>
      <c r="BD62" s="581"/>
      <c r="BE62" s="581"/>
      <c r="BF62" s="581"/>
      <c r="BG62" s="581"/>
      <c r="BH62" s="581"/>
    </row>
    <row r="63" spans="2:60" x14ac:dyDescent="0.25">
      <c r="B63" s="57" t="s">
        <v>26</v>
      </c>
      <c r="C63" s="46">
        <v>35</v>
      </c>
      <c r="D63" s="825" t="s">
        <v>25</v>
      </c>
      <c r="E63" s="606">
        <v>10</v>
      </c>
      <c r="F63" s="606">
        <v>3</v>
      </c>
      <c r="G63" s="823">
        <v>1287</v>
      </c>
      <c r="H63" s="605">
        <v>1287</v>
      </c>
      <c r="I63" s="605">
        <v>0</v>
      </c>
      <c r="J63" s="393">
        <v>1</v>
      </c>
      <c r="K63" s="607">
        <f>ROUND(H63*(1+'29_01_H_2020'!$F$14),2)</f>
        <v>1415.7</v>
      </c>
      <c r="L63" s="608">
        <f t="shared" si="57"/>
        <v>1287</v>
      </c>
      <c r="M63" s="608">
        <f t="shared" si="58"/>
        <v>0</v>
      </c>
      <c r="N63" s="608">
        <f t="shared" si="59"/>
        <v>128.70000000000005</v>
      </c>
      <c r="O63" s="608">
        <f t="shared" si="60"/>
        <v>0</v>
      </c>
      <c r="P63" s="608">
        <f t="shared" si="61"/>
        <v>0</v>
      </c>
      <c r="Q63" s="609">
        <f t="shared" si="52"/>
        <v>128.70000000000005</v>
      </c>
      <c r="R63" s="609">
        <f t="shared" si="53"/>
        <v>128.70000000000005</v>
      </c>
      <c r="S63" s="609">
        <f t="shared" si="54"/>
        <v>1544.4000000000005</v>
      </c>
      <c r="T63" s="609">
        <f t="shared" si="55"/>
        <v>372.05</v>
      </c>
      <c r="U63" s="610">
        <f t="shared" si="62"/>
        <v>1916.4500000000005</v>
      </c>
      <c r="V63" s="611"/>
      <c r="W63" s="611"/>
      <c r="X63" s="611"/>
      <c r="Y63" s="616"/>
      <c r="Z63" s="805"/>
      <c r="AA63" s="806"/>
      <c r="AB63" s="806"/>
      <c r="AC63" s="581"/>
      <c r="AD63" s="581"/>
      <c r="AE63" s="824"/>
      <c r="AF63" s="824"/>
      <c r="AG63" s="824"/>
      <c r="AH63" s="824"/>
      <c r="AI63" s="824"/>
      <c r="AJ63" s="824"/>
      <c r="AK63" s="824"/>
      <c r="AL63" s="824"/>
      <c r="AM63" s="824"/>
      <c r="AN63" s="824"/>
      <c r="AO63" s="616"/>
      <c r="AP63" s="581"/>
      <c r="AQ63" s="581"/>
      <c r="AR63" s="824"/>
      <c r="AS63" s="824"/>
      <c r="AT63" s="824"/>
      <c r="AU63" s="824"/>
      <c r="AV63" s="824"/>
      <c r="AW63" s="824"/>
      <c r="AX63" s="824"/>
      <c r="AY63" s="824"/>
      <c r="AZ63" s="824"/>
      <c r="BA63" s="824"/>
      <c r="BB63" s="616"/>
      <c r="BC63" s="581"/>
      <c r="BD63" s="581"/>
      <c r="BE63" s="581"/>
      <c r="BF63" s="581"/>
      <c r="BG63" s="581"/>
      <c r="BH63" s="581"/>
    </row>
    <row r="64" spans="2:60" x14ac:dyDescent="0.25">
      <c r="B64" s="617" t="s">
        <v>55</v>
      </c>
      <c r="C64" s="618" t="s">
        <v>52</v>
      </c>
      <c r="D64" s="619" t="s">
        <v>52</v>
      </c>
      <c r="E64" s="619" t="s">
        <v>52</v>
      </c>
      <c r="F64" s="619" t="s">
        <v>52</v>
      </c>
      <c r="G64" s="620" t="s">
        <v>52</v>
      </c>
      <c r="H64" s="620" t="s">
        <v>52</v>
      </c>
      <c r="I64" s="620" t="s">
        <v>52</v>
      </c>
      <c r="J64" s="375">
        <f>SUM(J54:J63)</f>
        <v>17.75</v>
      </c>
      <c r="K64" s="621"/>
      <c r="L64" s="622"/>
      <c r="M64" s="622"/>
      <c r="N64" s="622"/>
      <c r="O64" s="622"/>
      <c r="P64" s="622"/>
      <c r="Q64" s="623"/>
      <c r="R64" s="623"/>
      <c r="S64" s="623"/>
      <c r="T64" s="623"/>
      <c r="U64" s="624"/>
      <c r="V64" s="581"/>
      <c r="W64" s="581"/>
      <c r="X64" s="581"/>
      <c r="Y64" s="581"/>
      <c r="Z64" s="581"/>
      <c r="AA64" s="581"/>
      <c r="AB64" s="581"/>
      <c r="AC64" s="581"/>
      <c r="AD64" s="581"/>
      <c r="AE64" s="581"/>
      <c r="AF64" s="581"/>
      <c r="AG64" s="581"/>
      <c r="AH64" s="581"/>
      <c r="AI64" s="581"/>
      <c r="AJ64" s="581"/>
      <c r="AK64" s="581"/>
      <c r="AL64" s="581"/>
      <c r="AM64" s="581"/>
      <c r="AN64" s="581"/>
      <c r="AO64" s="581"/>
      <c r="AP64" s="581"/>
      <c r="AQ64" s="581"/>
      <c r="AR64" s="581"/>
      <c r="AS64" s="581"/>
      <c r="AT64" s="581"/>
      <c r="AU64" s="581"/>
      <c r="AV64" s="581"/>
      <c r="AW64" s="581"/>
      <c r="AX64" s="581"/>
      <c r="AY64" s="581"/>
      <c r="AZ64" s="581"/>
      <c r="BA64" s="581"/>
      <c r="BB64" s="581"/>
      <c r="BC64" s="581"/>
      <c r="BD64" s="581"/>
      <c r="BE64" s="581"/>
      <c r="BF64" s="581"/>
      <c r="BG64" s="581"/>
      <c r="BH64" s="581"/>
    </row>
    <row r="65" spans="2:60" x14ac:dyDescent="0.25">
      <c r="B65" s="963" t="s">
        <v>27</v>
      </c>
      <c r="C65" s="964"/>
      <c r="D65" s="964"/>
      <c r="E65" s="964"/>
      <c r="F65" s="964"/>
      <c r="G65" s="964"/>
      <c r="H65" s="964"/>
      <c r="I65" s="964"/>
      <c r="J65" s="964"/>
      <c r="K65" s="625"/>
      <c r="L65" s="626"/>
      <c r="M65" s="626"/>
      <c r="N65" s="626"/>
      <c r="O65" s="626"/>
      <c r="P65" s="626"/>
      <c r="Q65" s="603"/>
      <c r="R65" s="603"/>
      <c r="S65" s="603"/>
      <c r="T65" s="603"/>
      <c r="U65" s="604"/>
      <c r="V65" s="581"/>
      <c r="W65" s="581"/>
      <c r="X65" s="581"/>
      <c r="Y65" s="581"/>
      <c r="Z65" s="581"/>
      <c r="AA65" s="581"/>
      <c r="AB65" s="581"/>
      <c r="AC65" s="581"/>
      <c r="AD65" s="581"/>
      <c r="AE65" s="581"/>
      <c r="AF65" s="581"/>
      <c r="AG65" s="581"/>
      <c r="AH65" s="581"/>
      <c r="AI65" s="581"/>
      <c r="AJ65" s="581"/>
      <c r="AK65" s="581"/>
      <c r="AL65" s="581"/>
      <c r="AM65" s="581"/>
      <c r="AN65" s="581"/>
      <c r="AO65" s="581"/>
      <c r="AP65" s="581"/>
      <c r="AQ65" s="581"/>
      <c r="AR65" s="581"/>
      <c r="AS65" s="581"/>
      <c r="AT65" s="581"/>
      <c r="AU65" s="581"/>
      <c r="AV65" s="581"/>
      <c r="AW65" s="581"/>
      <c r="AX65" s="581"/>
      <c r="AY65" s="581"/>
      <c r="AZ65" s="581"/>
      <c r="BA65" s="581"/>
      <c r="BB65" s="581"/>
      <c r="BC65" s="581"/>
      <c r="BD65" s="581"/>
      <c r="BE65" s="581"/>
      <c r="BF65" s="581"/>
      <c r="BG65" s="581"/>
      <c r="BH65" s="581"/>
    </row>
    <row r="66" spans="2:60" x14ac:dyDescent="0.25">
      <c r="B66" s="489" t="s">
        <v>28</v>
      </c>
      <c r="C66" s="670" t="s">
        <v>15</v>
      </c>
      <c r="D66" s="605" t="s">
        <v>29</v>
      </c>
      <c r="E66" s="317">
        <v>9</v>
      </c>
      <c r="F66" s="317">
        <v>3</v>
      </c>
      <c r="G66" s="823">
        <v>1190</v>
      </c>
      <c r="H66" s="605">
        <v>1157</v>
      </c>
      <c r="I66" s="605">
        <v>0</v>
      </c>
      <c r="J66" s="393">
        <v>2</v>
      </c>
      <c r="K66" s="607">
        <f>ROUND(H66*(1+'29_01_H_2020'!$F$10),2)</f>
        <v>1272.7</v>
      </c>
      <c r="L66" s="608">
        <f t="shared" ref="L66" si="63">IF(K66&lt;=G66,K66,G66)</f>
        <v>1190</v>
      </c>
      <c r="M66" s="608">
        <f t="shared" ref="M66" si="64">L66-H66</f>
        <v>33</v>
      </c>
      <c r="N66" s="608">
        <f t="shared" ref="N66" si="65">K66-L66</f>
        <v>82.700000000000045</v>
      </c>
      <c r="O66" s="608">
        <f t="shared" ref="O66" si="66">ROUND(I66/H66*L66-I66,2)</f>
        <v>0</v>
      </c>
      <c r="P66" s="608">
        <f t="shared" ref="P66" si="67">ROUND(I66/H66*K66-I66-O66,2)</f>
        <v>0</v>
      </c>
      <c r="Q66" s="609">
        <f t="shared" ref="Q66:Q80" si="68">M66+N66+O66+P66</f>
        <v>115.70000000000005</v>
      </c>
      <c r="R66" s="609">
        <f t="shared" ref="R66:R80" si="69">Q66*J66</f>
        <v>231.40000000000009</v>
      </c>
      <c r="S66" s="609">
        <f t="shared" ref="S66:S80" si="70">R66*12</f>
        <v>2776.8000000000011</v>
      </c>
      <c r="T66" s="609">
        <f t="shared" ref="T66:T80" si="71">ROUND(S66*0.2409,2)</f>
        <v>668.93</v>
      </c>
      <c r="U66" s="610">
        <f t="shared" ref="U66" si="72">SUM(S66:T66)</f>
        <v>3445.7300000000009</v>
      </c>
      <c r="V66" s="611"/>
      <c r="W66" s="611"/>
      <c r="X66" s="611"/>
      <c r="Y66" s="616"/>
      <c r="Z66" s="805"/>
      <c r="AA66" s="806"/>
      <c r="AB66" s="806"/>
      <c r="AC66" s="581"/>
      <c r="AD66" s="581"/>
      <c r="AE66" s="824"/>
      <c r="AF66" s="824"/>
      <c r="AG66" s="824"/>
      <c r="AH66" s="824"/>
      <c r="AI66" s="824"/>
      <c r="AJ66" s="824"/>
      <c r="AK66" s="824"/>
      <c r="AL66" s="824"/>
      <c r="AM66" s="824"/>
      <c r="AN66" s="824"/>
      <c r="AO66" s="616"/>
      <c r="AP66" s="581"/>
      <c r="AQ66" s="581"/>
      <c r="AR66" s="824"/>
      <c r="AS66" s="824"/>
      <c r="AT66" s="824"/>
      <c r="AU66" s="824"/>
      <c r="AV66" s="824"/>
      <c r="AW66" s="824"/>
      <c r="AX66" s="824"/>
      <c r="AY66" s="824"/>
      <c r="AZ66" s="824"/>
      <c r="BA66" s="824"/>
      <c r="BB66" s="616"/>
      <c r="BC66" s="581"/>
      <c r="BD66" s="581"/>
      <c r="BE66" s="581"/>
      <c r="BF66" s="581"/>
      <c r="BG66" s="581"/>
      <c r="BH66" s="581"/>
    </row>
    <row r="67" spans="2:60" x14ac:dyDescent="0.25">
      <c r="B67" s="489" t="s">
        <v>30</v>
      </c>
      <c r="C67" s="670" t="s">
        <v>15</v>
      </c>
      <c r="D67" s="605" t="s">
        <v>29</v>
      </c>
      <c r="E67" s="317">
        <v>9</v>
      </c>
      <c r="F67" s="317">
        <v>3</v>
      </c>
      <c r="G67" s="823">
        <v>1190</v>
      </c>
      <c r="H67" s="605">
        <v>1100</v>
      </c>
      <c r="I67" s="605">
        <v>0</v>
      </c>
      <c r="J67" s="393">
        <v>11</v>
      </c>
      <c r="K67" s="607">
        <f>ROUND(H67*(1+'29_01_H_2020'!$F$10),2)</f>
        <v>1210</v>
      </c>
      <c r="L67" s="608">
        <f t="shared" ref="L67:L80" si="73">IF(K67&lt;=G67,K67,G67)</f>
        <v>1190</v>
      </c>
      <c r="M67" s="608">
        <f t="shared" ref="M67:M80" si="74">L67-H67</f>
        <v>90</v>
      </c>
      <c r="N67" s="608">
        <f t="shared" ref="N67:N80" si="75">K67-L67</f>
        <v>20</v>
      </c>
      <c r="O67" s="608">
        <f t="shared" ref="O67:O80" si="76">ROUND(I67/H67*L67-I67,2)</f>
        <v>0</v>
      </c>
      <c r="P67" s="608">
        <f t="shared" ref="P67:P80" si="77">ROUND(I67/H67*K67-I67-O67,2)</f>
        <v>0</v>
      </c>
      <c r="Q67" s="609">
        <f t="shared" si="68"/>
        <v>110</v>
      </c>
      <c r="R67" s="609">
        <f t="shared" si="69"/>
        <v>1210</v>
      </c>
      <c r="S67" s="609">
        <f t="shared" si="70"/>
        <v>14520</v>
      </c>
      <c r="T67" s="609">
        <f t="shared" si="71"/>
        <v>3497.87</v>
      </c>
      <c r="U67" s="610">
        <f t="shared" ref="U67:U80" si="78">SUM(S67:T67)</f>
        <v>18017.87</v>
      </c>
      <c r="V67" s="611"/>
      <c r="W67" s="611"/>
      <c r="X67" s="611"/>
      <c r="Y67" s="616"/>
      <c r="Z67" s="805"/>
      <c r="AA67" s="806"/>
      <c r="AB67" s="806"/>
      <c r="AC67" s="581"/>
      <c r="AD67" s="581"/>
      <c r="AE67" s="824"/>
      <c r="AF67" s="824"/>
      <c r="AG67" s="824"/>
      <c r="AH67" s="824"/>
      <c r="AI67" s="824"/>
      <c r="AJ67" s="824"/>
      <c r="AK67" s="824"/>
      <c r="AL67" s="824"/>
      <c r="AM67" s="824"/>
      <c r="AN67" s="824"/>
      <c r="AO67" s="616"/>
      <c r="AP67" s="581"/>
      <c r="AQ67" s="581"/>
      <c r="AR67" s="824"/>
      <c r="AS67" s="824"/>
      <c r="AT67" s="824"/>
      <c r="AU67" s="824"/>
      <c r="AV67" s="824"/>
      <c r="AW67" s="824"/>
      <c r="AX67" s="824"/>
      <c r="AY67" s="824"/>
      <c r="AZ67" s="824"/>
      <c r="BA67" s="824"/>
      <c r="BB67" s="616"/>
      <c r="BC67" s="581"/>
      <c r="BD67" s="581"/>
      <c r="BE67" s="581"/>
      <c r="BF67" s="581"/>
      <c r="BG67" s="581"/>
      <c r="BH67" s="581"/>
    </row>
    <row r="68" spans="2:60" x14ac:dyDescent="0.25">
      <c r="B68" s="489" t="s">
        <v>31</v>
      </c>
      <c r="C68" s="670" t="s">
        <v>15</v>
      </c>
      <c r="D68" s="605" t="s">
        <v>29</v>
      </c>
      <c r="E68" s="317">
        <v>9</v>
      </c>
      <c r="F68" s="317">
        <v>3</v>
      </c>
      <c r="G68" s="823">
        <v>1190</v>
      </c>
      <c r="H68" s="605">
        <v>1100</v>
      </c>
      <c r="I68" s="605">
        <v>0</v>
      </c>
      <c r="J68" s="393">
        <v>1</v>
      </c>
      <c r="K68" s="607">
        <f>ROUND(H68*(1+'29_01_H_2020'!$F$10),2)</f>
        <v>1210</v>
      </c>
      <c r="L68" s="608">
        <f t="shared" si="73"/>
        <v>1190</v>
      </c>
      <c r="M68" s="608">
        <f t="shared" si="74"/>
        <v>90</v>
      </c>
      <c r="N68" s="608">
        <f t="shared" si="75"/>
        <v>20</v>
      </c>
      <c r="O68" s="608">
        <f t="shared" si="76"/>
        <v>0</v>
      </c>
      <c r="P68" s="608">
        <f t="shared" si="77"/>
        <v>0</v>
      </c>
      <c r="Q68" s="609">
        <f t="shared" si="68"/>
        <v>110</v>
      </c>
      <c r="R68" s="609">
        <f t="shared" si="69"/>
        <v>110</v>
      </c>
      <c r="S68" s="609">
        <f t="shared" si="70"/>
        <v>1320</v>
      </c>
      <c r="T68" s="609">
        <f t="shared" si="71"/>
        <v>317.99</v>
      </c>
      <c r="U68" s="610">
        <f t="shared" si="78"/>
        <v>1637.99</v>
      </c>
      <c r="V68" s="611"/>
      <c r="W68" s="611"/>
      <c r="X68" s="611"/>
      <c r="Y68" s="616"/>
      <c r="Z68" s="805"/>
      <c r="AA68" s="806"/>
      <c r="AB68" s="806"/>
      <c r="AC68" s="581"/>
      <c r="AD68" s="581"/>
      <c r="AE68" s="824"/>
      <c r="AF68" s="824"/>
      <c r="AG68" s="824"/>
      <c r="AH68" s="824"/>
      <c r="AI68" s="824"/>
      <c r="AJ68" s="824"/>
      <c r="AK68" s="824"/>
      <c r="AL68" s="824"/>
      <c r="AM68" s="824"/>
      <c r="AN68" s="824"/>
      <c r="AO68" s="616"/>
      <c r="AP68" s="581"/>
      <c r="AQ68" s="581"/>
      <c r="AR68" s="824"/>
      <c r="AS68" s="824"/>
      <c r="AT68" s="824"/>
      <c r="AU68" s="824"/>
      <c r="AV68" s="824"/>
      <c r="AW68" s="824"/>
      <c r="AX68" s="824"/>
      <c r="AY68" s="824"/>
      <c r="AZ68" s="824"/>
      <c r="BA68" s="824"/>
      <c r="BB68" s="616"/>
      <c r="BC68" s="581"/>
      <c r="BD68" s="581"/>
      <c r="BE68" s="581"/>
      <c r="BF68" s="581"/>
      <c r="BG68" s="581"/>
      <c r="BH68" s="581"/>
    </row>
    <row r="69" spans="2:60" x14ac:dyDescent="0.25">
      <c r="B69" s="489" t="s">
        <v>32</v>
      </c>
      <c r="C69" s="527" t="s">
        <v>22</v>
      </c>
      <c r="D69" s="605" t="s">
        <v>18</v>
      </c>
      <c r="E69" s="317">
        <v>8</v>
      </c>
      <c r="F69" s="317">
        <v>3</v>
      </c>
      <c r="G69" s="823">
        <v>1093</v>
      </c>
      <c r="H69" s="605">
        <v>1093</v>
      </c>
      <c r="I69" s="605">
        <v>0</v>
      </c>
      <c r="J69" s="393">
        <v>3</v>
      </c>
      <c r="K69" s="607">
        <f>ROUND(H69*(1+'29_01_H_2020'!$F$10),2)</f>
        <v>1202.3</v>
      </c>
      <c r="L69" s="608">
        <f t="shared" si="73"/>
        <v>1093</v>
      </c>
      <c r="M69" s="608">
        <f t="shared" si="74"/>
        <v>0</v>
      </c>
      <c r="N69" s="608">
        <f t="shared" si="75"/>
        <v>109.29999999999995</v>
      </c>
      <c r="O69" s="608">
        <f t="shared" si="76"/>
        <v>0</v>
      </c>
      <c r="P69" s="608">
        <f t="shared" si="77"/>
        <v>0</v>
      </c>
      <c r="Q69" s="609">
        <f t="shared" si="68"/>
        <v>109.29999999999995</v>
      </c>
      <c r="R69" s="609">
        <f t="shared" si="69"/>
        <v>327.89999999999986</v>
      </c>
      <c r="S69" s="609">
        <f t="shared" si="70"/>
        <v>3934.7999999999984</v>
      </c>
      <c r="T69" s="609">
        <f t="shared" si="71"/>
        <v>947.89</v>
      </c>
      <c r="U69" s="610">
        <f t="shared" si="78"/>
        <v>4882.6899999999987</v>
      </c>
      <c r="V69" s="611"/>
      <c r="W69" s="611"/>
      <c r="X69" s="611"/>
      <c r="Y69" s="616"/>
      <c r="Z69" s="805"/>
      <c r="AA69" s="806"/>
      <c r="AB69" s="806"/>
      <c r="AC69" s="581"/>
      <c r="AD69" s="581"/>
      <c r="AE69" s="824"/>
      <c r="AF69" s="824"/>
      <c r="AG69" s="824"/>
      <c r="AH69" s="824"/>
      <c r="AI69" s="824"/>
      <c r="AJ69" s="824"/>
      <c r="AK69" s="824"/>
      <c r="AL69" s="824"/>
      <c r="AM69" s="824"/>
      <c r="AN69" s="824"/>
      <c r="AO69" s="616"/>
      <c r="AP69" s="581"/>
      <c r="AQ69" s="581"/>
      <c r="AR69" s="824"/>
      <c r="AS69" s="824"/>
      <c r="AT69" s="824"/>
      <c r="AU69" s="824"/>
      <c r="AV69" s="824"/>
      <c r="AW69" s="824"/>
      <c r="AX69" s="824"/>
      <c r="AY69" s="824"/>
      <c r="AZ69" s="824"/>
      <c r="BA69" s="824"/>
      <c r="BB69" s="616"/>
      <c r="BC69" s="581"/>
      <c r="BD69" s="581"/>
      <c r="BE69" s="581"/>
      <c r="BF69" s="581"/>
      <c r="BG69" s="581"/>
      <c r="BH69" s="581"/>
    </row>
    <row r="70" spans="2:60" ht="26.25" x14ac:dyDescent="0.25">
      <c r="B70" s="826" t="s">
        <v>33</v>
      </c>
      <c r="C70" s="670">
        <v>32</v>
      </c>
      <c r="D70" s="605" t="s">
        <v>34</v>
      </c>
      <c r="E70" s="317">
        <v>8</v>
      </c>
      <c r="F70" s="317">
        <v>3</v>
      </c>
      <c r="G70" s="823">
        <v>1093</v>
      </c>
      <c r="H70" s="605">
        <v>1093</v>
      </c>
      <c r="I70" s="605">
        <v>0</v>
      </c>
      <c r="J70" s="393">
        <v>1</v>
      </c>
      <c r="K70" s="607">
        <f>ROUND(H70*(1+'29_01_H_2020'!$F$10),2)</f>
        <v>1202.3</v>
      </c>
      <c r="L70" s="608">
        <f t="shared" si="73"/>
        <v>1093</v>
      </c>
      <c r="M70" s="608">
        <f t="shared" si="74"/>
        <v>0</v>
      </c>
      <c r="N70" s="608">
        <f t="shared" si="75"/>
        <v>109.29999999999995</v>
      </c>
      <c r="O70" s="608">
        <f t="shared" si="76"/>
        <v>0</v>
      </c>
      <c r="P70" s="608">
        <f t="shared" si="77"/>
        <v>0</v>
      </c>
      <c r="Q70" s="609">
        <f t="shared" si="68"/>
        <v>109.29999999999995</v>
      </c>
      <c r="R70" s="609">
        <f t="shared" si="69"/>
        <v>109.29999999999995</v>
      </c>
      <c r="S70" s="609">
        <f t="shared" si="70"/>
        <v>1311.5999999999995</v>
      </c>
      <c r="T70" s="609">
        <f t="shared" si="71"/>
        <v>315.95999999999998</v>
      </c>
      <c r="U70" s="610">
        <f t="shared" si="78"/>
        <v>1627.5599999999995</v>
      </c>
      <c r="V70" s="611"/>
      <c r="W70" s="611"/>
      <c r="X70" s="611"/>
      <c r="Y70" s="616"/>
      <c r="Z70" s="805"/>
      <c r="AA70" s="806"/>
      <c r="AB70" s="806"/>
      <c r="AC70" s="581"/>
      <c r="AD70" s="581"/>
      <c r="AE70" s="824"/>
      <c r="AF70" s="824"/>
      <c r="AG70" s="824"/>
      <c r="AH70" s="824"/>
      <c r="AI70" s="824"/>
      <c r="AJ70" s="824"/>
      <c r="AK70" s="824"/>
      <c r="AL70" s="824"/>
      <c r="AM70" s="824"/>
      <c r="AN70" s="824"/>
      <c r="AO70" s="616"/>
      <c r="AP70" s="581"/>
      <c r="AQ70" s="581"/>
      <c r="AR70" s="824"/>
      <c r="AS70" s="824"/>
      <c r="AT70" s="824"/>
      <c r="AU70" s="824"/>
      <c r="AV70" s="824"/>
      <c r="AW70" s="824"/>
      <c r="AX70" s="824"/>
      <c r="AY70" s="824"/>
      <c r="AZ70" s="824"/>
      <c r="BA70" s="824"/>
      <c r="BB70" s="616"/>
      <c r="BC70" s="581"/>
      <c r="BD70" s="581"/>
      <c r="BE70" s="581"/>
      <c r="BF70" s="581"/>
      <c r="BG70" s="581"/>
      <c r="BH70" s="581"/>
    </row>
    <row r="71" spans="2:60" x14ac:dyDescent="0.25">
      <c r="B71" s="489" t="s">
        <v>35</v>
      </c>
      <c r="C71" s="670" t="s">
        <v>15</v>
      </c>
      <c r="D71" s="605" t="s">
        <v>36</v>
      </c>
      <c r="E71" s="317">
        <v>8</v>
      </c>
      <c r="F71" s="317">
        <v>3</v>
      </c>
      <c r="G71" s="823">
        <v>1093</v>
      </c>
      <c r="H71" s="605">
        <v>1093</v>
      </c>
      <c r="I71" s="605">
        <v>0</v>
      </c>
      <c r="J71" s="393">
        <v>1</v>
      </c>
      <c r="K71" s="607">
        <f>ROUND(H71*(1+'29_01_H_2020'!$F$10),2)</f>
        <v>1202.3</v>
      </c>
      <c r="L71" s="608">
        <f t="shared" si="73"/>
        <v>1093</v>
      </c>
      <c r="M71" s="608">
        <f t="shared" si="74"/>
        <v>0</v>
      </c>
      <c r="N71" s="608">
        <f t="shared" si="75"/>
        <v>109.29999999999995</v>
      </c>
      <c r="O71" s="608">
        <f t="shared" si="76"/>
        <v>0</v>
      </c>
      <c r="P71" s="608">
        <f t="shared" si="77"/>
        <v>0</v>
      </c>
      <c r="Q71" s="609">
        <f t="shared" si="68"/>
        <v>109.29999999999995</v>
      </c>
      <c r="R71" s="609">
        <f t="shared" si="69"/>
        <v>109.29999999999995</v>
      </c>
      <c r="S71" s="609">
        <f t="shared" si="70"/>
        <v>1311.5999999999995</v>
      </c>
      <c r="T71" s="609">
        <f t="shared" si="71"/>
        <v>315.95999999999998</v>
      </c>
      <c r="U71" s="610">
        <f t="shared" si="78"/>
        <v>1627.5599999999995</v>
      </c>
      <c r="V71" s="611"/>
      <c r="W71" s="611"/>
      <c r="X71" s="611"/>
      <c r="Y71" s="616"/>
      <c r="Z71" s="805"/>
      <c r="AA71" s="806"/>
      <c r="AB71" s="806"/>
      <c r="AC71" s="581"/>
      <c r="AD71" s="581"/>
      <c r="AE71" s="824"/>
      <c r="AF71" s="824"/>
      <c r="AG71" s="824"/>
      <c r="AH71" s="824"/>
      <c r="AI71" s="824"/>
      <c r="AJ71" s="824"/>
      <c r="AK71" s="824"/>
      <c r="AL71" s="824"/>
      <c r="AM71" s="824"/>
      <c r="AN71" s="824"/>
      <c r="AO71" s="616"/>
      <c r="AP71" s="581"/>
      <c r="AQ71" s="581"/>
      <c r="AR71" s="824"/>
      <c r="AS71" s="824"/>
      <c r="AT71" s="824"/>
      <c r="AU71" s="824"/>
      <c r="AV71" s="824"/>
      <c r="AW71" s="824"/>
      <c r="AX71" s="824"/>
      <c r="AY71" s="824"/>
      <c r="AZ71" s="824"/>
      <c r="BA71" s="824"/>
      <c r="BB71" s="616"/>
      <c r="BC71" s="581"/>
      <c r="BD71" s="581"/>
      <c r="BE71" s="581"/>
      <c r="BF71" s="581"/>
      <c r="BG71" s="581"/>
      <c r="BH71" s="581"/>
    </row>
    <row r="72" spans="2:60" x14ac:dyDescent="0.25">
      <c r="B72" s="489" t="s">
        <v>37</v>
      </c>
      <c r="C72" s="670" t="s">
        <v>15</v>
      </c>
      <c r="D72" s="605" t="s">
        <v>36</v>
      </c>
      <c r="E72" s="317">
        <v>8</v>
      </c>
      <c r="F72" s="317">
        <v>3</v>
      </c>
      <c r="G72" s="823">
        <v>1093</v>
      </c>
      <c r="H72" s="605">
        <v>1086</v>
      </c>
      <c r="I72" s="605">
        <v>0</v>
      </c>
      <c r="J72" s="393">
        <v>9</v>
      </c>
      <c r="K72" s="607">
        <f>ROUND(H72*(1+'29_01_H_2020'!$F$10),2)</f>
        <v>1194.5999999999999</v>
      </c>
      <c r="L72" s="608">
        <f t="shared" si="73"/>
        <v>1093</v>
      </c>
      <c r="M72" s="608">
        <f t="shared" si="74"/>
        <v>7</v>
      </c>
      <c r="N72" s="608">
        <f t="shared" si="75"/>
        <v>101.59999999999991</v>
      </c>
      <c r="O72" s="608">
        <f t="shared" si="76"/>
        <v>0</v>
      </c>
      <c r="P72" s="608">
        <f t="shared" si="77"/>
        <v>0</v>
      </c>
      <c r="Q72" s="609">
        <f t="shared" si="68"/>
        <v>108.59999999999991</v>
      </c>
      <c r="R72" s="609">
        <f t="shared" si="69"/>
        <v>977.39999999999918</v>
      </c>
      <c r="S72" s="609">
        <f t="shared" si="70"/>
        <v>11728.79999999999</v>
      </c>
      <c r="T72" s="609">
        <f t="shared" si="71"/>
        <v>2825.47</v>
      </c>
      <c r="U72" s="610">
        <f t="shared" si="78"/>
        <v>14554.26999999999</v>
      </c>
      <c r="V72" s="611"/>
      <c r="W72" s="611"/>
      <c r="X72" s="611"/>
      <c r="Y72" s="616"/>
      <c r="Z72" s="805"/>
      <c r="AA72" s="806"/>
      <c r="AB72" s="806"/>
      <c r="AC72" s="581"/>
      <c r="AD72" s="581"/>
      <c r="AE72" s="824"/>
      <c r="AF72" s="824"/>
      <c r="AG72" s="824"/>
      <c r="AH72" s="824"/>
      <c r="AI72" s="824"/>
      <c r="AJ72" s="824"/>
      <c r="AK72" s="824"/>
      <c r="AL72" s="824"/>
      <c r="AM72" s="824"/>
      <c r="AN72" s="824"/>
      <c r="AO72" s="616"/>
      <c r="AP72" s="581"/>
      <c r="AQ72" s="581"/>
      <c r="AR72" s="824"/>
      <c r="AS72" s="824"/>
      <c r="AT72" s="824"/>
      <c r="AU72" s="824"/>
      <c r="AV72" s="824"/>
      <c r="AW72" s="824"/>
      <c r="AX72" s="824"/>
      <c r="AY72" s="824"/>
      <c r="AZ72" s="824"/>
      <c r="BA72" s="824"/>
      <c r="BB72" s="616"/>
      <c r="BC72" s="581"/>
      <c r="BD72" s="581"/>
      <c r="BE72" s="581"/>
      <c r="BF72" s="581"/>
      <c r="BG72" s="581"/>
      <c r="BH72" s="581"/>
    </row>
    <row r="73" spans="2:60" x14ac:dyDescent="0.25">
      <c r="B73" s="826" t="s">
        <v>38</v>
      </c>
      <c r="C73" s="670" t="s">
        <v>15</v>
      </c>
      <c r="D73" s="605" t="s">
        <v>36</v>
      </c>
      <c r="E73" s="317">
        <v>8</v>
      </c>
      <c r="F73" s="317">
        <v>3</v>
      </c>
      <c r="G73" s="823">
        <v>1093</v>
      </c>
      <c r="H73" s="605">
        <v>1048</v>
      </c>
      <c r="I73" s="605">
        <v>0</v>
      </c>
      <c r="J73" s="393">
        <v>3</v>
      </c>
      <c r="K73" s="607">
        <f>ROUND(H73*(1+'29_01_H_2020'!$F$10),2)</f>
        <v>1152.8</v>
      </c>
      <c r="L73" s="608">
        <f t="shared" si="73"/>
        <v>1093</v>
      </c>
      <c r="M73" s="608">
        <f t="shared" si="74"/>
        <v>45</v>
      </c>
      <c r="N73" s="608">
        <f t="shared" si="75"/>
        <v>59.799999999999955</v>
      </c>
      <c r="O73" s="608">
        <f t="shared" si="76"/>
        <v>0</v>
      </c>
      <c r="P73" s="608">
        <f t="shared" si="77"/>
        <v>0</v>
      </c>
      <c r="Q73" s="609">
        <f t="shared" si="68"/>
        <v>104.79999999999995</v>
      </c>
      <c r="R73" s="609">
        <f t="shared" si="69"/>
        <v>314.39999999999986</v>
      </c>
      <c r="S73" s="609">
        <f t="shared" si="70"/>
        <v>3772.7999999999984</v>
      </c>
      <c r="T73" s="609">
        <f t="shared" si="71"/>
        <v>908.87</v>
      </c>
      <c r="U73" s="610">
        <f t="shared" si="78"/>
        <v>4681.6699999999983</v>
      </c>
      <c r="V73" s="611"/>
      <c r="W73" s="611"/>
      <c r="X73" s="611"/>
      <c r="Y73" s="616"/>
      <c r="Z73" s="805"/>
      <c r="AA73" s="806"/>
      <c r="AB73" s="806"/>
      <c r="AC73" s="581"/>
      <c r="AD73" s="581"/>
      <c r="AE73" s="824"/>
      <c r="AF73" s="824"/>
      <c r="AG73" s="824"/>
      <c r="AH73" s="824"/>
      <c r="AI73" s="824"/>
      <c r="AJ73" s="824"/>
      <c r="AK73" s="824"/>
      <c r="AL73" s="824"/>
      <c r="AM73" s="824"/>
      <c r="AN73" s="824"/>
      <c r="AO73" s="616"/>
      <c r="AP73" s="581"/>
      <c r="AQ73" s="581"/>
      <c r="AR73" s="824"/>
      <c r="AS73" s="824"/>
      <c r="AT73" s="824"/>
      <c r="AU73" s="824"/>
      <c r="AV73" s="824"/>
      <c r="AW73" s="824"/>
      <c r="AX73" s="824"/>
      <c r="AY73" s="824"/>
      <c r="AZ73" s="824"/>
      <c r="BA73" s="824"/>
      <c r="BB73" s="616"/>
      <c r="BC73" s="581"/>
      <c r="BD73" s="581"/>
      <c r="BE73" s="581"/>
      <c r="BF73" s="581"/>
      <c r="BG73" s="581"/>
      <c r="BH73" s="581"/>
    </row>
    <row r="74" spans="2:60" x14ac:dyDescent="0.25">
      <c r="B74" s="489" t="s">
        <v>39</v>
      </c>
      <c r="C74" s="527" t="s">
        <v>22</v>
      </c>
      <c r="D74" s="605" t="s">
        <v>25</v>
      </c>
      <c r="E74" s="317">
        <v>7</v>
      </c>
      <c r="F74" s="317">
        <v>3</v>
      </c>
      <c r="G74" s="823">
        <v>996</v>
      </c>
      <c r="H74" s="605">
        <v>996</v>
      </c>
      <c r="I74" s="605">
        <v>0</v>
      </c>
      <c r="J74" s="393">
        <v>23.25</v>
      </c>
      <c r="K74" s="607">
        <f>ROUND(H74*(1+'29_01_H_2020'!$F$10),2)</f>
        <v>1095.5999999999999</v>
      </c>
      <c r="L74" s="608">
        <f t="shared" si="73"/>
        <v>996</v>
      </c>
      <c r="M74" s="608">
        <f t="shared" si="74"/>
        <v>0</v>
      </c>
      <c r="N74" s="608">
        <f t="shared" si="75"/>
        <v>99.599999999999909</v>
      </c>
      <c r="O74" s="608">
        <f t="shared" si="76"/>
        <v>0</v>
      </c>
      <c r="P74" s="608">
        <f t="shared" si="77"/>
        <v>0</v>
      </c>
      <c r="Q74" s="609">
        <f t="shared" si="68"/>
        <v>99.599999999999909</v>
      </c>
      <c r="R74" s="609">
        <f t="shared" si="69"/>
        <v>2315.699999999998</v>
      </c>
      <c r="S74" s="609">
        <f t="shared" si="70"/>
        <v>27788.399999999976</v>
      </c>
      <c r="T74" s="609">
        <f t="shared" si="71"/>
        <v>6694.23</v>
      </c>
      <c r="U74" s="610">
        <f t="shared" si="78"/>
        <v>34482.629999999976</v>
      </c>
      <c r="V74" s="611"/>
      <c r="W74" s="611"/>
      <c r="X74" s="611"/>
      <c r="Y74" s="616"/>
      <c r="Z74" s="805"/>
      <c r="AA74" s="806"/>
      <c r="AB74" s="806"/>
      <c r="AC74" s="581"/>
      <c r="AD74" s="581"/>
      <c r="AE74" s="824"/>
      <c r="AF74" s="824"/>
      <c r="AG74" s="824"/>
      <c r="AH74" s="824"/>
      <c r="AI74" s="824"/>
      <c r="AJ74" s="824"/>
      <c r="AK74" s="824"/>
      <c r="AL74" s="824"/>
      <c r="AM74" s="824"/>
      <c r="AN74" s="824"/>
      <c r="AO74" s="616"/>
      <c r="AP74" s="581"/>
      <c r="AQ74" s="581"/>
      <c r="AR74" s="824"/>
      <c r="AS74" s="824"/>
      <c r="AT74" s="824"/>
      <c r="AU74" s="824"/>
      <c r="AV74" s="824"/>
      <c r="AW74" s="824"/>
      <c r="AX74" s="824"/>
      <c r="AY74" s="824"/>
      <c r="AZ74" s="824"/>
      <c r="BA74" s="824"/>
      <c r="BB74" s="616"/>
      <c r="BC74" s="581"/>
      <c r="BD74" s="581"/>
      <c r="BE74" s="581"/>
      <c r="BF74" s="581"/>
      <c r="BG74" s="581"/>
      <c r="BH74" s="581"/>
    </row>
    <row r="75" spans="2:60" x14ac:dyDescent="0.25">
      <c r="B75" s="489" t="s">
        <v>39</v>
      </c>
      <c r="C75" s="527" t="s">
        <v>22</v>
      </c>
      <c r="D75" s="605" t="s">
        <v>25</v>
      </c>
      <c r="E75" s="317">
        <v>7</v>
      </c>
      <c r="F75" s="317">
        <v>3</v>
      </c>
      <c r="G75" s="823">
        <v>996</v>
      </c>
      <c r="H75" s="605">
        <v>996</v>
      </c>
      <c r="I75" s="605">
        <v>49.8</v>
      </c>
      <c r="J75" s="393">
        <v>6</v>
      </c>
      <c r="K75" s="607">
        <f>ROUND(H75*(1+'29_01_H_2020'!$F$10),2)</f>
        <v>1095.5999999999999</v>
      </c>
      <c r="L75" s="608">
        <f t="shared" si="73"/>
        <v>996</v>
      </c>
      <c r="M75" s="608">
        <f t="shared" si="74"/>
        <v>0</v>
      </c>
      <c r="N75" s="608">
        <f t="shared" si="75"/>
        <v>99.599999999999909</v>
      </c>
      <c r="O75" s="608">
        <f t="shared" si="76"/>
        <v>0</v>
      </c>
      <c r="P75" s="608">
        <f t="shared" si="77"/>
        <v>4.9800000000000004</v>
      </c>
      <c r="Q75" s="609">
        <f t="shared" si="68"/>
        <v>104.57999999999991</v>
      </c>
      <c r="R75" s="609">
        <f t="shared" si="69"/>
        <v>627.47999999999945</v>
      </c>
      <c r="S75" s="609">
        <f t="shared" si="70"/>
        <v>7529.7599999999929</v>
      </c>
      <c r="T75" s="609">
        <f t="shared" si="71"/>
        <v>1813.92</v>
      </c>
      <c r="U75" s="610">
        <f t="shared" si="78"/>
        <v>9343.679999999993</v>
      </c>
      <c r="V75" s="611"/>
      <c r="W75" s="611"/>
      <c r="X75" s="611"/>
      <c r="Y75" s="616"/>
      <c r="Z75" s="805"/>
      <c r="AA75" s="806"/>
      <c r="AB75" s="806"/>
      <c r="AC75" s="581"/>
      <c r="AD75" s="581"/>
      <c r="AE75" s="824"/>
      <c r="AF75" s="824"/>
      <c r="AG75" s="824"/>
      <c r="AH75" s="824"/>
      <c r="AI75" s="824"/>
      <c r="AJ75" s="824"/>
      <c r="AK75" s="824"/>
      <c r="AL75" s="824"/>
      <c r="AM75" s="824"/>
      <c r="AN75" s="824"/>
      <c r="AO75" s="616"/>
      <c r="AP75" s="581"/>
      <c r="AQ75" s="581"/>
      <c r="AR75" s="824"/>
      <c r="AS75" s="824"/>
      <c r="AT75" s="824"/>
      <c r="AU75" s="824"/>
      <c r="AV75" s="824"/>
      <c r="AW75" s="824"/>
      <c r="AX75" s="824"/>
      <c r="AY75" s="824"/>
      <c r="AZ75" s="824"/>
      <c r="BA75" s="824"/>
      <c r="BB75" s="616"/>
      <c r="BC75" s="581"/>
      <c r="BD75" s="581"/>
      <c r="BE75" s="581"/>
      <c r="BF75" s="581"/>
      <c r="BG75" s="581"/>
      <c r="BH75" s="581"/>
    </row>
    <row r="76" spans="2:60" x14ac:dyDescent="0.25">
      <c r="B76" s="489" t="s">
        <v>40</v>
      </c>
      <c r="C76" s="670" t="s">
        <v>22</v>
      </c>
      <c r="D76" s="605" t="s">
        <v>41</v>
      </c>
      <c r="E76" s="317">
        <v>6</v>
      </c>
      <c r="F76" s="317">
        <v>3</v>
      </c>
      <c r="G76" s="823">
        <v>899</v>
      </c>
      <c r="H76" s="605">
        <v>899</v>
      </c>
      <c r="I76" s="605">
        <v>0</v>
      </c>
      <c r="J76" s="393">
        <v>1</v>
      </c>
      <c r="K76" s="607">
        <f>ROUND(H76*(1+'29_01_H_2020'!$F$10),2)</f>
        <v>988.9</v>
      </c>
      <c r="L76" s="608">
        <f t="shared" si="73"/>
        <v>899</v>
      </c>
      <c r="M76" s="608">
        <f t="shared" si="74"/>
        <v>0</v>
      </c>
      <c r="N76" s="608">
        <f t="shared" si="75"/>
        <v>89.899999999999977</v>
      </c>
      <c r="O76" s="608">
        <f t="shared" si="76"/>
        <v>0</v>
      </c>
      <c r="P76" s="608">
        <f t="shared" si="77"/>
        <v>0</v>
      </c>
      <c r="Q76" s="609">
        <f t="shared" si="68"/>
        <v>89.899999999999977</v>
      </c>
      <c r="R76" s="609">
        <f t="shared" si="69"/>
        <v>89.899999999999977</v>
      </c>
      <c r="S76" s="609">
        <f t="shared" si="70"/>
        <v>1078.7999999999997</v>
      </c>
      <c r="T76" s="609">
        <f t="shared" si="71"/>
        <v>259.88</v>
      </c>
      <c r="U76" s="610">
        <f t="shared" si="78"/>
        <v>1338.6799999999998</v>
      </c>
      <c r="V76" s="611"/>
      <c r="W76" s="611"/>
      <c r="X76" s="611"/>
      <c r="Y76" s="616"/>
      <c r="Z76" s="805"/>
      <c r="AA76" s="806"/>
      <c r="AB76" s="806"/>
      <c r="AC76" s="581"/>
      <c r="AD76" s="581"/>
      <c r="AE76" s="824"/>
      <c r="AF76" s="824"/>
      <c r="AG76" s="824"/>
      <c r="AH76" s="824"/>
      <c r="AI76" s="824"/>
      <c r="AJ76" s="824"/>
      <c r="AK76" s="824"/>
      <c r="AL76" s="824"/>
      <c r="AM76" s="824"/>
      <c r="AN76" s="824"/>
      <c r="AO76" s="616"/>
      <c r="AP76" s="581"/>
      <c r="AQ76" s="581"/>
      <c r="AR76" s="824"/>
      <c r="AS76" s="824"/>
      <c r="AT76" s="824"/>
      <c r="AU76" s="824"/>
      <c r="AV76" s="824"/>
      <c r="AW76" s="824"/>
      <c r="AX76" s="824"/>
      <c r="AY76" s="824"/>
      <c r="AZ76" s="824"/>
      <c r="BA76" s="824"/>
      <c r="BB76" s="616"/>
      <c r="BC76" s="581"/>
      <c r="BD76" s="581"/>
      <c r="BE76" s="581"/>
      <c r="BF76" s="581"/>
      <c r="BG76" s="581"/>
      <c r="BH76" s="581"/>
    </row>
    <row r="77" spans="2:60" x14ac:dyDescent="0.25">
      <c r="B77" s="489" t="s">
        <v>42</v>
      </c>
      <c r="C77" s="670">
        <v>2</v>
      </c>
      <c r="D77" s="605" t="s">
        <v>41</v>
      </c>
      <c r="E77" s="317">
        <v>7</v>
      </c>
      <c r="F77" s="317">
        <v>3</v>
      </c>
      <c r="G77" s="823">
        <v>996</v>
      </c>
      <c r="H77" s="605">
        <v>994</v>
      </c>
      <c r="I77" s="605">
        <v>0</v>
      </c>
      <c r="J77" s="393">
        <v>1</v>
      </c>
      <c r="K77" s="607">
        <f>ROUND(H77*(1+'29_01_H_2020'!$F$10),2)</f>
        <v>1093.4000000000001</v>
      </c>
      <c r="L77" s="608">
        <f t="shared" si="73"/>
        <v>996</v>
      </c>
      <c r="M77" s="608">
        <f t="shared" si="74"/>
        <v>2</v>
      </c>
      <c r="N77" s="608">
        <f t="shared" si="75"/>
        <v>97.400000000000091</v>
      </c>
      <c r="O77" s="608">
        <f t="shared" si="76"/>
        <v>0</v>
      </c>
      <c r="P77" s="608">
        <f t="shared" si="77"/>
        <v>0</v>
      </c>
      <c r="Q77" s="609">
        <f t="shared" si="68"/>
        <v>99.400000000000091</v>
      </c>
      <c r="R77" s="609">
        <f t="shared" si="69"/>
        <v>99.400000000000091</v>
      </c>
      <c r="S77" s="609">
        <f t="shared" si="70"/>
        <v>1192.8000000000011</v>
      </c>
      <c r="T77" s="609">
        <f t="shared" si="71"/>
        <v>287.35000000000002</v>
      </c>
      <c r="U77" s="610">
        <f t="shared" si="78"/>
        <v>1480.150000000001</v>
      </c>
      <c r="V77" s="611"/>
      <c r="W77" s="611"/>
      <c r="X77" s="611"/>
      <c r="Y77" s="616"/>
      <c r="Z77" s="805"/>
      <c r="AA77" s="806"/>
      <c r="AB77" s="806"/>
      <c r="AC77" s="581"/>
      <c r="AD77" s="581"/>
      <c r="AE77" s="824"/>
      <c r="AF77" s="824"/>
      <c r="AG77" s="824"/>
      <c r="AH77" s="824"/>
      <c r="AI77" s="824"/>
      <c r="AJ77" s="824"/>
      <c r="AK77" s="824"/>
      <c r="AL77" s="824"/>
      <c r="AM77" s="824"/>
      <c r="AN77" s="824"/>
      <c r="AO77" s="616"/>
      <c r="AP77" s="581"/>
      <c r="AQ77" s="581"/>
      <c r="AR77" s="824"/>
      <c r="AS77" s="824"/>
      <c r="AT77" s="824"/>
      <c r="AU77" s="824"/>
      <c r="AV77" s="824"/>
      <c r="AW77" s="824"/>
      <c r="AX77" s="824"/>
      <c r="AY77" s="824"/>
      <c r="AZ77" s="824"/>
      <c r="BA77" s="824"/>
      <c r="BB77" s="616"/>
      <c r="BC77" s="581"/>
      <c r="BD77" s="581"/>
      <c r="BE77" s="581"/>
      <c r="BF77" s="581"/>
      <c r="BG77" s="581"/>
      <c r="BH77" s="581"/>
    </row>
    <row r="78" spans="2:60" x14ac:dyDescent="0.25">
      <c r="B78" s="489" t="s">
        <v>43</v>
      </c>
      <c r="C78" s="670">
        <v>23</v>
      </c>
      <c r="D78" s="605" t="s">
        <v>44</v>
      </c>
      <c r="E78" s="317">
        <v>6</v>
      </c>
      <c r="F78" s="317">
        <v>3</v>
      </c>
      <c r="G78" s="823">
        <v>899</v>
      </c>
      <c r="H78" s="605">
        <v>899</v>
      </c>
      <c r="I78" s="605">
        <v>0</v>
      </c>
      <c r="J78" s="393">
        <v>1</v>
      </c>
      <c r="K78" s="607">
        <f>ROUND(H78*(1+'29_01_H_2020'!$F$10),2)</f>
        <v>988.9</v>
      </c>
      <c r="L78" s="608">
        <f t="shared" si="73"/>
        <v>899</v>
      </c>
      <c r="M78" s="608">
        <f t="shared" si="74"/>
        <v>0</v>
      </c>
      <c r="N78" s="608">
        <f t="shared" si="75"/>
        <v>89.899999999999977</v>
      </c>
      <c r="O78" s="608">
        <f t="shared" si="76"/>
        <v>0</v>
      </c>
      <c r="P78" s="608">
        <f t="shared" si="77"/>
        <v>0</v>
      </c>
      <c r="Q78" s="609">
        <f t="shared" si="68"/>
        <v>89.899999999999977</v>
      </c>
      <c r="R78" s="609">
        <f t="shared" si="69"/>
        <v>89.899999999999977</v>
      </c>
      <c r="S78" s="609">
        <f t="shared" si="70"/>
        <v>1078.7999999999997</v>
      </c>
      <c r="T78" s="609">
        <f t="shared" si="71"/>
        <v>259.88</v>
      </c>
      <c r="U78" s="610">
        <f t="shared" si="78"/>
        <v>1338.6799999999998</v>
      </c>
      <c r="V78" s="611"/>
      <c r="W78" s="611"/>
      <c r="X78" s="611"/>
      <c r="Y78" s="616"/>
      <c r="Z78" s="805"/>
      <c r="AA78" s="806"/>
      <c r="AB78" s="806"/>
      <c r="AC78" s="581"/>
      <c r="AD78" s="581"/>
      <c r="AE78" s="824"/>
      <c r="AF78" s="824"/>
      <c r="AG78" s="824"/>
      <c r="AH78" s="824"/>
      <c r="AI78" s="824"/>
      <c r="AJ78" s="824"/>
      <c r="AK78" s="824"/>
      <c r="AL78" s="824"/>
      <c r="AM78" s="824"/>
      <c r="AN78" s="824"/>
      <c r="AO78" s="616"/>
      <c r="AP78" s="581"/>
      <c r="AQ78" s="581"/>
      <c r="AR78" s="824"/>
      <c r="AS78" s="824"/>
      <c r="AT78" s="824"/>
      <c r="AU78" s="824"/>
      <c r="AV78" s="824"/>
      <c r="AW78" s="824"/>
      <c r="AX78" s="824"/>
      <c r="AY78" s="824"/>
      <c r="AZ78" s="824"/>
      <c r="BA78" s="824"/>
      <c r="BB78" s="616"/>
      <c r="BC78" s="581"/>
      <c r="BD78" s="581"/>
      <c r="BE78" s="581"/>
      <c r="BF78" s="581"/>
      <c r="BG78" s="581"/>
      <c r="BH78" s="581"/>
    </row>
    <row r="79" spans="2:60" x14ac:dyDescent="0.25">
      <c r="B79" s="489" t="s">
        <v>45</v>
      </c>
      <c r="C79" s="670">
        <v>41</v>
      </c>
      <c r="D79" s="605" t="s">
        <v>25</v>
      </c>
      <c r="E79" s="317">
        <v>7</v>
      </c>
      <c r="F79" s="317">
        <v>3</v>
      </c>
      <c r="G79" s="823">
        <v>996</v>
      </c>
      <c r="H79" s="605">
        <v>910</v>
      </c>
      <c r="I79" s="605">
        <v>0</v>
      </c>
      <c r="J79" s="393">
        <v>6</v>
      </c>
      <c r="K79" s="607">
        <f>ROUND(H79*(1+'29_01_H_2020'!$F$10),2)</f>
        <v>1001</v>
      </c>
      <c r="L79" s="608">
        <f t="shared" si="73"/>
        <v>996</v>
      </c>
      <c r="M79" s="608">
        <f t="shared" si="74"/>
        <v>86</v>
      </c>
      <c r="N79" s="608">
        <f t="shared" si="75"/>
        <v>5</v>
      </c>
      <c r="O79" s="608">
        <f t="shared" si="76"/>
        <v>0</v>
      </c>
      <c r="P79" s="608">
        <f t="shared" si="77"/>
        <v>0</v>
      </c>
      <c r="Q79" s="609">
        <f t="shared" si="68"/>
        <v>91</v>
      </c>
      <c r="R79" s="609">
        <f t="shared" si="69"/>
        <v>546</v>
      </c>
      <c r="S79" s="609">
        <f t="shared" si="70"/>
        <v>6552</v>
      </c>
      <c r="T79" s="609">
        <f t="shared" si="71"/>
        <v>1578.38</v>
      </c>
      <c r="U79" s="610">
        <f t="shared" si="78"/>
        <v>8130.38</v>
      </c>
      <c r="V79" s="611"/>
      <c r="W79" s="611"/>
      <c r="X79" s="611"/>
      <c r="Y79" s="616"/>
      <c r="Z79" s="805"/>
      <c r="AA79" s="806"/>
      <c r="AB79" s="806"/>
      <c r="AC79" s="581"/>
      <c r="AD79" s="581"/>
      <c r="AE79" s="824"/>
      <c r="AF79" s="824"/>
      <c r="AG79" s="824"/>
      <c r="AH79" s="824"/>
      <c r="AI79" s="824"/>
      <c r="AJ79" s="824"/>
      <c r="AK79" s="824"/>
      <c r="AL79" s="824"/>
      <c r="AM79" s="824"/>
      <c r="AN79" s="824"/>
      <c r="AO79" s="616"/>
      <c r="AP79" s="581"/>
      <c r="AQ79" s="581"/>
      <c r="AR79" s="824"/>
      <c r="AS79" s="824"/>
      <c r="AT79" s="824"/>
      <c r="AU79" s="824"/>
      <c r="AV79" s="824"/>
      <c r="AW79" s="824"/>
      <c r="AX79" s="824"/>
      <c r="AY79" s="824"/>
      <c r="AZ79" s="824"/>
      <c r="BA79" s="824"/>
      <c r="BB79" s="616"/>
      <c r="BC79" s="581"/>
      <c r="BD79" s="581"/>
      <c r="BE79" s="581"/>
      <c r="BF79" s="581"/>
      <c r="BG79" s="581"/>
      <c r="BH79" s="581"/>
    </row>
    <row r="80" spans="2:60" x14ac:dyDescent="0.25">
      <c r="B80" s="489" t="s">
        <v>618</v>
      </c>
      <c r="C80" s="670">
        <v>41</v>
      </c>
      <c r="D80" s="605" t="s">
        <v>25</v>
      </c>
      <c r="E80" s="317">
        <v>7</v>
      </c>
      <c r="F80" s="317">
        <v>1</v>
      </c>
      <c r="G80" s="823">
        <v>675</v>
      </c>
      <c r="H80" s="605">
        <v>675</v>
      </c>
      <c r="I80" s="605">
        <v>0</v>
      </c>
      <c r="J80" s="393">
        <v>3</v>
      </c>
      <c r="K80" s="607">
        <f>ROUND(H80*(1+'29_01_H_2020'!$F$10),2)</f>
        <v>742.5</v>
      </c>
      <c r="L80" s="608">
        <f t="shared" si="73"/>
        <v>675</v>
      </c>
      <c r="M80" s="608">
        <f t="shared" si="74"/>
        <v>0</v>
      </c>
      <c r="N80" s="608">
        <f t="shared" si="75"/>
        <v>67.5</v>
      </c>
      <c r="O80" s="608">
        <f t="shared" si="76"/>
        <v>0</v>
      </c>
      <c r="P80" s="608">
        <f t="shared" si="77"/>
        <v>0</v>
      </c>
      <c r="Q80" s="609">
        <f t="shared" si="68"/>
        <v>67.5</v>
      </c>
      <c r="R80" s="609">
        <f t="shared" si="69"/>
        <v>202.5</v>
      </c>
      <c r="S80" s="609">
        <f t="shared" si="70"/>
        <v>2430</v>
      </c>
      <c r="T80" s="609">
        <f t="shared" si="71"/>
        <v>585.39</v>
      </c>
      <c r="U80" s="610">
        <f t="shared" si="78"/>
        <v>3015.39</v>
      </c>
      <c r="V80" s="611"/>
      <c r="W80" s="611"/>
      <c r="X80" s="611"/>
      <c r="Y80" s="616"/>
      <c r="Z80" s="805"/>
      <c r="AA80" s="806"/>
      <c r="AB80" s="806"/>
      <c r="AC80" s="581"/>
      <c r="AD80" s="581"/>
      <c r="AE80" s="824"/>
      <c r="AF80" s="824"/>
      <c r="AG80" s="824"/>
      <c r="AH80" s="824"/>
      <c r="AI80" s="824"/>
      <c r="AJ80" s="824"/>
      <c r="AK80" s="824"/>
      <c r="AL80" s="824"/>
      <c r="AM80" s="824"/>
      <c r="AN80" s="824"/>
      <c r="AO80" s="616"/>
      <c r="AP80" s="581"/>
      <c r="AQ80" s="581"/>
      <c r="AR80" s="824"/>
      <c r="AS80" s="824"/>
      <c r="AT80" s="824"/>
      <c r="AU80" s="824"/>
      <c r="AV80" s="824"/>
      <c r="AW80" s="824"/>
      <c r="AX80" s="824"/>
      <c r="AY80" s="824"/>
      <c r="AZ80" s="824"/>
      <c r="BA80" s="824"/>
      <c r="BB80" s="616"/>
      <c r="BC80" s="581"/>
      <c r="BD80" s="581"/>
      <c r="BE80" s="581"/>
      <c r="BF80" s="581"/>
      <c r="BG80" s="581"/>
      <c r="BH80" s="581"/>
    </row>
    <row r="81" spans="2:60" x14ac:dyDescent="0.25">
      <c r="B81" s="617" t="s">
        <v>55</v>
      </c>
      <c r="C81" s="618" t="s">
        <v>52</v>
      </c>
      <c r="D81" s="619" t="s">
        <v>52</v>
      </c>
      <c r="E81" s="619" t="s">
        <v>52</v>
      </c>
      <c r="F81" s="619" t="s">
        <v>52</v>
      </c>
      <c r="G81" s="620" t="s">
        <v>52</v>
      </c>
      <c r="H81" s="620" t="s">
        <v>52</v>
      </c>
      <c r="I81" s="620" t="s">
        <v>52</v>
      </c>
      <c r="J81" s="375">
        <f>SUM(J66:J80)</f>
        <v>72.25</v>
      </c>
      <c r="K81" s="621"/>
      <c r="L81" s="622"/>
      <c r="M81" s="622"/>
      <c r="N81" s="622"/>
      <c r="O81" s="622"/>
      <c r="P81" s="622"/>
      <c r="Q81" s="623"/>
      <c r="R81" s="623"/>
      <c r="S81" s="623"/>
      <c r="T81" s="623"/>
      <c r="U81" s="624"/>
      <c r="V81" s="581"/>
      <c r="W81" s="581"/>
      <c r="X81" s="581"/>
      <c r="Y81" s="581"/>
      <c r="Z81" s="581"/>
      <c r="AA81" s="581"/>
      <c r="AB81" s="581"/>
      <c r="AC81" s="581"/>
      <c r="AD81" s="581"/>
      <c r="AE81" s="581"/>
      <c r="AF81" s="581"/>
      <c r="AG81" s="581"/>
      <c r="AH81" s="581"/>
      <c r="AI81" s="581"/>
      <c r="AJ81" s="581"/>
      <c r="AK81" s="581"/>
      <c r="AL81" s="581"/>
      <c r="AM81" s="581"/>
      <c r="AN81" s="581"/>
      <c r="AO81" s="581"/>
      <c r="AP81" s="581"/>
      <c r="AQ81" s="581"/>
      <c r="AR81" s="581"/>
      <c r="AS81" s="581"/>
      <c r="AT81" s="581"/>
      <c r="AU81" s="581"/>
      <c r="AV81" s="581"/>
      <c r="AW81" s="581"/>
      <c r="AX81" s="581"/>
      <c r="AY81" s="581"/>
      <c r="AZ81" s="581"/>
      <c r="BA81" s="581"/>
      <c r="BB81" s="581"/>
      <c r="BC81" s="581"/>
      <c r="BD81" s="581"/>
      <c r="BE81" s="581"/>
      <c r="BF81" s="581"/>
      <c r="BG81" s="581"/>
      <c r="BH81" s="581"/>
    </row>
    <row r="82" spans="2:60" x14ac:dyDescent="0.25">
      <c r="B82" s="963" t="s">
        <v>46</v>
      </c>
      <c r="C82" s="964"/>
      <c r="D82" s="964"/>
      <c r="E82" s="964"/>
      <c r="F82" s="964"/>
      <c r="G82" s="964"/>
      <c r="H82" s="964"/>
      <c r="I82" s="964"/>
      <c r="J82" s="964"/>
      <c r="K82" s="625"/>
      <c r="L82" s="626"/>
      <c r="M82" s="626"/>
      <c r="N82" s="626"/>
      <c r="O82" s="626"/>
      <c r="P82" s="626"/>
      <c r="Q82" s="603"/>
      <c r="R82" s="603"/>
      <c r="S82" s="603"/>
      <c r="T82" s="603"/>
      <c r="U82" s="604"/>
      <c r="V82" s="581"/>
      <c r="W82" s="581"/>
      <c r="X82" s="581"/>
      <c r="Y82" s="581"/>
      <c r="Z82" s="581"/>
      <c r="AA82" s="581"/>
      <c r="AB82" s="581"/>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1"/>
      <c r="AY82" s="581"/>
      <c r="AZ82" s="581"/>
      <c r="BA82" s="581"/>
      <c r="BB82" s="581"/>
      <c r="BC82" s="581"/>
      <c r="BD82" s="581"/>
      <c r="BE82" s="581"/>
      <c r="BF82" s="581"/>
      <c r="BG82" s="581"/>
      <c r="BH82" s="581"/>
    </row>
    <row r="83" spans="2:60" x14ac:dyDescent="0.25">
      <c r="B83" s="57" t="s">
        <v>47</v>
      </c>
      <c r="C83" s="680" t="s">
        <v>22</v>
      </c>
      <c r="D83" s="605" t="s">
        <v>48</v>
      </c>
      <c r="E83" s="317">
        <v>5</v>
      </c>
      <c r="F83" s="317">
        <v>3</v>
      </c>
      <c r="G83" s="823">
        <v>802</v>
      </c>
      <c r="H83" s="605">
        <v>802</v>
      </c>
      <c r="I83" s="605">
        <v>0</v>
      </c>
      <c r="J83" s="393">
        <v>13.5</v>
      </c>
      <c r="K83" s="607">
        <f>ROUND(H83*(1+'29_01_H_2020'!$F$14),2)</f>
        <v>882.2</v>
      </c>
      <c r="L83" s="608">
        <f t="shared" ref="L83" si="79">IF(K83&lt;=G83,K83,G83)</f>
        <v>802</v>
      </c>
      <c r="M83" s="608">
        <f t="shared" ref="M83" si="80">L83-H83</f>
        <v>0</v>
      </c>
      <c r="N83" s="608">
        <f t="shared" ref="N83" si="81">K83-L83</f>
        <v>80.200000000000045</v>
      </c>
      <c r="O83" s="608">
        <f t="shared" ref="O83" si="82">ROUND(I83/H83*L83-I83,2)</f>
        <v>0</v>
      </c>
      <c r="P83" s="608">
        <f t="shared" ref="P83" si="83">ROUND(I83/H83*K83-I83-O83,2)</f>
        <v>0</v>
      </c>
      <c r="Q83" s="609">
        <f t="shared" ref="Q83:Q86" si="84">M83+N83+O83+P83</f>
        <v>80.200000000000045</v>
      </c>
      <c r="R83" s="609">
        <f>Q83*J83</f>
        <v>1082.7000000000007</v>
      </c>
      <c r="S83" s="609">
        <f t="shared" ref="S83:S86" si="85">R83*12</f>
        <v>12992.400000000009</v>
      </c>
      <c r="T83" s="609">
        <f t="shared" ref="T83:T86" si="86">ROUND(S83*0.2409,2)</f>
        <v>3129.87</v>
      </c>
      <c r="U83" s="610">
        <f t="shared" ref="U83" si="87">SUM(S83:T83)</f>
        <v>16122.270000000008</v>
      </c>
      <c r="V83" s="611"/>
      <c r="W83" s="611"/>
      <c r="X83" s="611"/>
      <c r="Y83" s="616"/>
      <c r="Z83" s="805"/>
      <c r="AA83" s="806"/>
      <c r="AB83" s="806"/>
      <c r="AC83" s="581"/>
      <c r="AD83" s="581"/>
      <c r="AE83" s="824"/>
      <c r="AF83" s="824"/>
      <c r="AG83" s="824"/>
      <c r="AH83" s="824"/>
      <c r="AI83" s="824"/>
      <c r="AJ83" s="824"/>
      <c r="AK83" s="824"/>
      <c r="AL83" s="824"/>
      <c r="AM83" s="824"/>
      <c r="AN83" s="824"/>
      <c r="AO83" s="616"/>
      <c r="AP83" s="581"/>
      <c r="AQ83" s="581"/>
      <c r="AR83" s="824"/>
      <c r="AS83" s="824"/>
      <c r="AT83" s="824"/>
      <c r="AU83" s="824"/>
      <c r="AV83" s="824"/>
      <c r="AW83" s="824"/>
      <c r="AX83" s="824"/>
      <c r="AY83" s="824"/>
      <c r="AZ83" s="824"/>
      <c r="BA83" s="824"/>
      <c r="BB83" s="616"/>
      <c r="BC83" s="581"/>
      <c r="BD83" s="581"/>
      <c r="BE83" s="581"/>
      <c r="BF83" s="581"/>
      <c r="BG83" s="581"/>
      <c r="BH83" s="581"/>
    </row>
    <row r="84" spans="2:60" x14ac:dyDescent="0.25">
      <c r="B84" s="57" t="s">
        <v>49</v>
      </c>
      <c r="C84" s="680">
        <v>23</v>
      </c>
      <c r="D84" s="605" t="s">
        <v>34</v>
      </c>
      <c r="E84" s="317">
        <v>4</v>
      </c>
      <c r="F84" s="317">
        <v>3</v>
      </c>
      <c r="G84" s="823">
        <v>705</v>
      </c>
      <c r="H84" s="605">
        <v>705</v>
      </c>
      <c r="I84" s="605">
        <v>0</v>
      </c>
      <c r="J84" s="393">
        <v>12</v>
      </c>
      <c r="K84" s="607">
        <f>ROUND(H84*(1+'29_01_H_2020'!$F$14),2)</f>
        <v>775.5</v>
      </c>
      <c r="L84" s="608">
        <f t="shared" ref="L84:L86" si="88">IF(K84&lt;=G84,K84,G84)</f>
        <v>705</v>
      </c>
      <c r="M84" s="608">
        <f t="shared" ref="M84:M86" si="89">L84-H84</f>
        <v>0</v>
      </c>
      <c r="N84" s="608">
        <f t="shared" ref="N84:N86" si="90">K84-L84</f>
        <v>70.5</v>
      </c>
      <c r="O84" s="608">
        <f t="shared" ref="O84:O86" si="91">ROUND(I84/H84*L84-I84,2)</f>
        <v>0</v>
      </c>
      <c r="P84" s="608">
        <f t="shared" ref="P84:P86" si="92">ROUND(I84/H84*K84-I84-O84,2)</f>
        <v>0</v>
      </c>
      <c r="Q84" s="609">
        <f t="shared" si="84"/>
        <v>70.5</v>
      </c>
      <c r="R84" s="609">
        <f>Q84*J84</f>
        <v>846</v>
      </c>
      <c r="S84" s="609">
        <f t="shared" si="85"/>
        <v>10152</v>
      </c>
      <c r="T84" s="609">
        <f t="shared" si="86"/>
        <v>2445.62</v>
      </c>
      <c r="U84" s="610">
        <f t="shared" ref="U84:U86" si="93">SUM(S84:T84)</f>
        <v>12597.619999999999</v>
      </c>
      <c r="V84" s="611"/>
      <c r="W84" s="611"/>
      <c r="X84" s="611"/>
      <c r="Y84" s="616"/>
      <c r="Z84" s="805"/>
      <c r="AA84" s="806"/>
      <c r="AB84" s="806"/>
      <c r="AC84" s="581"/>
      <c r="AD84" s="581"/>
      <c r="AE84" s="824"/>
      <c r="AF84" s="824"/>
      <c r="AG84" s="824"/>
      <c r="AH84" s="824"/>
      <c r="AI84" s="824"/>
      <c r="AJ84" s="824"/>
      <c r="AK84" s="824"/>
      <c r="AL84" s="824"/>
      <c r="AM84" s="824"/>
      <c r="AN84" s="824"/>
      <c r="AO84" s="616"/>
      <c r="AP84" s="581"/>
      <c r="AQ84" s="581"/>
      <c r="AR84" s="824"/>
      <c r="AS84" s="824"/>
      <c r="AT84" s="824"/>
      <c r="AU84" s="824"/>
      <c r="AV84" s="824"/>
      <c r="AW84" s="824"/>
      <c r="AX84" s="824"/>
      <c r="AY84" s="824"/>
      <c r="AZ84" s="824"/>
      <c r="BA84" s="824"/>
      <c r="BB84" s="616"/>
      <c r="BC84" s="581"/>
      <c r="BD84" s="581"/>
      <c r="BE84" s="581"/>
      <c r="BF84" s="581"/>
      <c r="BG84" s="581"/>
      <c r="BH84" s="581"/>
    </row>
    <row r="85" spans="2:60" x14ac:dyDescent="0.25">
      <c r="B85" s="57" t="s">
        <v>50</v>
      </c>
      <c r="C85" s="680">
        <v>13</v>
      </c>
      <c r="D85" s="605" t="s">
        <v>25</v>
      </c>
      <c r="E85" s="317">
        <v>4</v>
      </c>
      <c r="F85" s="317">
        <v>3</v>
      </c>
      <c r="G85" s="823">
        <v>705</v>
      </c>
      <c r="H85" s="605">
        <v>705</v>
      </c>
      <c r="I85" s="605">
        <v>0</v>
      </c>
      <c r="J85" s="393">
        <v>1</v>
      </c>
      <c r="K85" s="607">
        <f>ROUND(H85*(1+'29_01_H_2020'!$F$14),2)</f>
        <v>775.5</v>
      </c>
      <c r="L85" s="608">
        <f t="shared" si="88"/>
        <v>705</v>
      </c>
      <c r="M85" s="608">
        <f t="shared" si="89"/>
        <v>0</v>
      </c>
      <c r="N85" s="608">
        <f t="shared" si="90"/>
        <v>70.5</v>
      </c>
      <c r="O85" s="608">
        <f t="shared" si="91"/>
        <v>0</v>
      </c>
      <c r="P85" s="608">
        <f t="shared" si="92"/>
        <v>0</v>
      </c>
      <c r="Q85" s="609">
        <f t="shared" si="84"/>
        <v>70.5</v>
      </c>
      <c r="R85" s="609">
        <f>Q85*J85</f>
        <v>70.5</v>
      </c>
      <c r="S85" s="609">
        <f t="shared" si="85"/>
        <v>846</v>
      </c>
      <c r="T85" s="609">
        <f t="shared" si="86"/>
        <v>203.8</v>
      </c>
      <c r="U85" s="610">
        <f t="shared" si="93"/>
        <v>1049.8</v>
      </c>
      <c r="V85" s="611"/>
      <c r="W85" s="611"/>
      <c r="X85" s="611"/>
      <c r="Y85" s="616"/>
      <c r="Z85" s="805"/>
      <c r="AA85" s="806"/>
      <c r="AB85" s="806"/>
      <c r="AC85" s="581"/>
      <c r="AD85" s="581"/>
      <c r="AE85" s="824"/>
      <c r="AF85" s="824"/>
      <c r="AG85" s="824"/>
      <c r="AH85" s="824"/>
      <c r="AI85" s="824"/>
      <c r="AJ85" s="824"/>
      <c r="AK85" s="824"/>
      <c r="AL85" s="824"/>
      <c r="AM85" s="824"/>
      <c r="AN85" s="824"/>
      <c r="AO85" s="616"/>
      <c r="AP85" s="581"/>
      <c r="AQ85" s="581"/>
      <c r="AR85" s="824"/>
      <c r="AS85" s="824"/>
      <c r="AT85" s="824"/>
      <c r="AU85" s="824"/>
      <c r="AV85" s="824"/>
      <c r="AW85" s="824"/>
      <c r="AX85" s="824"/>
      <c r="AY85" s="824"/>
      <c r="AZ85" s="824"/>
      <c r="BA85" s="824"/>
      <c r="BB85" s="616"/>
      <c r="BC85" s="581"/>
      <c r="BD85" s="581"/>
      <c r="BE85" s="581"/>
      <c r="BF85" s="581"/>
      <c r="BG85" s="581"/>
      <c r="BH85" s="581"/>
    </row>
    <row r="86" spans="2:60" x14ac:dyDescent="0.25">
      <c r="B86" s="489" t="s">
        <v>51</v>
      </c>
      <c r="C86" s="680" t="s">
        <v>22</v>
      </c>
      <c r="D86" s="605" t="s">
        <v>36</v>
      </c>
      <c r="E86" s="317">
        <v>3</v>
      </c>
      <c r="F86" s="317">
        <v>3</v>
      </c>
      <c r="G86" s="823">
        <v>608</v>
      </c>
      <c r="H86" s="605">
        <v>608</v>
      </c>
      <c r="I86" s="605">
        <v>0</v>
      </c>
      <c r="J86" s="393">
        <v>13</v>
      </c>
      <c r="K86" s="607">
        <f>ROUND(H86*(1+'29_01_H_2020'!$F$14),2)</f>
        <v>668.8</v>
      </c>
      <c r="L86" s="608">
        <f t="shared" si="88"/>
        <v>608</v>
      </c>
      <c r="M86" s="608">
        <f t="shared" si="89"/>
        <v>0</v>
      </c>
      <c r="N86" s="608">
        <f t="shared" si="90"/>
        <v>60.799999999999955</v>
      </c>
      <c r="O86" s="608">
        <f t="shared" si="91"/>
        <v>0</v>
      </c>
      <c r="P86" s="608">
        <f t="shared" si="92"/>
        <v>0</v>
      </c>
      <c r="Q86" s="609">
        <f t="shared" si="84"/>
        <v>60.799999999999955</v>
      </c>
      <c r="R86" s="609">
        <f>Q86*J86</f>
        <v>790.39999999999941</v>
      </c>
      <c r="S86" s="609">
        <f t="shared" si="85"/>
        <v>9484.799999999992</v>
      </c>
      <c r="T86" s="609">
        <f t="shared" si="86"/>
        <v>2284.89</v>
      </c>
      <c r="U86" s="610">
        <f t="shared" si="93"/>
        <v>11769.689999999991</v>
      </c>
      <c r="V86" s="611"/>
      <c r="W86" s="611"/>
      <c r="X86" s="611"/>
      <c r="Y86" s="616"/>
      <c r="Z86" s="805"/>
      <c r="AA86" s="806"/>
      <c r="AB86" s="806"/>
      <c r="AC86" s="581"/>
      <c r="AD86" s="581"/>
      <c r="AE86" s="824"/>
      <c r="AF86" s="824"/>
      <c r="AG86" s="824"/>
      <c r="AH86" s="824"/>
      <c r="AI86" s="824"/>
      <c r="AJ86" s="824"/>
      <c r="AK86" s="824"/>
      <c r="AL86" s="824"/>
      <c r="AM86" s="824"/>
      <c r="AN86" s="824"/>
      <c r="AO86" s="616"/>
      <c r="AP86" s="581"/>
      <c r="AQ86" s="581"/>
      <c r="AR86" s="824"/>
      <c r="AS86" s="824"/>
      <c r="AT86" s="824"/>
      <c r="AU86" s="824"/>
      <c r="AV86" s="824"/>
      <c r="AW86" s="824"/>
      <c r="AX86" s="824"/>
      <c r="AY86" s="824"/>
      <c r="AZ86" s="824"/>
      <c r="BA86" s="824"/>
      <c r="BB86" s="616"/>
      <c r="BC86" s="581"/>
      <c r="BD86" s="581"/>
      <c r="BE86" s="581"/>
      <c r="BF86" s="581"/>
      <c r="BG86" s="581"/>
      <c r="BH86" s="581"/>
    </row>
    <row r="87" spans="2:60" ht="15.75" thickBot="1" x14ac:dyDescent="0.3">
      <c r="B87" s="693" t="s">
        <v>55</v>
      </c>
      <c r="C87" s="694" t="s">
        <v>52</v>
      </c>
      <c r="D87" s="695" t="s">
        <v>52</v>
      </c>
      <c r="E87" s="695" t="s">
        <v>52</v>
      </c>
      <c r="F87" s="695" t="s">
        <v>52</v>
      </c>
      <c r="G87" s="696" t="s">
        <v>52</v>
      </c>
      <c r="H87" s="696" t="s">
        <v>52</v>
      </c>
      <c r="I87" s="696" t="s">
        <v>52</v>
      </c>
      <c r="J87" s="421">
        <f>SUM(J83:J86)</f>
        <v>39.5</v>
      </c>
      <c r="K87" s="629"/>
      <c r="L87" s="630"/>
      <c r="M87" s="630"/>
      <c r="N87" s="630"/>
      <c r="O87" s="630"/>
      <c r="P87" s="630"/>
      <c r="Q87" s="631"/>
      <c r="R87" s="631"/>
      <c r="S87" s="631"/>
      <c r="T87" s="631"/>
      <c r="U87" s="632"/>
      <c r="V87" s="581"/>
      <c r="W87" s="581"/>
      <c r="X87" s="581"/>
      <c r="Y87" s="581"/>
      <c r="Z87" s="581"/>
      <c r="AA87" s="581"/>
      <c r="AB87" s="581"/>
      <c r="AC87" s="581"/>
      <c r="AD87" s="581"/>
      <c r="AE87" s="581"/>
      <c r="AF87" s="581"/>
      <c r="AG87" s="581"/>
      <c r="AH87" s="581"/>
      <c r="AI87" s="581"/>
      <c r="AJ87" s="581"/>
      <c r="AK87" s="581"/>
      <c r="AL87" s="581"/>
      <c r="AM87" s="581"/>
      <c r="AN87" s="581"/>
      <c r="AO87" s="581"/>
      <c r="AP87" s="581"/>
      <c r="AQ87" s="581"/>
      <c r="AR87" s="581"/>
      <c r="AS87" s="581"/>
      <c r="AT87" s="581"/>
      <c r="AU87" s="581"/>
      <c r="AV87" s="581"/>
      <c r="AW87" s="581"/>
      <c r="AX87" s="581"/>
      <c r="AY87" s="581"/>
      <c r="AZ87" s="581"/>
      <c r="BA87" s="581"/>
      <c r="BB87" s="581"/>
      <c r="BC87" s="581"/>
      <c r="BD87" s="581"/>
      <c r="BE87" s="581"/>
      <c r="BF87" s="581"/>
      <c r="BG87" s="581"/>
      <c r="BH87" s="581"/>
    </row>
    <row r="88" spans="2:60" ht="15.75" thickBot="1" x14ac:dyDescent="0.3">
      <c r="B88" s="812" t="s">
        <v>57</v>
      </c>
      <c r="C88" s="813"/>
      <c r="D88" s="813"/>
      <c r="E88" s="813"/>
      <c r="F88" s="813"/>
      <c r="G88" s="813"/>
      <c r="H88" s="813"/>
      <c r="I88" s="813"/>
      <c r="J88" s="422">
        <f>SUM(J64,J81,J87)</f>
        <v>129.5</v>
      </c>
      <c r="K88" s="635"/>
      <c r="L88" s="636"/>
      <c r="M88" s="636"/>
      <c r="N88" s="636"/>
      <c r="O88" s="636"/>
      <c r="P88" s="636"/>
      <c r="Q88" s="637"/>
      <c r="R88" s="637"/>
      <c r="S88" s="637"/>
      <c r="T88" s="827"/>
      <c r="U88" s="828">
        <f>SUM(U54:U63,U66:U80,U83:U86)</f>
        <v>189930.75999999995</v>
      </c>
      <c r="V88" s="581"/>
      <c r="W88" s="581"/>
      <c r="X88" s="581"/>
      <c r="Y88" s="581"/>
      <c r="Z88" s="581"/>
      <c r="AA88" s="581"/>
      <c r="AB88" s="581"/>
      <c r="AC88" s="581"/>
      <c r="AD88" s="581"/>
      <c r="AE88" s="581"/>
      <c r="AF88" s="581"/>
      <c r="AG88" s="581"/>
      <c r="AH88" s="581"/>
      <c r="AI88" s="581"/>
      <c r="AJ88" s="581"/>
      <c r="AK88" s="581"/>
      <c r="AL88" s="581"/>
      <c r="AM88" s="581"/>
      <c r="AN88" s="581"/>
      <c r="AO88" s="581"/>
      <c r="AP88" s="581"/>
      <c r="AQ88" s="581"/>
      <c r="AR88" s="581"/>
      <c r="AS88" s="581"/>
      <c r="AT88" s="581"/>
      <c r="AU88" s="581"/>
      <c r="AV88" s="581"/>
      <c r="AW88" s="581"/>
      <c r="AX88" s="581"/>
      <c r="AY88" s="581"/>
      <c r="AZ88" s="581"/>
      <c r="BA88" s="581"/>
      <c r="BB88" s="581"/>
      <c r="BC88" s="581"/>
      <c r="BD88" s="581"/>
      <c r="BE88" s="581"/>
      <c r="BF88" s="581"/>
      <c r="BG88" s="581"/>
      <c r="BH88" s="581"/>
    </row>
    <row r="89" spans="2:60" ht="15.75" thickBot="1" x14ac:dyDescent="0.3">
      <c r="B89" s="829"/>
      <c r="C89" s="829"/>
      <c r="D89" s="829"/>
      <c r="E89" s="829"/>
      <c r="F89" s="829"/>
      <c r="G89" s="829"/>
      <c r="H89" s="829"/>
      <c r="I89" s="829"/>
      <c r="J89" s="829"/>
      <c r="K89" s="711"/>
      <c r="L89" s="712"/>
      <c r="M89" s="712"/>
      <c r="N89" s="712"/>
      <c r="O89" s="712"/>
      <c r="P89" s="712"/>
      <c r="Q89" s="713"/>
      <c r="R89" s="713"/>
      <c r="S89" s="713"/>
      <c r="T89" s="713"/>
      <c r="U89" s="714"/>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1"/>
      <c r="AZ89" s="581"/>
      <c r="BA89" s="581"/>
      <c r="BB89" s="581"/>
      <c r="BC89" s="581"/>
      <c r="BD89" s="581"/>
      <c r="BE89" s="581"/>
      <c r="BF89" s="581"/>
      <c r="BG89" s="581"/>
      <c r="BH89" s="581"/>
    </row>
    <row r="90" spans="2:60" x14ac:dyDescent="0.25">
      <c r="B90" s="981" t="s">
        <v>53</v>
      </c>
      <c r="C90" s="982"/>
      <c r="D90" s="982"/>
      <c r="E90" s="982"/>
      <c r="F90" s="982"/>
      <c r="G90" s="982"/>
      <c r="H90" s="982"/>
      <c r="I90" s="982"/>
      <c r="J90" s="982"/>
      <c r="K90" s="652"/>
      <c r="L90" s="653"/>
      <c r="M90" s="653"/>
      <c r="N90" s="653"/>
      <c r="O90" s="653"/>
      <c r="P90" s="653"/>
      <c r="Q90" s="654"/>
      <c r="R90" s="654"/>
      <c r="S90" s="654"/>
      <c r="T90" s="654"/>
      <c r="U90" s="655"/>
      <c r="V90" s="581"/>
      <c r="W90" s="581"/>
      <c r="X90" s="581"/>
      <c r="Y90" s="581"/>
      <c r="Z90" s="581"/>
      <c r="AA90" s="581"/>
      <c r="AB90" s="581"/>
      <c r="AC90" s="581"/>
      <c r="AD90" s="581"/>
      <c r="AE90" s="581"/>
      <c r="AF90" s="581"/>
      <c r="AG90" s="581"/>
      <c r="AH90" s="581"/>
      <c r="AI90" s="581"/>
      <c r="AJ90" s="581"/>
      <c r="AK90" s="581"/>
      <c r="AL90" s="581"/>
      <c r="AM90" s="581"/>
      <c r="AN90" s="581"/>
      <c r="AO90" s="581"/>
      <c r="AP90" s="581"/>
      <c r="AQ90" s="581"/>
      <c r="AR90" s="581"/>
      <c r="AS90" s="581"/>
      <c r="AT90" s="581"/>
      <c r="AU90" s="581"/>
      <c r="AV90" s="581"/>
      <c r="AW90" s="581"/>
      <c r="AX90" s="581"/>
      <c r="AY90" s="581"/>
      <c r="AZ90" s="581"/>
      <c r="BA90" s="581"/>
      <c r="BB90" s="581"/>
      <c r="BC90" s="581"/>
      <c r="BD90" s="581"/>
      <c r="BE90" s="581"/>
      <c r="BF90" s="581"/>
      <c r="BG90" s="581"/>
      <c r="BH90" s="581"/>
    </row>
    <row r="91" spans="2:60" x14ac:dyDescent="0.25">
      <c r="B91" s="974" t="s">
        <v>54</v>
      </c>
      <c r="C91" s="975"/>
      <c r="D91" s="975"/>
      <c r="E91" s="975"/>
      <c r="F91" s="975"/>
      <c r="G91" s="975"/>
      <c r="H91" s="975"/>
      <c r="I91" s="975"/>
      <c r="J91" s="975"/>
      <c r="K91" s="666"/>
      <c r="L91" s="667"/>
      <c r="M91" s="667"/>
      <c r="N91" s="667"/>
      <c r="O91" s="667"/>
      <c r="P91" s="667"/>
      <c r="Q91" s="668"/>
      <c r="R91" s="980"/>
      <c r="S91" s="980"/>
      <c r="T91" s="668"/>
      <c r="U91" s="669"/>
      <c r="V91" s="581"/>
      <c r="W91" s="581"/>
      <c r="X91" s="581"/>
      <c r="Y91" s="581"/>
      <c r="Z91" s="581"/>
      <c r="AA91" s="581"/>
      <c r="AB91" s="581"/>
      <c r="AC91" s="581"/>
      <c r="AD91" s="581"/>
      <c r="AE91" s="581"/>
      <c r="AF91" s="581"/>
      <c r="AG91" s="581"/>
      <c r="AH91" s="581"/>
      <c r="AI91" s="581"/>
      <c r="AJ91" s="581"/>
      <c r="AK91" s="581"/>
      <c r="AL91" s="581"/>
      <c r="AM91" s="581"/>
      <c r="AN91" s="581"/>
      <c r="AO91" s="581"/>
      <c r="AP91" s="581"/>
      <c r="AQ91" s="581"/>
      <c r="AR91" s="581"/>
      <c r="AS91" s="581"/>
      <c r="AT91" s="581"/>
      <c r="AU91" s="581"/>
      <c r="AV91" s="581"/>
      <c r="AW91" s="581"/>
      <c r="AX91" s="581"/>
      <c r="AY91" s="581"/>
      <c r="AZ91" s="581"/>
      <c r="BA91" s="581"/>
      <c r="BB91" s="581"/>
      <c r="BC91" s="581"/>
      <c r="BD91" s="581"/>
      <c r="BE91" s="581"/>
      <c r="BF91" s="581"/>
      <c r="BG91" s="581"/>
      <c r="BH91" s="581"/>
    </row>
    <row r="92" spans="2:60" x14ac:dyDescent="0.25">
      <c r="B92" s="915" t="s">
        <v>10</v>
      </c>
      <c r="C92" s="916"/>
      <c r="D92" s="916"/>
      <c r="E92" s="916"/>
      <c r="F92" s="916"/>
      <c r="G92" s="916"/>
      <c r="H92" s="916"/>
      <c r="I92" s="916"/>
      <c r="J92" s="916"/>
      <c r="K92" s="625"/>
      <c r="L92" s="626"/>
      <c r="M92" s="626"/>
      <c r="N92" s="626"/>
      <c r="O92" s="626"/>
      <c r="P92" s="626"/>
      <c r="Q92" s="603"/>
      <c r="R92" s="603"/>
      <c r="S92" s="603"/>
      <c r="T92" s="603"/>
      <c r="U92" s="604"/>
      <c r="V92" s="581"/>
      <c r="W92" s="581"/>
      <c r="X92" s="581"/>
      <c r="Y92" s="581"/>
      <c r="Z92" s="581"/>
      <c r="AA92" s="581"/>
      <c r="AB92" s="581"/>
      <c r="AC92" s="581"/>
      <c r="AD92" s="581"/>
      <c r="AE92" s="581"/>
      <c r="AF92" s="581"/>
      <c r="AG92" s="581"/>
      <c r="AH92" s="581"/>
      <c r="AI92" s="581"/>
      <c r="AJ92" s="581"/>
      <c r="AK92" s="581"/>
      <c r="AL92" s="581"/>
      <c r="AM92" s="581"/>
      <c r="AN92" s="581"/>
      <c r="AO92" s="581"/>
      <c r="AP92" s="581"/>
      <c r="AQ92" s="581"/>
      <c r="AR92" s="581"/>
      <c r="AS92" s="581"/>
      <c r="AT92" s="581"/>
      <c r="AU92" s="581"/>
      <c r="AV92" s="581"/>
      <c r="AW92" s="581"/>
      <c r="AX92" s="581"/>
      <c r="AY92" s="581"/>
      <c r="AZ92" s="581"/>
      <c r="BA92" s="581"/>
      <c r="BB92" s="581"/>
      <c r="BC92" s="581"/>
      <c r="BD92" s="581"/>
      <c r="BE92" s="581"/>
      <c r="BF92" s="581"/>
      <c r="BG92" s="581"/>
      <c r="BH92" s="581"/>
    </row>
    <row r="93" spans="2:60" x14ac:dyDescent="0.25">
      <c r="B93" s="57" t="s">
        <v>24</v>
      </c>
      <c r="C93" s="46" t="s">
        <v>15</v>
      </c>
      <c r="D93" s="825" t="s">
        <v>25</v>
      </c>
      <c r="E93" s="606">
        <v>10</v>
      </c>
      <c r="F93" s="606">
        <v>3</v>
      </c>
      <c r="G93" s="823">
        <v>1287</v>
      </c>
      <c r="H93" s="605">
        <v>1287</v>
      </c>
      <c r="I93" s="605">
        <v>62.51</v>
      </c>
      <c r="J93" s="393">
        <f>7-1</f>
        <v>6</v>
      </c>
      <c r="K93" s="607">
        <f>ROUND(H93*(1+'29_01_H_2020'!$F$14),2)</f>
        <v>1415.7</v>
      </c>
      <c r="L93" s="608">
        <f t="shared" ref="L93" si="94">IF(K93&lt;=G93,K93,G93)</f>
        <v>1287</v>
      </c>
      <c r="M93" s="608">
        <f t="shared" ref="M93" si="95">L93-H93</f>
        <v>0</v>
      </c>
      <c r="N93" s="608">
        <f t="shared" ref="N93" si="96">K93-L93</f>
        <v>128.70000000000005</v>
      </c>
      <c r="O93" s="608">
        <f t="shared" ref="O93" si="97">ROUND(I93/H93*L93-I93,2)</f>
        <v>0</v>
      </c>
      <c r="P93" s="608">
        <f t="shared" ref="P93" si="98">ROUND(I93/H93*K93-I93-O93,2)</f>
        <v>6.25</v>
      </c>
      <c r="Q93" s="609">
        <f t="shared" ref="Q93" si="99">M93+N93+O93+P93</f>
        <v>134.95000000000005</v>
      </c>
      <c r="R93" s="609">
        <f>Q93*J93</f>
        <v>809.70000000000027</v>
      </c>
      <c r="S93" s="609">
        <f t="shared" ref="S93" si="100">R93*12</f>
        <v>9716.4000000000033</v>
      </c>
      <c r="T93" s="609">
        <f t="shared" ref="T93" si="101">ROUND(S93*0.2409,2)</f>
        <v>2340.6799999999998</v>
      </c>
      <c r="U93" s="610">
        <f t="shared" ref="U93" si="102">SUM(S93:T93)</f>
        <v>12057.080000000004</v>
      </c>
      <c r="V93" s="611"/>
      <c r="W93" s="611"/>
      <c r="X93" s="611"/>
      <c r="Y93" s="616"/>
      <c r="Z93" s="805"/>
      <c r="AA93" s="806"/>
      <c r="AB93" s="806"/>
      <c r="AC93" s="581"/>
      <c r="AD93" s="581"/>
      <c r="AE93" s="824"/>
      <c r="AF93" s="824"/>
      <c r="AG93" s="824"/>
      <c r="AH93" s="824"/>
      <c r="AI93" s="824"/>
      <c r="AJ93" s="824"/>
      <c r="AK93" s="824"/>
      <c r="AL93" s="824"/>
      <c r="AM93" s="824"/>
      <c r="AN93" s="824"/>
      <c r="AO93" s="616"/>
      <c r="AP93" s="581"/>
      <c r="AQ93" s="581"/>
      <c r="AR93" s="824"/>
      <c r="AS93" s="824"/>
      <c r="AT93" s="824"/>
      <c r="AU93" s="824"/>
      <c r="AV93" s="824"/>
      <c r="AW93" s="824"/>
      <c r="AX93" s="824"/>
      <c r="AY93" s="824"/>
      <c r="AZ93" s="824"/>
      <c r="BA93" s="824"/>
      <c r="BB93" s="616"/>
      <c r="BC93" s="581"/>
      <c r="BD93" s="581"/>
      <c r="BE93" s="581"/>
      <c r="BF93" s="581"/>
      <c r="BG93" s="581"/>
      <c r="BH93" s="581"/>
    </row>
    <row r="94" spans="2:60" x14ac:dyDescent="0.25">
      <c r="B94" s="617" t="s">
        <v>55</v>
      </c>
      <c r="C94" s="618" t="s">
        <v>52</v>
      </c>
      <c r="D94" s="619" t="s">
        <v>52</v>
      </c>
      <c r="E94" s="619" t="s">
        <v>52</v>
      </c>
      <c r="F94" s="619" t="s">
        <v>52</v>
      </c>
      <c r="G94" s="620" t="s">
        <v>52</v>
      </c>
      <c r="H94" s="620" t="s">
        <v>52</v>
      </c>
      <c r="I94" s="620" t="s">
        <v>52</v>
      </c>
      <c r="J94" s="375">
        <f>J93</f>
        <v>6</v>
      </c>
      <c r="K94" s="621"/>
      <c r="L94" s="622"/>
      <c r="M94" s="622"/>
      <c r="N94" s="622"/>
      <c r="O94" s="622"/>
      <c r="P94" s="622"/>
      <c r="Q94" s="623"/>
      <c r="R94" s="623"/>
      <c r="S94" s="623"/>
      <c r="T94" s="623"/>
      <c r="U94" s="624"/>
      <c r="V94" s="581"/>
      <c r="W94" s="581"/>
      <c r="X94" s="581"/>
      <c r="Y94" s="581"/>
      <c r="Z94" s="581"/>
      <c r="AA94" s="581"/>
      <c r="AB94" s="581"/>
      <c r="AC94" s="581"/>
      <c r="AD94" s="581"/>
      <c r="AE94" s="581"/>
      <c r="AF94" s="581"/>
      <c r="AG94" s="581"/>
      <c r="AH94" s="581"/>
      <c r="AI94" s="581"/>
      <c r="AJ94" s="581"/>
      <c r="AK94" s="581"/>
      <c r="AL94" s="581"/>
      <c r="AM94" s="581"/>
      <c r="AN94" s="581"/>
      <c r="AO94" s="581"/>
      <c r="AP94" s="581"/>
      <c r="AQ94" s="581"/>
      <c r="AR94" s="581"/>
      <c r="AS94" s="581"/>
      <c r="AT94" s="581"/>
      <c r="AU94" s="581"/>
      <c r="AV94" s="581"/>
      <c r="AW94" s="581"/>
      <c r="AX94" s="581"/>
      <c r="AY94" s="581"/>
      <c r="AZ94" s="581"/>
      <c r="BA94" s="581"/>
      <c r="BB94" s="581"/>
      <c r="BC94" s="581"/>
      <c r="BD94" s="581"/>
      <c r="BE94" s="581"/>
      <c r="BF94" s="581"/>
      <c r="BG94" s="581"/>
      <c r="BH94" s="581"/>
    </row>
    <row r="95" spans="2:60" x14ac:dyDescent="0.25">
      <c r="B95" s="963" t="s">
        <v>27</v>
      </c>
      <c r="C95" s="964"/>
      <c r="D95" s="964"/>
      <c r="E95" s="964"/>
      <c r="F95" s="964"/>
      <c r="G95" s="964"/>
      <c r="H95" s="964"/>
      <c r="I95" s="964"/>
      <c r="J95" s="964"/>
      <c r="K95" s="625"/>
      <c r="L95" s="626"/>
      <c r="M95" s="626"/>
      <c r="N95" s="626"/>
      <c r="O95" s="626"/>
      <c r="P95" s="626"/>
      <c r="Q95" s="603"/>
      <c r="R95" s="603"/>
      <c r="S95" s="603"/>
      <c r="T95" s="603"/>
      <c r="U95" s="604"/>
      <c r="V95" s="581"/>
      <c r="W95" s="581"/>
      <c r="X95" s="581"/>
      <c r="Y95" s="581"/>
      <c r="Z95" s="581"/>
      <c r="AA95" s="581"/>
      <c r="AB95" s="581"/>
      <c r="AC95" s="581"/>
      <c r="AD95" s="581"/>
      <c r="AE95" s="581"/>
      <c r="AF95" s="581"/>
      <c r="AG95" s="581"/>
      <c r="AH95" s="581"/>
      <c r="AI95" s="581"/>
      <c r="AJ95" s="581"/>
      <c r="AK95" s="581"/>
      <c r="AL95" s="581"/>
      <c r="AM95" s="581"/>
      <c r="AN95" s="581"/>
      <c r="AO95" s="581"/>
      <c r="AP95" s="581"/>
      <c r="AQ95" s="581"/>
      <c r="AR95" s="581"/>
      <c r="AS95" s="581"/>
      <c r="AT95" s="581"/>
      <c r="AU95" s="581"/>
      <c r="AV95" s="581"/>
      <c r="AW95" s="581"/>
      <c r="AX95" s="581"/>
      <c r="AY95" s="581"/>
      <c r="AZ95" s="581"/>
      <c r="BA95" s="581"/>
      <c r="BB95" s="581"/>
      <c r="BC95" s="581"/>
      <c r="BD95" s="581"/>
      <c r="BE95" s="581"/>
      <c r="BF95" s="581"/>
      <c r="BG95" s="581"/>
      <c r="BH95" s="581"/>
    </row>
    <row r="96" spans="2:60" x14ac:dyDescent="0.25">
      <c r="B96" s="489" t="s">
        <v>37</v>
      </c>
      <c r="C96" s="670" t="s">
        <v>15</v>
      </c>
      <c r="D96" s="317" t="s">
        <v>36</v>
      </c>
      <c r="E96" s="317">
        <v>8</v>
      </c>
      <c r="F96" s="317">
        <v>3</v>
      </c>
      <c r="G96" s="823">
        <v>1093</v>
      </c>
      <c r="H96" s="317">
        <v>0</v>
      </c>
      <c r="I96" s="317">
        <v>0</v>
      </c>
      <c r="J96" s="438">
        <v>0</v>
      </c>
      <c r="K96" s="607">
        <f>ROUND(H96*(1+'29_01_H_2020'!$F$10),2)</f>
        <v>0</v>
      </c>
      <c r="L96" s="608">
        <f t="shared" ref="L96" si="103">IF(K96&lt;=G96,K96,G96)</f>
        <v>0</v>
      </c>
      <c r="M96" s="608">
        <f t="shared" ref="M96" si="104">L96-H96</f>
        <v>0</v>
      </c>
      <c r="N96" s="608">
        <f t="shared" ref="N96" si="105">K96-L96</f>
        <v>0</v>
      </c>
      <c r="O96" s="608">
        <v>0</v>
      </c>
      <c r="P96" s="608">
        <v>0</v>
      </c>
      <c r="Q96" s="609">
        <f t="shared" ref="Q96:Q98" si="106">M96+N96+O96+P96</f>
        <v>0</v>
      </c>
      <c r="R96" s="609">
        <f>Q96*J96</f>
        <v>0</v>
      </c>
      <c r="S96" s="609">
        <f t="shared" ref="S96:S98" si="107">R96*12</f>
        <v>0</v>
      </c>
      <c r="T96" s="609">
        <f t="shared" ref="T96:T98" si="108">ROUND(S96*0.2409,2)</f>
        <v>0</v>
      </c>
      <c r="U96" s="610">
        <f t="shared" ref="U96" si="109">SUM(S96:T96)</f>
        <v>0</v>
      </c>
      <c r="V96" s="611"/>
      <c r="W96" s="611"/>
      <c r="X96" s="611"/>
      <c r="Y96" s="616"/>
      <c r="Z96" s="805"/>
      <c r="AA96" s="806"/>
      <c r="AB96" s="806"/>
      <c r="AC96" s="581"/>
      <c r="AD96" s="581"/>
      <c r="AE96" s="824"/>
      <c r="AF96" s="824"/>
      <c r="AG96" s="824"/>
      <c r="AH96" s="824"/>
      <c r="AI96" s="824"/>
      <c r="AJ96" s="824"/>
      <c r="AK96" s="824"/>
      <c r="AL96" s="824"/>
      <c r="AM96" s="824"/>
      <c r="AN96" s="824"/>
      <c r="AO96" s="616"/>
      <c r="AP96" s="581"/>
      <c r="AQ96" s="581"/>
      <c r="AR96" s="581"/>
      <c r="AS96" s="581"/>
      <c r="AT96" s="581"/>
      <c r="AU96" s="581"/>
      <c r="AV96" s="581"/>
      <c r="AW96" s="581"/>
      <c r="AX96" s="581"/>
      <c r="AY96" s="581"/>
      <c r="AZ96" s="581"/>
      <c r="BA96" s="581"/>
      <c r="BB96" s="581"/>
      <c r="BC96" s="581"/>
      <c r="BD96" s="581"/>
      <c r="BE96" s="581"/>
      <c r="BF96" s="581"/>
      <c r="BG96" s="581"/>
      <c r="BH96" s="581"/>
    </row>
    <row r="97" spans="2:60" x14ac:dyDescent="0.25">
      <c r="B97" s="489" t="s">
        <v>39</v>
      </c>
      <c r="C97" s="46" t="s">
        <v>22</v>
      </c>
      <c r="D97" s="605" t="s">
        <v>25</v>
      </c>
      <c r="E97" s="317">
        <v>7</v>
      </c>
      <c r="F97" s="317">
        <v>3</v>
      </c>
      <c r="G97" s="823">
        <v>996</v>
      </c>
      <c r="H97" s="605">
        <v>833</v>
      </c>
      <c r="I97" s="605">
        <v>49.27</v>
      </c>
      <c r="J97" s="393">
        <f>22.5-2</f>
        <v>20.5</v>
      </c>
      <c r="K97" s="607">
        <f>ROUND(H97*(1+'29_01_H_2020'!$F$10),2)</f>
        <v>916.3</v>
      </c>
      <c r="L97" s="608">
        <f t="shared" ref="L97:L98" si="110">IF(K97&lt;=G97,K97,G97)</f>
        <v>916.3</v>
      </c>
      <c r="M97" s="608">
        <f t="shared" ref="M97:M98" si="111">L97-H97</f>
        <v>83.299999999999955</v>
      </c>
      <c r="N97" s="608">
        <f t="shared" ref="N97:N98" si="112">K97-L97</f>
        <v>0</v>
      </c>
      <c r="O97" s="608">
        <f t="shared" ref="O97:O98" si="113">ROUND(I97/H97*L97-I97,2)</f>
        <v>4.93</v>
      </c>
      <c r="P97" s="608">
        <f t="shared" ref="P97:P98" si="114">ROUND(I97/H97*K97-I97-O97,2)</f>
        <v>0</v>
      </c>
      <c r="Q97" s="609">
        <f t="shared" si="106"/>
        <v>88.229999999999961</v>
      </c>
      <c r="R97" s="609">
        <f>Q97*J97</f>
        <v>1808.7149999999992</v>
      </c>
      <c r="S97" s="609">
        <f t="shared" si="107"/>
        <v>21704.579999999991</v>
      </c>
      <c r="T97" s="609">
        <f t="shared" si="108"/>
        <v>5228.63</v>
      </c>
      <c r="U97" s="610">
        <f t="shared" ref="U97:U98" si="115">SUM(S97:T97)</f>
        <v>26933.209999999992</v>
      </c>
      <c r="V97" s="611"/>
      <c r="W97" s="611"/>
      <c r="X97" s="611"/>
      <c r="Y97" s="616"/>
      <c r="Z97" s="805"/>
      <c r="AA97" s="806"/>
      <c r="AB97" s="806"/>
      <c r="AC97" s="581"/>
      <c r="AD97" s="581"/>
      <c r="AE97" s="824"/>
      <c r="AF97" s="824"/>
      <c r="AG97" s="824"/>
      <c r="AH97" s="824"/>
      <c r="AI97" s="824"/>
      <c r="AJ97" s="824"/>
      <c r="AK97" s="824"/>
      <c r="AL97" s="824"/>
      <c r="AM97" s="824"/>
      <c r="AN97" s="824"/>
      <c r="AO97" s="616"/>
      <c r="AP97" s="581"/>
      <c r="AQ97" s="581"/>
      <c r="AR97" s="824"/>
      <c r="AS97" s="824"/>
      <c r="AT97" s="824"/>
      <c r="AU97" s="824"/>
      <c r="AV97" s="824"/>
      <c r="AW97" s="824"/>
      <c r="AX97" s="824"/>
      <c r="AY97" s="824"/>
      <c r="AZ97" s="824"/>
      <c r="BA97" s="824"/>
      <c r="BB97" s="616"/>
      <c r="BC97" s="581"/>
      <c r="BD97" s="581"/>
      <c r="BE97" s="581"/>
      <c r="BF97" s="581"/>
      <c r="BG97" s="581"/>
      <c r="BH97" s="581"/>
    </row>
    <row r="98" spans="2:60" x14ac:dyDescent="0.25">
      <c r="B98" s="489" t="s">
        <v>31</v>
      </c>
      <c r="C98" s="680" t="s">
        <v>22</v>
      </c>
      <c r="D98" s="605" t="s">
        <v>41</v>
      </c>
      <c r="E98" s="317">
        <v>6</v>
      </c>
      <c r="F98" s="317">
        <v>3</v>
      </c>
      <c r="G98" s="823">
        <v>899</v>
      </c>
      <c r="H98" s="605">
        <v>899</v>
      </c>
      <c r="I98" s="605">
        <v>35.43</v>
      </c>
      <c r="J98" s="393">
        <v>1.9</v>
      </c>
      <c r="K98" s="607">
        <f>ROUND(H98*(1+'29_01_H_2020'!$F$10),2)</f>
        <v>988.9</v>
      </c>
      <c r="L98" s="608">
        <f t="shared" si="110"/>
        <v>899</v>
      </c>
      <c r="M98" s="608">
        <f t="shared" si="111"/>
        <v>0</v>
      </c>
      <c r="N98" s="608">
        <f t="shared" si="112"/>
        <v>89.899999999999977</v>
      </c>
      <c r="O98" s="608">
        <f t="shared" si="113"/>
        <v>0</v>
      </c>
      <c r="P98" s="608">
        <f t="shared" si="114"/>
        <v>3.54</v>
      </c>
      <c r="Q98" s="609">
        <f t="shared" si="106"/>
        <v>93.439999999999984</v>
      </c>
      <c r="R98" s="609">
        <f>Q98*J98</f>
        <v>177.53599999999997</v>
      </c>
      <c r="S98" s="609">
        <f t="shared" si="107"/>
        <v>2130.4319999999998</v>
      </c>
      <c r="T98" s="609">
        <f t="shared" si="108"/>
        <v>513.22</v>
      </c>
      <c r="U98" s="610">
        <f t="shared" si="115"/>
        <v>2643.652</v>
      </c>
      <c r="V98" s="611"/>
      <c r="W98" s="611"/>
      <c r="X98" s="611"/>
      <c r="Y98" s="616"/>
      <c r="Z98" s="805"/>
      <c r="AA98" s="806"/>
      <c r="AB98" s="806"/>
      <c r="AC98" s="581"/>
      <c r="AD98" s="581"/>
      <c r="AE98" s="824"/>
      <c r="AF98" s="824"/>
      <c r="AG98" s="824"/>
      <c r="AH98" s="824"/>
      <c r="AI98" s="824"/>
      <c r="AJ98" s="824"/>
      <c r="AK98" s="824"/>
      <c r="AL98" s="824"/>
      <c r="AM98" s="824"/>
      <c r="AN98" s="824"/>
      <c r="AO98" s="616"/>
      <c r="AP98" s="581"/>
      <c r="AQ98" s="581"/>
      <c r="AR98" s="824"/>
      <c r="AS98" s="824"/>
      <c r="AT98" s="824"/>
      <c r="AU98" s="824"/>
      <c r="AV98" s="824"/>
      <c r="AW98" s="824"/>
      <c r="AX98" s="824"/>
      <c r="AY98" s="824"/>
      <c r="AZ98" s="824"/>
      <c r="BA98" s="824"/>
      <c r="BB98" s="616"/>
      <c r="BC98" s="581"/>
      <c r="BD98" s="581"/>
      <c r="BE98" s="581"/>
      <c r="BF98" s="581"/>
      <c r="BG98" s="581"/>
      <c r="BH98" s="581"/>
    </row>
    <row r="99" spans="2:60" x14ac:dyDescent="0.25">
      <c r="B99" s="617" t="s">
        <v>55</v>
      </c>
      <c r="C99" s="618" t="s">
        <v>52</v>
      </c>
      <c r="D99" s="619" t="s">
        <v>52</v>
      </c>
      <c r="E99" s="619" t="s">
        <v>52</v>
      </c>
      <c r="F99" s="619" t="s">
        <v>52</v>
      </c>
      <c r="G99" s="620" t="s">
        <v>52</v>
      </c>
      <c r="H99" s="620" t="s">
        <v>52</v>
      </c>
      <c r="I99" s="620" t="s">
        <v>52</v>
      </c>
      <c r="J99" s="375">
        <f>SUM(J96:J98)</f>
        <v>22.4</v>
      </c>
      <c r="K99" s="621"/>
      <c r="L99" s="622"/>
      <c r="M99" s="622"/>
      <c r="N99" s="622"/>
      <c r="O99" s="622"/>
      <c r="P99" s="622"/>
      <c r="Q99" s="623"/>
      <c r="R99" s="623"/>
      <c r="S99" s="623"/>
      <c r="T99" s="623"/>
      <c r="U99" s="624"/>
      <c r="V99" s="581"/>
      <c r="W99" s="581"/>
      <c r="X99" s="581"/>
      <c r="Y99" s="581"/>
      <c r="Z99" s="581"/>
      <c r="AA99" s="581"/>
      <c r="AB99" s="581"/>
      <c r="AC99" s="581"/>
      <c r="AD99" s="581"/>
      <c r="AE99" s="581"/>
      <c r="AF99" s="581"/>
      <c r="AG99" s="581"/>
      <c r="AH99" s="581"/>
      <c r="AI99" s="581"/>
      <c r="AJ99" s="581"/>
      <c r="AK99" s="581"/>
      <c r="AL99" s="581"/>
      <c r="AM99" s="581"/>
      <c r="AN99" s="581"/>
      <c r="AO99" s="581"/>
      <c r="AP99" s="581"/>
      <c r="AQ99" s="581"/>
      <c r="AR99" s="581"/>
      <c r="AS99" s="581"/>
      <c r="AT99" s="581"/>
      <c r="AU99" s="581"/>
      <c r="AV99" s="581"/>
      <c r="AW99" s="581"/>
      <c r="AX99" s="581"/>
      <c r="AY99" s="581"/>
      <c r="AZ99" s="581"/>
      <c r="BA99" s="581"/>
      <c r="BB99" s="581"/>
      <c r="BC99" s="581"/>
      <c r="BD99" s="581"/>
      <c r="BE99" s="581"/>
      <c r="BF99" s="581"/>
      <c r="BG99" s="581"/>
      <c r="BH99" s="581"/>
    </row>
    <row r="100" spans="2:60" x14ac:dyDescent="0.25">
      <c r="B100" s="963" t="s">
        <v>46</v>
      </c>
      <c r="C100" s="964"/>
      <c r="D100" s="964"/>
      <c r="E100" s="964"/>
      <c r="F100" s="964"/>
      <c r="G100" s="964"/>
      <c r="H100" s="964"/>
      <c r="I100" s="964"/>
      <c r="J100" s="964"/>
      <c r="K100" s="625"/>
      <c r="L100" s="626"/>
      <c r="M100" s="626"/>
      <c r="N100" s="626"/>
      <c r="O100" s="626"/>
      <c r="P100" s="626"/>
      <c r="Q100" s="603"/>
      <c r="R100" s="603"/>
      <c r="S100" s="603"/>
      <c r="T100" s="603"/>
      <c r="U100" s="604"/>
      <c r="V100" s="581"/>
      <c r="W100" s="581"/>
      <c r="X100" s="581"/>
      <c r="Y100" s="581"/>
      <c r="Z100" s="581"/>
      <c r="AA100" s="581"/>
      <c r="AB100" s="581"/>
      <c r="AC100" s="581"/>
      <c r="AD100" s="581"/>
      <c r="AE100" s="581"/>
      <c r="AF100" s="581"/>
      <c r="AG100" s="581"/>
      <c r="AH100" s="581"/>
      <c r="AI100" s="581"/>
      <c r="AJ100" s="581"/>
      <c r="AK100" s="581"/>
      <c r="AL100" s="581"/>
      <c r="AM100" s="581"/>
      <c r="AN100" s="581"/>
      <c r="AO100" s="581"/>
      <c r="AP100" s="581"/>
      <c r="AQ100" s="581"/>
      <c r="AR100" s="581"/>
      <c r="AS100" s="581"/>
      <c r="AT100" s="581"/>
      <c r="AU100" s="581"/>
      <c r="AV100" s="581"/>
      <c r="AW100" s="581"/>
      <c r="AX100" s="581"/>
      <c r="AY100" s="581"/>
      <c r="AZ100" s="581"/>
      <c r="BA100" s="581"/>
      <c r="BB100" s="581"/>
      <c r="BC100" s="581"/>
      <c r="BD100" s="581"/>
      <c r="BE100" s="581"/>
      <c r="BF100" s="581"/>
      <c r="BG100" s="581"/>
      <c r="BH100" s="581"/>
    </row>
    <row r="101" spans="2:60" x14ac:dyDescent="0.25">
      <c r="B101" s="57" t="s">
        <v>49</v>
      </c>
      <c r="C101" s="680">
        <v>23</v>
      </c>
      <c r="D101" s="605" t="s">
        <v>34</v>
      </c>
      <c r="E101" s="317">
        <v>4</v>
      </c>
      <c r="F101" s="317">
        <v>3</v>
      </c>
      <c r="G101" s="823">
        <v>705</v>
      </c>
      <c r="H101" s="605">
        <v>541</v>
      </c>
      <c r="I101" s="605">
        <v>0</v>
      </c>
      <c r="J101" s="393">
        <f>2.1-0.5</f>
        <v>1.6</v>
      </c>
      <c r="K101" s="607">
        <f>ROUND(H101*(1+'29_01_H_2020'!$F$14),2)</f>
        <v>595.1</v>
      </c>
      <c r="L101" s="608">
        <f t="shared" ref="L101" si="116">IF(K101&lt;=G101,K101,G101)</f>
        <v>595.1</v>
      </c>
      <c r="M101" s="608">
        <f t="shared" ref="M101" si="117">L101-H101</f>
        <v>54.100000000000023</v>
      </c>
      <c r="N101" s="608">
        <f t="shared" ref="N101" si="118">K101-L101</f>
        <v>0</v>
      </c>
      <c r="O101" s="608">
        <f t="shared" ref="O101" si="119">ROUND(I101/H101*L101-I101,2)</f>
        <v>0</v>
      </c>
      <c r="P101" s="608">
        <f t="shared" ref="P101" si="120">ROUND(I101/H101*K101-I101-O101,2)</f>
        <v>0</v>
      </c>
      <c r="Q101" s="609">
        <f t="shared" ref="Q101:Q102" si="121">M101+N101+O101+P101</f>
        <v>54.100000000000023</v>
      </c>
      <c r="R101" s="609">
        <f>Q101*J101</f>
        <v>86.560000000000045</v>
      </c>
      <c r="S101" s="609">
        <f t="shared" ref="S101:S102" si="122">R101*12</f>
        <v>1038.7200000000005</v>
      </c>
      <c r="T101" s="609">
        <f t="shared" ref="T101:T102" si="123">ROUND(S101*0.2409,2)</f>
        <v>250.23</v>
      </c>
      <c r="U101" s="610">
        <f t="shared" ref="U101" si="124">SUM(S101:T101)</f>
        <v>1288.9500000000005</v>
      </c>
      <c r="V101" s="611"/>
      <c r="W101" s="611"/>
      <c r="X101" s="611"/>
      <c r="Y101" s="616"/>
      <c r="Z101" s="805"/>
      <c r="AA101" s="806"/>
      <c r="AB101" s="806"/>
      <c r="AC101" s="581"/>
      <c r="AD101" s="581"/>
      <c r="AE101" s="824"/>
      <c r="AF101" s="824"/>
      <c r="AG101" s="824"/>
      <c r="AH101" s="824"/>
      <c r="AI101" s="824"/>
      <c r="AJ101" s="824"/>
      <c r="AK101" s="824"/>
      <c r="AL101" s="824"/>
      <c r="AM101" s="824"/>
      <c r="AN101" s="824"/>
      <c r="AO101" s="616"/>
      <c r="AP101" s="581"/>
      <c r="AQ101" s="581"/>
      <c r="AR101" s="824"/>
      <c r="AS101" s="824"/>
      <c r="AT101" s="824"/>
      <c r="AU101" s="824"/>
      <c r="AV101" s="824"/>
      <c r="AW101" s="824"/>
      <c r="AX101" s="824"/>
      <c r="AY101" s="824"/>
      <c r="AZ101" s="824"/>
      <c r="BA101" s="824"/>
      <c r="BB101" s="616"/>
      <c r="BC101" s="581"/>
      <c r="BD101" s="581"/>
      <c r="BE101" s="581"/>
      <c r="BF101" s="581"/>
      <c r="BG101" s="581"/>
      <c r="BH101" s="581"/>
    </row>
    <row r="102" spans="2:60" x14ac:dyDescent="0.25">
      <c r="B102" s="57" t="s">
        <v>47</v>
      </c>
      <c r="C102" s="680" t="s">
        <v>22</v>
      </c>
      <c r="D102" s="605" t="s">
        <v>34</v>
      </c>
      <c r="E102" s="317">
        <v>5</v>
      </c>
      <c r="F102" s="317">
        <v>3</v>
      </c>
      <c r="G102" s="823">
        <v>802</v>
      </c>
      <c r="H102" s="605">
        <v>583</v>
      </c>
      <c r="I102" s="605">
        <v>5.28</v>
      </c>
      <c r="J102" s="393">
        <f>5.4-0.5</f>
        <v>4.9000000000000004</v>
      </c>
      <c r="K102" s="607">
        <f>ROUND(H102*(1+'29_01_H_2020'!$F$14),2)</f>
        <v>641.29999999999995</v>
      </c>
      <c r="L102" s="608">
        <f t="shared" ref="L102" si="125">IF(K102&lt;=G102,K102,G102)</f>
        <v>641.29999999999995</v>
      </c>
      <c r="M102" s="608">
        <f t="shared" ref="M102" si="126">L102-H102</f>
        <v>58.299999999999955</v>
      </c>
      <c r="N102" s="608">
        <f t="shared" ref="N102" si="127">K102-L102</f>
        <v>0</v>
      </c>
      <c r="O102" s="608">
        <f t="shared" ref="O102" si="128">ROUND(I102/H102*L102-I102,2)</f>
        <v>0.53</v>
      </c>
      <c r="P102" s="608">
        <f t="shared" ref="P102" si="129">ROUND(I102/H102*K102-I102-O102,2)</f>
        <v>0</v>
      </c>
      <c r="Q102" s="609">
        <f t="shared" si="121"/>
        <v>58.829999999999956</v>
      </c>
      <c r="R102" s="609">
        <f>Q102*J102</f>
        <v>288.26699999999983</v>
      </c>
      <c r="S102" s="609">
        <f t="shared" si="122"/>
        <v>3459.2039999999979</v>
      </c>
      <c r="T102" s="609">
        <f t="shared" si="123"/>
        <v>833.32</v>
      </c>
      <c r="U102" s="610">
        <f t="shared" ref="U102" si="130">SUM(S102:T102)</f>
        <v>4292.5239999999976</v>
      </c>
      <c r="V102" s="611"/>
      <c r="W102" s="611"/>
      <c r="X102" s="611"/>
      <c r="Y102" s="616"/>
      <c r="Z102" s="805"/>
      <c r="AA102" s="806"/>
      <c r="AB102" s="806"/>
      <c r="AC102" s="581"/>
      <c r="AD102" s="581"/>
      <c r="AE102" s="824"/>
      <c r="AF102" s="824"/>
      <c r="AG102" s="824"/>
      <c r="AH102" s="824"/>
      <c r="AI102" s="824"/>
      <c r="AJ102" s="824"/>
      <c r="AK102" s="824"/>
      <c r="AL102" s="824"/>
      <c r="AM102" s="824"/>
      <c r="AN102" s="824"/>
      <c r="AO102" s="616"/>
      <c r="AP102" s="581"/>
      <c r="AQ102" s="581"/>
      <c r="AR102" s="824"/>
      <c r="AS102" s="824"/>
      <c r="AT102" s="824"/>
      <c r="AU102" s="824"/>
      <c r="AV102" s="824"/>
      <c r="AW102" s="824"/>
      <c r="AX102" s="824"/>
      <c r="AY102" s="824"/>
      <c r="AZ102" s="824"/>
      <c r="BA102" s="824"/>
      <c r="BB102" s="616"/>
      <c r="BC102" s="581"/>
      <c r="BD102" s="581"/>
      <c r="BE102" s="581"/>
      <c r="BF102" s="581"/>
      <c r="BG102" s="581"/>
      <c r="BH102" s="581"/>
    </row>
    <row r="103" spans="2:60" ht="15.75" thickBot="1" x14ac:dyDescent="0.3">
      <c r="B103" s="617" t="s">
        <v>55</v>
      </c>
      <c r="C103" s="618" t="s">
        <v>52</v>
      </c>
      <c r="D103" s="619" t="s">
        <v>52</v>
      </c>
      <c r="E103" s="619" t="s">
        <v>52</v>
      </c>
      <c r="F103" s="619" t="s">
        <v>52</v>
      </c>
      <c r="G103" s="620" t="s">
        <v>52</v>
      </c>
      <c r="H103" s="620" t="s">
        <v>52</v>
      </c>
      <c r="I103" s="620" t="s">
        <v>52</v>
      </c>
      <c r="J103" s="375">
        <f>SUM(J101:J102)</f>
        <v>6.5</v>
      </c>
      <c r="K103" s="629"/>
      <c r="L103" s="630"/>
      <c r="M103" s="630"/>
      <c r="N103" s="630"/>
      <c r="O103" s="630"/>
      <c r="P103" s="630"/>
      <c r="Q103" s="631"/>
      <c r="R103" s="631"/>
      <c r="S103" s="830"/>
      <c r="T103" s="830"/>
      <c r="U103" s="831"/>
      <c r="V103" s="585"/>
      <c r="W103" s="640"/>
      <c r="X103" s="640"/>
      <c r="Y103" s="581"/>
      <c r="Z103" s="581"/>
      <c r="AA103" s="581"/>
      <c r="AB103" s="581"/>
      <c r="AC103" s="581"/>
      <c r="AD103" s="581"/>
      <c r="AE103" s="581"/>
      <c r="AF103" s="581"/>
      <c r="AG103" s="581"/>
      <c r="AH103" s="962"/>
      <c r="AI103" s="962"/>
      <c r="AJ103" s="962"/>
      <c r="AK103" s="962"/>
      <c r="AL103" s="640"/>
      <c r="AM103" s="581"/>
      <c r="AN103" s="581"/>
      <c r="AO103" s="581"/>
      <c r="AP103" s="581"/>
      <c r="AQ103" s="581"/>
      <c r="AR103" s="581"/>
      <c r="AS103" s="581"/>
      <c r="AT103" s="581"/>
      <c r="AU103" s="962"/>
      <c r="AV103" s="962"/>
      <c r="AW103" s="962"/>
      <c r="AX103" s="962"/>
      <c r="AY103" s="640"/>
      <c r="AZ103" s="581"/>
      <c r="BA103" s="581"/>
      <c r="BB103" s="581"/>
      <c r="BC103" s="581"/>
      <c r="BD103" s="581"/>
      <c r="BE103" s="581"/>
      <c r="BF103" s="581"/>
      <c r="BG103" s="581"/>
      <c r="BH103" s="581"/>
    </row>
    <row r="104" spans="2:60" ht="15.75" thickBot="1" x14ac:dyDescent="0.3">
      <c r="B104" s="812" t="s">
        <v>57</v>
      </c>
      <c r="C104" s="813"/>
      <c r="D104" s="813"/>
      <c r="E104" s="813"/>
      <c r="F104" s="813"/>
      <c r="G104" s="813"/>
      <c r="H104" s="813"/>
      <c r="I104" s="813"/>
      <c r="J104" s="422">
        <f>SUM(J94,J99,J103)</f>
        <v>34.9</v>
      </c>
      <c r="K104" s="423"/>
      <c r="L104" s="578"/>
      <c r="M104" s="578"/>
      <c r="N104" s="578"/>
      <c r="O104" s="578"/>
      <c r="P104" s="578"/>
      <c r="Q104" s="424"/>
      <c r="R104" s="424"/>
      <c r="S104" s="425"/>
      <c r="T104" s="426"/>
      <c r="U104" s="828">
        <f>SUM(U93,U96:U98,U101:U102)</f>
        <v>47215.41599999999</v>
      </c>
      <c r="V104" s="585"/>
      <c r="W104" s="640"/>
      <c r="X104" s="640"/>
      <c r="Y104" s="581"/>
      <c r="Z104" s="581"/>
      <c r="AA104" s="581"/>
      <c r="AB104" s="581"/>
      <c r="AC104" s="581"/>
      <c r="AD104" s="581"/>
      <c r="AE104" s="581"/>
      <c r="AF104" s="581"/>
      <c r="AG104" s="581"/>
      <c r="AH104" s="962"/>
      <c r="AI104" s="962"/>
      <c r="AJ104" s="962"/>
      <c r="AK104" s="962"/>
      <c r="AL104" s="640"/>
      <c r="AM104" s="581"/>
      <c r="AN104" s="581"/>
      <c r="AO104" s="581"/>
      <c r="AP104" s="581"/>
      <c r="AQ104" s="581"/>
      <c r="AR104" s="581"/>
      <c r="AS104" s="581"/>
      <c r="AT104" s="581"/>
      <c r="AU104" s="962"/>
      <c r="AV104" s="962"/>
      <c r="AW104" s="962"/>
      <c r="AX104" s="962"/>
      <c r="AY104" s="640"/>
      <c r="AZ104" s="581"/>
      <c r="BA104" s="581"/>
      <c r="BB104" s="581"/>
      <c r="BC104" s="581"/>
      <c r="BD104" s="581"/>
      <c r="BE104" s="581"/>
      <c r="BF104" s="581"/>
      <c r="BG104" s="581"/>
      <c r="BH104" s="581"/>
    </row>
    <row r="105" spans="2:60" ht="15.75" thickBot="1" x14ac:dyDescent="0.3">
      <c r="S105" s="747"/>
      <c r="T105" s="747"/>
      <c r="U105" s="832">
        <f>SUM(U88,U104)</f>
        <v>237146.17599999995</v>
      </c>
      <c r="V105" s="581"/>
      <c r="W105" s="833"/>
      <c r="X105" s="640"/>
      <c r="Y105" s="581"/>
      <c r="Z105" s="581"/>
      <c r="AA105" s="640"/>
      <c r="AB105" s="640"/>
      <c r="AC105" s="581"/>
      <c r="AD105" s="581"/>
      <c r="AE105" s="581"/>
      <c r="AF105" s="581"/>
      <c r="AG105" s="581"/>
      <c r="AH105" s="581"/>
      <c r="AI105" s="581"/>
      <c r="AJ105" s="581"/>
      <c r="AK105" s="581"/>
      <c r="AL105" s="640"/>
      <c r="AM105" s="640"/>
      <c r="AN105" s="640"/>
      <c r="AO105" s="581"/>
      <c r="AP105" s="581"/>
      <c r="AQ105" s="581"/>
      <c r="AR105" s="581"/>
      <c r="AS105" s="581"/>
      <c r="AT105" s="581"/>
      <c r="AU105" s="581"/>
      <c r="AV105" s="581"/>
      <c r="AW105" s="581"/>
      <c r="AX105" s="581"/>
      <c r="AY105" s="640"/>
      <c r="AZ105" s="640"/>
      <c r="BA105" s="640"/>
      <c r="BB105" s="581"/>
      <c r="BC105" s="581"/>
      <c r="BD105" s="581"/>
      <c r="BE105" s="581"/>
      <c r="BF105" s="581"/>
      <c r="BG105" s="581"/>
      <c r="BH105" s="581"/>
    </row>
    <row r="106" spans="2:60" x14ac:dyDescent="0.25">
      <c r="B106" s="968" t="s">
        <v>58</v>
      </c>
      <c r="C106" s="969"/>
      <c r="D106" s="969"/>
      <c r="E106" s="969"/>
      <c r="F106" s="969"/>
      <c r="G106" s="969"/>
      <c r="H106" s="969"/>
      <c r="I106" s="969"/>
      <c r="J106" s="970"/>
      <c r="K106" s="818"/>
      <c r="L106" s="819"/>
      <c r="M106" s="819"/>
      <c r="N106" s="819"/>
      <c r="O106" s="819"/>
      <c r="P106" s="819"/>
      <c r="Q106" s="820"/>
      <c r="R106" s="834"/>
      <c r="S106" s="820"/>
      <c r="T106" s="820"/>
      <c r="U106" s="835"/>
      <c r="V106" s="581"/>
      <c r="W106" s="641"/>
      <c r="X106" s="640"/>
      <c r="Y106" s="581"/>
      <c r="Z106" s="581"/>
      <c r="AA106" s="581"/>
      <c r="AB106" s="651"/>
      <c r="AC106" s="581"/>
      <c r="AD106" s="581"/>
      <c r="AE106" s="581"/>
      <c r="AF106" s="581"/>
      <c r="AG106" s="581"/>
      <c r="AH106" s="581"/>
      <c r="AI106" s="581"/>
      <c r="AJ106" s="581"/>
      <c r="AK106" s="581"/>
      <c r="AL106" s="581"/>
      <c r="AM106" s="581"/>
      <c r="AN106" s="651"/>
      <c r="AO106" s="581"/>
      <c r="AP106" s="581"/>
      <c r="AQ106" s="581"/>
      <c r="AR106" s="581"/>
      <c r="AS106" s="581"/>
      <c r="AT106" s="581"/>
      <c r="AU106" s="581"/>
      <c r="AV106" s="581"/>
      <c r="AW106" s="581"/>
      <c r="AX106" s="581"/>
      <c r="AY106" s="581"/>
      <c r="AZ106" s="581"/>
      <c r="BA106" s="651"/>
      <c r="BB106" s="581"/>
      <c r="BC106" s="581"/>
      <c r="BD106" s="581"/>
      <c r="BE106" s="581"/>
      <c r="BF106" s="581"/>
      <c r="BG106" s="581"/>
      <c r="BH106" s="581"/>
    </row>
    <row r="107" spans="2:60" x14ac:dyDescent="0.25">
      <c r="B107" s="965" t="s">
        <v>112</v>
      </c>
      <c r="C107" s="966"/>
      <c r="D107" s="966"/>
      <c r="E107" s="966"/>
      <c r="F107" s="966"/>
      <c r="G107" s="966"/>
      <c r="H107" s="966"/>
      <c r="I107" s="966"/>
      <c r="J107" s="967"/>
      <c r="K107" s="666"/>
      <c r="L107" s="667"/>
      <c r="M107" s="667"/>
      <c r="N107" s="667"/>
      <c r="O107" s="667"/>
      <c r="P107" s="667"/>
      <c r="Q107" s="668"/>
      <c r="R107" s="836"/>
      <c r="S107" s="668"/>
      <c r="T107" s="668"/>
      <c r="U107" s="837"/>
      <c r="V107" s="581"/>
      <c r="W107" s="581"/>
      <c r="X107" s="581"/>
      <c r="Y107" s="581"/>
      <c r="Z107" s="581"/>
      <c r="AA107" s="581"/>
      <c r="AB107" s="581"/>
      <c r="AC107" s="581"/>
      <c r="AD107" s="581"/>
      <c r="AE107" s="581"/>
      <c r="AF107" s="581"/>
      <c r="AG107" s="581"/>
      <c r="AH107" s="581"/>
      <c r="AI107" s="581"/>
      <c r="AJ107" s="581"/>
      <c r="AK107" s="581"/>
      <c r="AL107" s="581"/>
      <c r="AM107" s="581"/>
      <c r="AN107" s="581"/>
      <c r="AO107" s="581"/>
      <c r="AP107" s="581"/>
      <c r="AQ107" s="581"/>
      <c r="AR107" s="581"/>
      <c r="AS107" s="581"/>
      <c r="AT107" s="581"/>
      <c r="AU107" s="581"/>
      <c r="AV107" s="581"/>
      <c r="AW107" s="581"/>
      <c r="AX107" s="581"/>
      <c r="AY107" s="581"/>
      <c r="AZ107" s="581"/>
      <c r="BA107" s="581"/>
      <c r="BB107" s="581"/>
      <c r="BC107" s="581"/>
      <c r="BD107" s="581"/>
      <c r="BE107" s="581"/>
      <c r="BF107" s="581"/>
      <c r="BG107" s="581"/>
      <c r="BH107" s="581"/>
    </row>
    <row r="108" spans="2:60" x14ac:dyDescent="0.25">
      <c r="B108" s="971" t="s">
        <v>10</v>
      </c>
      <c r="C108" s="972"/>
      <c r="D108" s="972"/>
      <c r="E108" s="972"/>
      <c r="F108" s="972"/>
      <c r="G108" s="972"/>
      <c r="H108" s="972"/>
      <c r="I108" s="972"/>
      <c r="J108" s="973"/>
      <c r="K108" s="625"/>
      <c r="L108" s="626"/>
      <c r="M108" s="626"/>
      <c r="N108" s="626"/>
      <c r="O108" s="626"/>
      <c r="P108" s="626"/>
      <c r="Q108" s="603"/>
      <c r="R108" s="838"/>
      <c r="S108" s="603"/>
      <c r="T108" s="603"/>
      <c r="U108" s="839"/>
      <c r="V108" s="581"/>
      <c r="W108" s="581"/>
      <c r="X108" s="581"/>
      <c r="Y108" s="581"/>
      <c r="Z108" s="581"/>
      <c r="AA108" s="581"/>
      <c r="AB108" s="581"/>
      <c r="AC108" s="581"/>
      <c r="AD108" s="581"/>
      <c r="AE108" s="581"/>
      <c r="AF108" s="581"/>
      <c r="AG108" s="581"/>
      <c r="AH108" s="581"/>
      <c r="AI108" s="581"/>
      <c r="AJ108" s="581"/>
      <c r="AK108" s="581"/>
      <c r="AL108" s="581"/>
      <c r="AM108" s="581"/>
      <c r="AN108" s="581"/>
      <c r="AO108" s="581"/>
      <c r="AP108" s="581"/>
      <c r="AQ108" s="581"/>
      <c r="AR108" s="581"/>
      <c r="AS108" s="581"/>
      <c r="AT108" s="581"/>
      <c r="AU108" s="581"/>
      <c r="AV108" s="581"/>
      <c r="AW108" s="581"/>
      <c r="AX108" s="581"/>
      <c r="AY108" s="581"/>
      <c r="AZ108" s="581"/>
      <c r="BA108" s="581"/>
      <c r="BB108" s="581"/>
      <c r="BC108" s="581"/>
      <c r="BD108" s="581"/>
      <c r="BE108" s="581"/>
      <c r="BF108" s="581"/>
      <c r="BG108" s="581"/>
      <c r="BH108" s="581"/>
    </row>
    <row r="109" spans="2:60" x14ac:dyDescent="0.25">
      <c r="B109" s="3" t="s">
        <v>59</v>
      </c>
      <c r="C109" s="4" t="s">
        <v>60</v>
      </c>
      <c r="D109" s="4" t="s">
        <v>18</v>
      </c>
      <c r="E109" s="6">
        <v>12</v>
      </c>
      <c r="F109" s="6">
        <v>3</v>
      </c>
      <c r="G109" s="350">
        <v>1647</v>
      </c>
      <c r="H109" s="5">
        <v>1647</v>
      </c>
      <c r="I109" s="14"/>
      <c r="J109" s="427">
        <v>10</v>
      </c>
      <c r="K109" s="607">
        <f>ROUND(H109*(1+'29_01_H_2020'!$F$14),2)</f>
        <v>1811.7</v>
      </c>
      <c r="L109" s="608">
        <f t="shared" ref="L109" si="131">IF(K109&lt;=G109,K109,G109)</f>
        <v>1647</v>
      </c>
      <c r="M109" s="608">
        <f t="shared" ref="M109" si="132">L109-H109</f>
        <v>0</v>
      </c>
      <c r="N109" s="608">
        <f t="shared" ref="N109" si="133">K109-L109</f>
        <v>164.70000000000005</v>
      </c>
      <c r="O109" s="608">
        <f t="shared" ref="O109" si="134">ROUND(I109/H109*L109-I109,2)</f>
        <v>0</v>
      </c>
      <c r="P109" s="608">
        <f t="shared" ref="P109" si="135">ROUND(I109/H109*K109-I109-O109,2)</f>
        <v>0</v>
      </c>
      <c r="Q109" s="609">
        <f t="shared" ref="Q109:Q163" si="136">M109+N109+O109+P109</f>
        <v>164.70000000000005</v>
      </c>
      <c r="R109" s="609">
        <f t="shared" ref="R109:R140" si="137">Q109*J109</f>
        <v>1647.0000000000005</v>
      </c>
      <c r="S109" s="609">
        <f t="shared" ref="S109:S163" si="138">R109*12</f>
        <v>19764.000000000007</v>
      </c>
      <c r="T109" s="609">
        <f t="shared" ref="T109:T163" si="139">ROUND(S109*0.2409,2)</f>
        <v>4761.1499999999996</v>
      </c>
      <c r="U109" s="610">
        <f t="shared" ref="U109" si="140">SUM(S109:T109)</f>
        <v>24525.150000000009</v>
      </c>
      <c r="V109" s="611"/>
      <c r="W109" s="611"/>
      <c r="X109" s="611"/>
      <c r="Y109" s="616"/>
      <c r="Z109" s="805"/>
      <c r="AA109" s="806"/>
      <c r="AB109" s="806"/>
      <c r="AC109" s="581"/>
      <c r="AD109" s="581"/>
      <c r="AE109" s="824"/>
      <c r="AF109" s="824"/>
      <c r="AG109" s="824"/>
      <c r="AH109" s="824"/>
      <c r="AI109" s="824"/>
      <c r="AJ109" s="824"/>
      <c r="AK109" s="824"/>
      <c r="AL109" s="824"/>
      <c r="AM109" s="824"/>
      <c r="AN109" s="824"/>
      <c r="AO109" s="616"/>
      <c r="AP109" s="581"/>
      <c r="AQ109" s="581"/>
      <c r="AR109" s="824"/>
      <c r="AS109" s="824"/>
      <c r="AT109" s="824"/>
      <c r="AU109" s="824"/>
      <c r="AV109" s="824"/>
      <c r="AW109" s="824"/>
      <c r="AX109" s="824"/>
      <c r="AY109" s="824"/>
      <c r="AZ109" s="824"/>
      <c r="BA109" s="824"/>
      <c r="BB109" s="616"/>
      <c r="BC109" s="581"/>
      <c r="BD109" s="581"/>
      <c r="BE109" s="581"/>
    </row>
    <row r="110" spans="2:60" x14ac:dyDescent="0.25">
      <c r="B110" s="401" t="s">
        <v>61</v>
      </c>
      <c r="C110" s="6" t="s">
        <v>60</v>
      </c>
      <c r="D110" s="6" t="s">
        <v>25</v>
      </c>
      <c r="E110" s="6">
        <v>10</v>
      </c>
      <c r="F110" s="6">
        <v>3</v>
      </c>
      <c r="G110" s="350">
        <v>1287</v>
      </c>
      <c r="H110" s="7">
        <f>1287</f>
        <v>1287</v>
      </c>
      <c r="I110" s="14"/>
      <c r="J110" s="428">
        <v>6</v>
      </c>
      <c r="K110" s="607">
        <f>ROUND(H110*(1+'29_01_H_2020'!$F$14),2)</f>
        <v>1415.7</v>
      </c>
      <c r="L110" s="608">
        <f t="shared" ref="L110:L163" si="141">IF(K110&lt;=G110,K110,G110)</f>
        <v>1287</v>
      </c>
      <c r="M110" s="608">
        <f t="shared" ref="M110:M163" si="142">L110-H110</f>
        <v>0</v>
      </c>
      <c r="N110" s="608">
        <f t="shared" ref="N110:N163" si="143">K110-L110</f>
        <v>128.70000000000005</v>
      </c>
      <c r="O110" s="608">
        <f t="shared" ref="O110:O163" si="144">ROUND(I110/H110*L110-I110,2)</f>
        <v>0</v>
      </c>
      <c r="P110" s="608">
        <f t="shared" ref="P110:P163" si="145">ROUND(I110/H110*K110-I110-O110,2)</f>
        <v>0</v>
      </c>
      <c r="Q110" s="609">
        <f t="shared" si="136"/>
        <v>128.70000000000005</v>
      </c>
      <c r="R110" s="609">
        <f t="shared" si="137"/>
        <v>772.20000000000027</v>
      </c>
      <c r="S110" s="609">
        <f t="shared" si="138"/>
        <v>9266.4000000000033</v>
      </c>
      <c r="T110" s="609">
        <f t="shared" si="139"/>
        <v>2232.2800000000002</v>
      </c>
      <c r="U110" s="610">
        <f t="shared" ref="U110:U163" si="146">SUM(S110:T110)</f>
        <v>11498.680000000004</v>
      </c>
      <c r="V110" s="611"/>
      <c r="W110" s="611"/>
      <c r="X110" s="611"/>
      <c r="Y110" s="616"/>
      <c r="Z110" s="805"/>
      <c r="AA110" s="806"/>
      <c r="AB110" s="806"/>
      <c r="AC110" s="581"/>
      <c r="AD110" s="581"/>
      <c r="AE110" s="824"/>
      <c r="AF110" s="824"/>
      <c r="AG110" s="824"/>
      <c r="AH110" s="824"/>
      <c r="AI110" s="824"/>
      <c r="AJ110" s="824"/>
      <c r="AK110" s="824"/>
      <c r="AL110" s="824"/>
      <c r="AM110" s="824"/>
      <c r="AN110" s="824"/>
      <c r="AO110" s="616"/>
      <c r="AP110" s="581"/>
      <c r="AQ110" s="581"/>
      <c r="AR110" s="824"/>
      <c r="AS110" s="824"/>
      <c r="AT110" s="824"/>
      <c r="AU110" s="824"/>
      <c r="AV110" s="824"/>
      <c r="AW110" s="824"/>
      <c r="AX110" s="824"/>
      <c r="AY110" s="824"/>
      <c r="AZ110" s="824"/>
      <c r="BA110" s="824"/>
      <c r="BB110" s="616"/>
      <c r="BC110" s="581"/>
      <c r="BD110" s="581"/>
      <c r="BE110" s="581"/>
    </row>
    <row r="111" spans="2:60" x14ac:dyDescent="0.25">
      <c r="B111" s="401" t="s">
        <v>61</v>
      </c>
      <c r="C111" s="6" t="s">
        <v>60</v>
      </c>
      <c r="D111" s="6" t="s">
        <v>25</v>
      </c>
      <c r="E111" s="6">
        <v>10</v>
      </c>
      <c r="F111" s="6">
        <v>3</v>
      </c>
      <c r="G111" s="350">
        <v>1287</v>
      </c>
      <c r="H111" s="7">
        <v>1080</v>
      </c>
      <c r="I111" s="14"/>
      <c r="J111" s="428">
        <v>1</v>
      </c>
      <c r="K111" s="607">
        <f>ROUND(H111*(1+'29_01_H_2020'!$F$14),2)</f>
        <v>1188</v>
      </c>
      <c r="L111" s="608">
        <f t="shared" si="141"/>
        <v>1188</v>
      </c>
      <c r="M111" s="608">
        <f t="shared" si="142"/>
        <v>108</v>
      </c>
      <c r="N111" s="608">
        <f t="shared" si="143"/>
        <v>0</v>
      </c>
      <c r="O111" s="608">
        <f t="shared" si="144"/>
        <v>0</v>
      </c>
      <c r="P111" s="608">
        <f t="shared" si="145"/>
        <v>0</v>
      </c>
      <c r="Q111" s="609">
        <f t="shared" si="136"/>
        <v>108</v>
      </c>
      <c r="R111" s="609">
        <f t="shared" si="137"/>
        <v>108</v>
      </c>
      <c r="S111" s="609">
        <f t="shared" si="138"/>
        <v>1296</v>
      </c>
      <c r="T111" s="609">
        <f t="shared" si="139"/>
        <v>312.20999999999998</v>
      </c>
      <c r="U111" s="610">
        <f t="shared" si="146"/>
        <v>1608.21</v>
      </c>
      <c r="V111" s="611"/>
      <c r="W111" s="611"/>
      <c r="X111" s="611"/>
      <c r="Y111" s="616"/>
      <c r="Z111" s="805"/>
      <c r="AA111" s="806"/>
      <c r="AB111" s="806"/>
      <c r="AC111" s="581"/>
      <c r="AD111" s="581"/>
      <c r="AE111" s="824"/>
      <c r="AF111" s="824"/>
      <c r="AG111" s="824"/>
      <c r="AH111" s="824"/>
      <c r="AI111" s="824"/>
      <c r="AJ111" s="824"/>
      <c r="AK111" s="824"/>
      <c r="AL111" s="824"/>
      <c r="AM111" s="824"/>
      <c r="AN111" s="824"/>
      <c r="AO111" s="616"/>
      <c r="AP111" s="581"/>
      <c r="AQ111" s="581"/>
      <c r="AR111" s="824"/>
      <c r="AS111" s="824"/>
      <c r="AT111" s="824"/>
      <c r="AU111" s="824"/>
      <c r="AV111" s="824"/>
      <c r="AW111" s="824"/>
      <c r="AX111" s="824"/>
      <c r="AY111" s="824"/>
      <c r="AZ111" s="824"/>
      <c r="BA111" s="824"/>
      <c r="BB111" s="616"/>
      <c r="BC111" s="581"/>
      <c r="BD111" s="581"/>
      <c r="BE111" s="581"/>
    </row>
    <row r="112" spans="2:60" x14ac:dyDescent="0.25">
      <c r="B112" s="401" t="s">
        <v>62</v>
      </c>
      <c r="C112" s="6" t="s">
        <v>15</v>
      </c>
      <c r="D112" s="6" t="s">
        <v>44</v>
      </c>
      <c r="E112" s="6">
        <v>9</v>
      </c>
      <c r="F112" s="6">
        <v>3</v>
      </c>
      <c r="G112" s="350">
        <v>1190</v>
      </c>
      <c r="H112" s="7">
        <v>1190</v>
      </c>
      <c r="I112" s="14"/>
      <c r="J112" s="428">
        <v>0.5</v>
      </c>
      <c r="K112" s="607">
        <f>ROUND(H112*(1+'29_01_H_2020'!$F$14),2)</f>
        <v>1309</v>
      </c>
      <c r="L112" s="608">
        <f t="shared" si="141"/>
        <v>1190</v>
      </c>
      <c r="M112" s="608">
        <f t="shared" si="142"/>
        <v>0</v>
      </c>
      <c r="N112" s="608">
        <f t="shared" si="143"/>
        <v>119</v>
      </c>
      <c r="O112" s="608">
        <f t="shared" si="144"/>
        <v>0</v>
      </c>
      <c r="P112" s="608">
        <f t="shared" si="145"/>
        <v>0</v>
      </c>
      <c r="Q112" s="609">
        <f t="shared" si="136"/>
        <v>119</v>
      </c>
      <c r="R112" s="609">
        <f t="shared" si="137"/>
        <v>59.5</v>
      </c>
      <c r="S112" s="609">
        <f t="shared" si="138"/>
        <v>714</v>
      </c>
      <c r="T112" s="609">
        <f t="shared" si="139"/>
        <v>172</v>
      </c>
      <c r="U112" s="610">
        <f t="shared" si="146"/>
        <v>886</v>
      </c>
      <c r="V112" s="611"/>
      <c r="W112" s="611"/>
      <c r="X112" s="611"/>
      <c r="Y112" s="616"/>
      <c r="Z112" s="805"/>
      <c r="AA112" s="806"/>
      <c r="AB112" s="806"/>
      <c r="AC112" s="581"/>
      <c r="AD112" s="581"/>
      <c r="AE112" s="824"/>
      <c r="AF112" s="824"/>
      <c r="AG112" s="824"/>
      <c r="AH112" s="824"/>
      <c r="AI112" s="824"/>
      <c r="AJ112" s="824"/>
      <c r="AK112" s="824"/>
      <c r="AL112" s="824"/>
      <c r="AM112" s="824"/>
      <c r="AN112" s="824"/>
      <c r="AO112" s="616"/>
      <c r="AP112" s="581"/>
      <c r="AQ112" s="581"/>
      <c r="AR112" s="824"/>
      <c r="AS112" s="824"/>
      <c r="AT112" s="824"/>
      <c r="AU112" s="824"/>
      <c r="AV112" s="824"/>
      <c r="AW112" s="824"/>
      <c r="AX112" s="824"/>
      <c r="AY112" s="824"/>
      <c r="AZ112" s="824"/>
      <c r="BA112" s="824"/>
      <c r="BB112" s="616"/>
      <c r="BC112" s="581"/>
      <c r="BD112" s="581"/>
      <c r="BE112" s="581"/>
    </row>
    <row r="113" spans="2:57" x14ac:dyDescent="0.25">
      <c r="B113" s="401" t="s">
        <v>62</v>
      </c>
      <c r="C113" s="6" t="s">
        <v>15</v>
      </c>
      <c r="D113" s="6" t="s">
        <v>44</v>
      </c>
      <c r="E113" s="6">
        <v>9</v>
      </c>
      <c r="F113" s="6">
        <v>3</v>
      </c>
      <c r="G113" s="350">
        <v>1190</v>
      </c>
      <c r="H113" s="7">
        <v>1015</v>
      </c>
      <c r="I113" s="14"/>
      <c r="J113" s="428">
        <v>1</v>
      </c>
      <c r="K113" s="607">
        <f>ROUND(H113*(1+'29_01_H_2020'!$F$14),2)</f>
        <v>1116.5</v>
      </c>
      <c r="L113" s="608">
        <f t="shared" si="141"/>
        <v>1116.5</v>
      </c>
      <c r="M113" s="608">
        <f t="shared" si="142"/>
        <v>101.5</v>
      </c>
      <c r="N113" s="608">
        <f t="shared" si="143"/>
        <v>0</v>
      </c>
      <c r="O113" s="608">
        <f t="shared" si="144"/>
        <v>0</v>
      </c>
      <c r="P113" s="608">
        <f t="shared" si="145"/>
        <v>0</v>
      </c>
      <c r="Q113" s="609">
        <f t="shared" si="136"/>
        <v>101.5</v>
      </c>
      <c r="R113" s="609">
        <f t="shared" si="137"/>
        <v>101.5</v>
      </c>
      <c r="S113" s="609">
        <f t="shared" si="138"/>
        <v>1218</v>
      </c>
      <c r="T113" s="609">
        <f t="shared" si="139"/>
        <v>293.42</v>
      </c>
      <c r="U113" s="610">
        <f t="shared" si="146"/>
        <v>1511.42</v>
      </c>
      <c r="V113" s="611"/>
      <c r="W113" s="611"/>
      <c r="X113" s="611"/>
      <c r="Y113" s="616"/>
      <c r="Z113" s="805"/>
      <c r="AA113" s="806"/>
      <c r="AB113" s="806"/>
      <c r="AC113" s="581"/>
      <c r="AD113" s="581"/>
      <c r="AE113" s="824"/>
      <c r="AF113" s="824"/>
      <c r="AG113" s="824"/>
      <c r="AH113" s="824"/>
      <c r="AI113" s="824"/>
      <c r="AJ113" s="824"/>
      <c r="AK113" s="824"/>
      <c r="AL113" s="824"/>
      <c r="AM113" s="824"/>
      <c r="AN113" s="824"/>
      <c r="AO113" s="616"/>
      <c r="AP113" s="581"/>
      <c r="AQ113" s="581"/>
      <c r="AR113" s="824"/>
      <c r="AS113" s="824"/>
      <c r="AT113" s="824"/>
      <c r="AU113" s="824"/>
      <c r="AV113" s="824"/>
      <c r="AW113" s="824"/>
      <c r="AX113" s="824"/>
      <c r="AY113" s="824"/>
      <c r="AZ113" s="824"/>
      <c r="BA113" s="824"/>
      <c r="BB113" s="616"/>
      <c r="BC113" s="581"/>
      <c r="BD113" s="581"/>
      <c r="BE113" s="581"/>
    </row>
    <row r="114" spans="2:57" x14ac:dyDescent="0.25">
      <c r="B114" s="401" t="s">
        <v>62</v>
      </c>
      <c r="C114" s="6" t="s">
        <v>15</v>
      </c>
      <c r="D114" s="6" t="s">
        <v>44</v>
      </c>
      <c r="E114" s="6">
        <v>9</v>
      </c>
      <c r="F114" s="6">
        <v>3</v>
      </c>
      <c r="G114" s="350">
        <v>1190</v>
      </c>
      <c r="H114" s="7">
        <v>1015</v>
      </c>
      <c r="I114" s="14"/>
      <c r="J114" s="428">
        <v>0.5</v>
      </c>
      <c r="K114" s="607">
        <f>ROUND(H114*(1+'29_01_H_2020'!$F$14),2)</f>
        <v>1116.5</v>
      </c>
      <c r="L114" s="608">
        <f t="shared" si="141"/>
        <v>1116.5</v>
      </c>
      <c r="M114" s="608">
        <f t="shared" si="142"/>
        <v>101.5</v>
      </c>
      <c r="N114" s="608">
        <f t="shared" si="143"/>
        <v>0</v>
      </c>
      <c r="O114" s="608">
        <f t="shared" si="144"/>
        <v>0</v>
      </c>
      <c r="P114" s="608">
        <f t="shared" si="145"/>
        <v>0</v>
      </c>
      <c r="Q114" s="609">
        <f t="shared" si="136"/>
        <v>101.5</v>
      </c>
      <c r="R114" s="609">
        <f t="shared" si="137"/>
        <v>50.75</v>
      </c>
      <c r="S114" s="609">
        <f t="shared" si="138"/>
        <v>609</v>
      </c>
      <c r="T114" s="609">
        <f t="shared" si="139"/>
        <v>146.71</v>
      </c>
      <c r="U114" s="610">
        <f t="shared" si="146"/>
        <v>755.71</v>
      </c>
      <c r="V114" s="611"/>
      <c r="W114" s="611"/>
      <c r="X114" s="611"/>
      <c r="Y114" s="616"/>
      <c r="Z114" s="805"/>
      <c r="AA114" s="806"/>
      <c r="AB114" s="806"/>
      <c r="AC114" s="581"/>
      <c r="AD114" s="581"/>
      <c r="AE114" s="824"/>
      <c r="AF114" s="824"/>
      <c r="AG114" s="824"/>
      <c r="AH114" s="824"/>
      <c r="AI114" s="824"/>
      <c r="AJ114" s="824"/>
      <c r="AK114" s="824"/>
      <c r="AL114" s="824"/>
      <c r="AM114" s="824"/>
      <c r="AN114" s="824"/>
      <c r="AO114" s="616"/>
      <c r="AP114" s="581"/>
      <c r="AQ114" s="581"/>
      <c r="AR114" s="824"/>
      <c r="AS114" s="824"/>
      <c r="AT114" s="824"/>
      <c r="AU114" s="824"/>
      <c r="AV114" s="824"/>
      <c r="AW114" s="824"/>
      <c r="AX114" s="824"/>
      <c r="AY114" s="824"/>
      <c r="AZ114" s="824"/>
      <c r="BA114" s="824"/>
      <c r="BB114" s="616"/>
      <c r="BC114" s="581"/>
      <c r="BD114" s="581"/>
      <c r="BE114" s="581"/>
    </row>
    <row r="115" spans="2:57" x14ac:dyDescent="0.25">
      <c r="B115" s="8" t="s">
        <v>63</v>
      </c>
      <c r="C115" s="4" t="s">
        <v>60</v>
      </c>
      <c r="D115" s="4" t="s">
        <v>18</v>
      </c>
      <c r="E115" s="6">
        <v>12</v>
      </c>
      <c r="F115" s="6">
        <v>3</v>
      </c>
      <c r="G115" s="350">
        <v>1647</v>
      </c>
      <c r="H115" s="7">
        <v>1288</v>
      </c>
      <c r="I115" s="14"/>
      <c r="J115" s="428">
        <v>1</v>
      </c>
      <c r="K115" s="607">
        <f>ROUND(H115*(1+'29_01_H_2020'!$F$14),2)</f>
        <v>1416.8</v>
      </c>
      <c r="L115" s="608">
        <f t="shared" si="141"/>
        <v>1416.8</v>
      </c>
      <c r="M115" s="608">
        <f t="shared" si="142"/>
        <v>128.79999999999995</v>
      </c>
      <c r="N115" s="608">
        <f t="shared" si="143"/>
        <v>0</v>
      </c>
      <c r="O115" s="608">
        <f t="shared" si="144"/>
        <v>0</v>
      </c>
      <c r="P115" s="608">
        <f t="shared" si="145"/>
        <v>0</v>
      </c>
      <c r="Q115" s="609">
        <f t="shared" si="136"/>
        <v>128.79999999999995</v>
      </c>
      <c r="R115" s="609">
        <f t="shared" si="137"/>
        <v>128.79999999999995</v>
      </c>
      <c r="S115" s="609">
        <f t="shared" si="138"/>
        <v>1545.5999999999995</v>
      </c>
      <c r="T115" s="609">
        <f t="shared" si="139"/>
        <v>372.34</v>
      </c>
      <c r="U115" s="610">
        <f t="shared" si="146"/>
        <v>1917.9399999999994</v>
      </c>
      <c r="V115" s="611"/>
      <c r="W115" s="611"/>
      <c r="X115" s="611"/>
      <c r="Y115" s="616"/>
      <c r="Z115" s="805"/>
      <c r="AA115" s="806"/>
      <c r="AB115" s="806"/>
      <c r="AC115" s="581"/>
      <c r="AD115" s="581"/>
      <c r="AE115" s="824"/>
      <c r="AF115" s="824"/>
      <c r="AG115" s="824"/>
      <c r="AH115" s="824"/>
      <c r="AI115" s="824"/>
      <c r="AJ115" s="824"/>
      <c r="AK115" s="824"/>
      <c r="AL115" s="824"/>
      <c r="AM115" s="824"/>
      <c r="AN115" s="824"/>
      <c r="AO115" s="616"/>
      <c r="AP115" s="581"/>
      <c r="AQ115" s="581"/>
      <c r="AR115" s="824"/>
      <c r="AS115" s="824"/>
      <c r="AT115" s="824"/>
      <c r="AU115" s="824"/>
      <c r="AV115" s="824"/>
      <c r="AW115" s="824"/>
      <c r="AX115" s="824"/>
      <c r="AY115" s="824"/>
      <c r="AZ115" s="824"/>
      <c r="BA115" s="824"/>
      <c r="BB115" s="616"/>
      <c r="BC115" s="581"/>
      <c r="BD115" s="581"/>
      <c r="BE115" s="581"/>
    </row>
    <row r="116" spans="2:57" x14ac:dyDescent="0.25">
      <c r="B116" s="8" t="s">
        <v>63</v>
      </c>
      <c r="C116" s="6" t="s">
        <v>60</v>
      </c>
      <c r="D116" s="6" t="s">
        <v>18</v>
      </c>
      <c r="E116" s="6">
        <v>12</v>
      </c>
      <c r="F116" s="6">
        <v>3</v>
      </c>
      <c r="G116" s="350">
        <v>1647</v>
      </c>
      <c r="H116" s="7">
        <v>1232</v>
      </c>
      <c r="I116" s="14"/>
      <c r="J116" s="428">
        <v>3</v>
      </c>
      <c r="K116" s="607">
        <f>ROUND(H116*(1+'29_01_H_2020'!$F$14),2)</f>
        <v>1355.2</v>
      </c>
      <c r="L116" s="608">
        <f t="shared" si="141"/>
        <v>1355.2</v>
      </c>
      <c r="M116" s="608">
        <f t="shared" si="142"/>
        <v>123.20000000000005</v>
      </c>
      <c r="N116" s="608">
        <f t="shared" si="143"/>
        <v>0</v>
      </c>
      <c r="O116" s="608">
        <f t="shared" si="144"/>
        <v>0</v>
      </c>
      <c r="P116" s="608">
        <f t="shared" si="145"/>
        <v>0</v>
      </c>
      <c r="Q116" s="609">
        <f t="shared" si="136"/>
        <v>123.20000000000005</v>
      </c>
      <c r="R116" s="609">
        <f t="shared" si="137"/>
        <v>369.60000000000014</v>
      </c>
      <c r="S116" s="609">
        <f t="shared" si="138"/>
        <v>4435.2000000000016</v>
      </c>
      <c r="T116" s="609">
        <f t="shared" si="139"/>
        <v>1068.44</v>
      </c>
      <c r="U116" s="610">
        <f t="shared" si="146"/>
        <v>5503.6400000000012</v>
      </c>
      <c r="V116" s="611"/>
      <c r="W116" s="611"/>
      <c r="X116" s="611"/>
      <c r="Y116" s="616"/>
      <c r="Z116" s="805"/>
      <c r="AA116" s="806"/>
      <c r="AB116" s="806"/>
      <c r="AC116" s="581"/>
      <c r="AD116" s="581"/>
      <c r="AE116" s="824"/>
      <c r="AF116" s="824"/>
      <c r="AG116" s="824"/>
      <c r="AH116" s="824"/>
      <c r="AI116" s="824"/>
      <c r="AJ116" s="824"/>
      <c r="AK116" s="824"/>
      <c r="AL116" s="824"/>
      <c r="AM116" s="824"/>
      <c r="AN116" s="824"/>
      <c r="AO116" s="616"/>
      <c r="AP116" s="581"/>
      <c r="AQ116" s="581"/>
      <c r="AR116" s="824"/>
      <c r="AS116" s="824"/>
      <c r="AT116" s="824"/>
      <c r="AU116" s="824"/>
      <c r="AV116" s="824"/>
      <c r="AW116" s="824"/>
      <c r="AX116" s="824"/>
      <c r="AY116" s="824"/>
      <c r="AZ116" s="824"/>
      <c r="BA116" s="824"/>
      <c r="BB116" s="616"/>
      <c r="BC116" s="581"/>
      <c r="BD116" s="581"/>
      <c r="BE116" s="581"/>
    </row>
    <row r="117" spans="2:57" x14ac:dyDescent="0.25">
      <c r="B117" s="401" t="s">
        <v>64</v>
      </c>
      <c r="C117" s="6" t="s">
        <v>60</v>
      </c>
      <c r="D117" s="6" t="s">
        <v>25</v>
      </c>
      <c r="E117" s="6">
        <v>10</v>
      </c>
      <c r="F117" s="6">
        <v>3</v>
      </c>
      <c r="G117" s="350">
        <v>1287</v>
      </c>
      <c r="H117" s="7">
        <v>1176</v>
      </c>
      <c r="I117" s="14"/>
      <c r="J117" s="428">
        <v>6</v>
      </c>
      <c r="K117" s="607">
        <f>ROUND(H117*(1+'29_01_H_2020'!$F$14),2)</f>
        <v>1293.5999999999999</v>
      </c>
      <c r="L117" s="608">
        <f t="shared" si="141"/>
        <v>1287</v>
      </c>
      <c r="M117" s="608">
        <f t="shared" si="142"/>
        <v>111</v>
      </c>
      <c r="N117" s="608">
        <f t="shared" si="143"/>
        <v>6.5999999999999091</v>
      </c>
      <c r="O117" s="608">
        <f t="shared" si="144"/>
        <v>0</v>
      </c>
      <c r="P117" s="608">
        <f t="shared" si="145"/>
        <v>0</v>
      </c>
      <c r="Q117" s="609">
        <f t="shared" si="136"/>
        <v>117.59999999999991</v>
      </c>
      <c r="R117" s="609">
        <f t="shared" si="137"/>
        <v>705.59999999999945</v>
      </c>
      <c r="S117" s="609">
        <f t="shared" si="138"/>
        <v>8467.1999999999935</v>
      </c>
      <c r="T117" s="609">
        <f t="shared" si="139"/>
        <v>2039.75</v>
      </c>
      <c r="U117" s="610">
        <f t="shared" si="146"/>
        <v>10506.949999999993</v>
      </c>
      <c r="V117" s="611"/>
      <c r="W117" s="611"/>
      <c r="X117" s="611"/>
      <c r="Y117" s="616"/>
      <c r="Z117" s="805"/>
      <c r="AA117" s="806"/>
      <c r="AB117" s="806"/>
      <c r="AC117" s="581"/>
      <c r="AD117" s="581"/>
      <c r="AE117" s="824"/>
      <c r="AF117" s="824"/>
      <c r="AG117" s="824"/>
      <c r="AH117" s="824"/>
      <c r="AI117" s="824"/>
      <c r="AJ117" s="824"/>
      <c r="AK117" s="824"/>
      <c r="AL117" s="824"/>
      <c r="AM117" s="824"/>
      <c r="AN117" s="824"/>
      <c r="AO117" s="616"/>
      <c r="AP117" s="581"/>
      <c r="AQ117" s="581"/>
      <c r="AR117" s="824"/>
      <c r="AS117" s="824"/>
      <c r="AT117" s="824"/>
      <c r="AU117" s="824"/>
      <c r="AV117" s="824"/>
      <c r="AW117" s="824"/>
      <c r="AX117" s="824"/>
      <c r="AY117" s="824"/>
      <c r="AZ117" s="824"/>
      <c r="BA117" s="824"/>
      <c r="BB117" s="616"/>
      <c r="BC117" s="581"/>
      <c r="BD117" s="581"/>
      <c r="BE117" s="581"/>
    </row>
    <row r="118" spans="2:57" x14ac:dyDescent="0.25">
      <c r="B118" s="401" t="s">
        <v>64</v>
      </c>
      <c r="C118" s="6" t="s">
        <v>60</v>
      </c>
      <c r="D118" s="6" t="s">
        <v>25</v>
      </c>
      <c r="E118" s="6">
        <v>10</v>
      </c>
      <c r="F118" s="6">
        <v>3</v>
      </c>
      <c r="G118" s="350">
        <v>1287</v>
      </c>
      <c r="H118" s="7">
        <v>1020</v>
      </c>
      <c r="I118" s="14"/>
      <c r="J118" s="428">
        <v>1</v>
      </c>
      <c r="K118" s="607">
        <f>ROUND(H118*(1+'29_01_H_2020'!$F$14),2)</f>
        <v>1122</v>
      </c>
      <c r="L118" s="608">
        <f t="shared" si="141"/>
        <v>1122</v>
      </c>
      <c r="M118" s="608">
        <f t="shared" si="142"/>
        <v>102</v>
      </c>
      <c r="N118" s="608">
        <f t="shared" si="143"/>
        <v>0</v>
      </c>
      <c r="O118" s="608">
        <f t="shared" si="144"/>
        <v>0</v>
      </c>
      <c r="P118" s="608">
        <f t="shared" si="145"/>
        <v>0</v>
      </c>
      <c r="Q118" s="609">
        <f t="shared" si="136"/>
        <v>102</v>
      </c>
      <c r="R118" s="609">
        <f t="shared" si="137"/>
        <v>102</v>
      </c>
      <c r="S118" s="609">
        <f t="shared" si="138"/>
        <v>1224</v>
      </c>
      <c r="T118" s="609">
        <f t="shared" si="139"/>
        <v>294.86</v>
      </c>
      <c r="U118" s="610">
        <f t="shared" si="146"/>
        <v>1518.8600000000001</v>
      </c>
      <c r="V118" s="611"/>
      <c r="W118" s="611"/>
      <c r="X118" s="611"/>
      <c r="Y118" s="616"/>
      <c r="Z118" s="805"/>
      <c r="AA118" s="806"/>
      <c r="AB118" s="806"/>
      <c r="AC118" s="581"/>
      <c r="AD118" s="581"/>
      <c r="AE118" s="824"/>
      <c r="AF118" s="824"/>
      <c r="AG118" s="824"/>
      <c r="AH118" s="824"/>
      <c r="AI118" s="824"/>
      <c r="AJ118" s="824"/>
      <c r="AK118" s="824"/>
      <c r="AL118" s="824"/>
      <c r="AM118" s="824"/>
      <c r="AN118" s="824"/>
      <c r="AO118" s="616"/>
      <c r="AP118" s="581"/>
      <c r="AQ118" s="581"/>
      <c r="AR118" s="824"/>
      <c r="AS118" s="824"/>
      <c r="AT118" s="824"/>
      <c r="AU118" s="824"/>
      <c r="AV118" s="824"/>
      <c r="AW118" s="824"/>
      <c r="AX118" s="824"/>
      <c r="AY118" s="824"/>
      <c r="AZ118" s="824"/>
      <c r="BA118" s="824"/>
      <c r="BB118" s="616"/>
      <c r="BC118" s="581"/>
      <c r="BD118" s="581"/>
      <c r="BE118" s="581"/>
    </row>
    <row r="119" spans="2:57" x14ac:dyDescent="0.25">
      <c r="B119" s="401" t="s">
        <v>64</v>
      </c>
      <c r="C119" s="6" t="s">
        <v>60</v>
      </c>
      <c r="D119" s="6" t="s">
        <v>25</v>
      </c>
      <c r="E119" s="6">
        <v>10</v>
      </c>
      <c r="F119" s="6">
        <v>3</v>
      </c>
      <c r="G119" s="350">
        <v>1287</v>
      </c>
      <c r="H119" s="7">
        <v>1120</v>
      </c>
      <c r="I119" s="14"/>
      <c r="J119" s="428">
        <v>3</v>
      </c>
      <c r="K119" s="607">
        <f>ROUND(H119*(1+'29_01_H_2020'!$F$14),2)</f>
        <v>1232</v>
      </c>
      <c r="L119" s="608">
        <f t="shared" si="141"/>
        <v>1232</v>
      </c>
      <c r="M119" s="608">
        <f t="shared" si="142"/>
        <v>112</v>
      </c>
      <c r="N119" s="608">
        <f t="shared" si="143"/>
        <v>0</v>
      </c>
      <c r="O119" s="608">
        <f t="shared" si="144"/>
        <v>0</v>
      </c>
      <c r="P119" s="608">
        <f t="shared" si="145"/>
        <v>0</v>
      </c>
      <c r="Q119" s="609">
        <f t="shared" si="136"/>
        <v>112</v>
      </c>
      <c r="R119" s="609">
        <f t="shared" si="137"/>
        <v>336</v>
      </c>
      <c r="S119" s="609">
        <f t="shared" si="138"/>
        <v>4032</v>
      </c>
      <c r="T119" s="609">
        <f t="shared" si="139"/>
        <v>971.31</v>
      </c>
      <c r="U119" s="610">
        <f t="shared" si="146"/>
        <v>5003.3099999999995</v>
      </c>
      <c r="V119" s="611"/>
      <c r="W119" s="611"/>
      <c r="X119" s="611"/>
      <c r="Y119" s="616"/>
      <c r="Z119" s="805"/>
      <c r="AA119" s="806"/>
      <c r="AB119" s="806"/>
      <c r="AC119" s="581"/>
      <c r="AD119" s="581"/>
      <c r="AE119" s="824"/>
      <c r="AF119" s="824"/>
      <c r="AG119" s="824"/>
      <c r="AH119" s="824"/>
      <c r="AI119" s="824"/>
      <c r="AJ119" s="824"/>
      <c r="AK119" s="824"/>
      <c r="AL119" s="824"/>
      <c r="AM119" s="824"/>
      <c r="AN119" s="824"/>
      <c r="AO119" s="616"/>
      <c r="AP119" s="581"/>
      <c r="AQ119" s="581"/>
      <c r="AR119" s="824"/>
      <c r="AS119" s="824"/>
      <c r="AT119" s="824"/>
      <c r="AU119" s="824"/>
      <c r="AV119" s="824"/>
      <c r="AW119" s="824"/>
      <c r="AX119" s="824"/>
      <c r="AY119" s="824"/>
      <c r="AZ119" s="824"/>
      <c r="BA119" s="824"/>
      <c r="BB119" s="616"/>
      <c r="BC119" s="581"/>
      <c r="BD119" s="581"/>
      <c r="BE119" s="581"/>
    </row>
    <row r="120" spans="2:57" x14ac:dyDescent="0.25">
      <c r="B120" s="401" t="s">
        <v>64</v>
      </c>
      <c r="C120" s="6" t="s">
        <v>60</v>
      </c>
      <c r="D120" s="6" t="s">
        <v>25</v>
      </c>
      <c r="E120" s="6">
        <v>10</v>
      </c>
      <c r="F120" s="6">
        <v>3</v>
      </c>
      <c r="G120" s="350">
        <v>1287</v>
      </c>
      <c r="H120" s="7">
        <v>1060</v>
      </c>
      <c r="I120" s="14"/>
      <c r="J120" s="428">
        <v>2</v>
      </c>
      <c r="K120" s="607">
        <f>ROUND(H120*(1+'29_01_H_2020'!$F$14),2)</f>
        <v>1166</v>
      </c>
      <c r="L120" s="608">
        <f t="shared" si="141"/>
        <v>1166</v>
      </c>
      <c r="M120" s="608">
        <f t="shared" si="142"/>
        <v>106</v>
      </c>
      <c r="N120" s="608">
        <f t="shared" si="143"/>
        <v>0</v>
      </c>
      <c r="O120" s="608">
        <f t="shared" si="144"/>
        <v>0</v>
      </c>
      <c r="P120" s="608">
        <f t="shared" si="145"/>
        <v>0</v>
      </c>
      <c r="Q120" s="609">
        <f t="shared" si="136"/>
        <v>106</v>
      </c>
      <c r="R120" s="609">
        <f t="shared" si="137"/>
        <v>212</v>
      </c>
      <c r="S120" s="609">
        <f t="shared" si="138"/>
        <v>2544</v>
      </c>
      <c r="T120" s="609">
        <f t="shared" si="139"/>
        <v>612.85</v>
      </c>
      <c r="U120" s="610">
        <f t="shared" si="146"/>
        <v>3156.85</v>
      </c>
      <c r="V120" s="611"/>
      <c r="W120" s="611"/>
      <c r="X120" s="611"/>
      <c r="Y120" s="616"/>
      <c r="Z120" s="805"/>
      <c r="AA120" s="806"/>
      <c r="AB120" s="806"/>
      <c r="AC120" s="581"/>
      <c r="AD120" s="581"/>
      <c r="AE120" s="824"/>
      <c r="AF120" s="824"/>
      <c r="AG120" s="824"/>
      <c r="AH120" s="824"/>
      <c r="AI120" s="824"/>
      <c r="AJ120" s="824"/>
      <c r="AK120" s="824"/>
      <c r="AL120" s="824"/>
      <c r="AM120" s="824"/>
      <c r="AN120" s="824"/>
      <c r="AO120" s="616"/>
      <c r="AP120" s="581"/>
      <c r="AQ120" s="581"/>
      <c r="AR120" s="824"/>
      <c r="AS120" s="824"/>
      <c r="AT120" s="824"/>
      <c r="AU120" s="824"/>
      <c r="AV120" s="824"/>
      <c r="AW120" s="824"/>
      <c r="AX120" s="824"/>
      <c r="AY120" s="824"/>
      <c r="AZ120" s="824"/>
      <c r="BA120" s="824"/>
      <c r="BB120" s="616"/>
      <c r="BC120" s="581"/>
      <c r="BD120" s="581"/>
      <c r="BE120" s="581"/>
    </row>
    <row r="121" spans="2:57" x14ac:dyDescent="0.25">
      <c r="B121" s="401" t="s">
        <v>64</v>
      </c>
      <c r="C121" s="4" t="s">
        <v>60</v>
      </c>
      <c r="D121" s="4" t="s">
        <v>25</v>
      </c>
      <c r="E121" s="6">
        <v>10</v>
      </c>
      <c r="F121" s="6">
        <v>3</v>
      </c>
      <c r="G121" s="350">
        <v>1287</v>
      </c>
      <c r="H121" s="7">
        <v>800</v>
      </c>
      <c r="I121" s="14"/>
      <c r="J121" s="428">
        <v>1</v>
      </c>
      <c r="K121" s="607">
        <f>ROUND(H121*(1+'29_01_H_2020'!$F$14),2)</f>
        <v>880</v>
      </c>
      <c r="L121" s="608">
        <f t="shared" si="141"/>
        <v>880</v>
      </c>
      <c r="M121" s="608">
        <f t="shared" si="142"/>
        <v>80</v>
      </c>
      <c r="N121" s="608">
        <f t="shared" si="143"/>
        <v>0</v>
      </c>
      <c r="O121" s="608">
        <f t="shared" si="144"/>
        <v>0</v>
      </c>
      <c r="P121" s="608">
        <f t="shared" si="145"/>
        <v>0</v>
      </c>
      <c r="Q121" s="609">
        <f t="shared" si="136"/>
        <v>80</v>
      </c>
      <c r="R121" s="609">
        <f t="shared" si="137"/>
        <v>80</v>
      </c>
      <c r="S121" s="609">
        <f t="shared" si="138"/>
        <v>960</v>
      </c>
      <c r="T121" s="609">
        <f t="shared" si="139"/>
        <v>231.26</v>
      </c>
      <c r="U121" s="610">
        <f t="shared" si="146"/>
        <v>1191.26</v>
      </c>
      <c r="V121" s="611"/>
      <c r="W121" s="611"/>
      <c r="X121" s="611"/>
      <c r="Y121" s="616"/>
      <c r="Z121" s="805"/>
      <c r="AA121" s="806"/>
      <c r="AB121" s="806"/>
      <c r="AC121" s="581"/>
      <c r="AD121" s="581"/>
      <c r="AE121" s="824"/>
      <c r="AF121" s="824"/>
      <c r="AG121" s="824"/>
      <c r="AH121" s="824"/>
      <c r="AI121" s="824"/>
      <c r="AJ121" s="824"/>
      <c r="AK121" s="824"/>
      <c r="AL121" s="824"/>
      <c r="AM121" s="824"/>
      <c r="AN121" s="824"/>
      <c r="AO121" s="616"/>
      <c r="AP121" s="581"/>
      <c r="AQ121" s="581"/>
      <c r="AR121" s="824"/>
      <c r="AS121" s="824"/>
      <c r="AT121" s="824"/>
      <c r="AU121" s="824"/>
      <c r="AV121" s="824"/>
      <c r="AW121" s="824"/>
      <c r="AX121" s="824"/>
      <c r="AY121" s="824"/>
      <c r="AZ121" s="824"/>
      <c r="BA121" s="824"/>
      <c r="BB121" s="616"/>
      <c r="BC121" s="581"/>
      <c r="BD121" s="581"/>
      <c r="BE121" s="581"/>
    </row>
    <row r="122" spans="2:57" x14ac:dyDescent="0.25">
      <c r="B122" s="401" t="s">
        <v>65</v>
      </c>
      <c r="C122" s="4" t="s">
        <v>60</v>
      </c>
      <c r="D122" s="4" t="s">
        <v>12</v>
      </c>
      <c r="E122" s="6">
        <v>13</v>
      </c>
      <c r="F122" s="6">
        <v>3</v>
      </c>
      <c r="G122" s="350">
        <v>1917</v>
      </c>
      <c r="H122" s="7">
        <v>1917</v>
      </c>
      <c r="I122" s="14"/>
      <c r="J122" s="428">
        <v>1</v>
      </c>
      <c r="K122" s="607">
        <f>ROUND(H122*(1+'29_01_H_2020'!$F$14),2)</f>
        <v>2108.6999999999998</v>
      </c>
      <c r="L122" s="608">
        <f t="shared" si="141"/>
        <v>1917</v>
      </c>
      <c r="M122" s="608">
        <f t="shared" si="142"/>
        <v>0</v>
      </c>
      <c r="N122" s="608">
        <f t="shared" si="143"/>
        <v>191.69999999999982</v>
      </c>
      <c r="O122" s="608">
        <f t="shared" si="144"/>
        <v>0</v>
      </c>
      <c r="P122" s="608">
        <f t="shared" si="145"/>
        <v>0</v>
      </c>
      <c r="Q122" s="609">
        <f t="shared" si="136"/>
        <v>191.69999999999982</v>
      </c>
      <c r="R122" s="609">
        <f t="shared" si="137"/>
        <v>191.69999999999982</v>
      </c>
      <c r="S122" s="609">
        <f t="shared" si="138"/>
        <v>2300.3999999999978</v>
      </c>
      <c r="T122" s="609">
        <f t="shared" si="139"/>
        <v>554.16999999999996</v>
      </c>
      <c r="U122" s="610">
        <f t="shared" si="146"/>
        <v>2854.5699999999979</v>
      </c>
      <c r="V122" s="611"/>
      <c r="W122" s="611"/>
      <c r="X122" s="611"/>
      <c r="Y122" s="616"/>
      <c r="Z122" s="805"/>
      <c r="AA122" s="806"/>
      <c r="AB122" s="806"/>
      <c r="AC122" s="581"/>
      <c r="AD122" s="581"/>
      <c r="AE122" s="824"/>
      <c r="AF122" s="824"/>
      <c r="AG122" s="824"/>
      <c r="AH122" s="824"/>
      <c r="AI122" s="824"/>
      <c r="AJ122" s="824"/>
      <c r="AK122" s="824"/>
      <c r="AL122" s="824"/>
      <c r="AM122" s="824"/>
      <c r="AN122" s="824"/>
      <c r="AO122" s="616"/>
      <c r="AP122" s="581"/>
      <c r="AQ122" s="581"/>
      <c r="AR122" s="824"/>
      <c r="AS122" s="824"/>
      <c r="AT122" s="824"/>
      <c r="AU122" s="824"/>
      <c r="AV122" s="824"/>
      <c r="AW122" s="824"/>
      <c r="AX122" s="824"/>
      <c r="AY122" s="824"/>
      <c r="AZ122" s="824"/>
      <c r="BA122" s="824"/>
      <c r="BB122" s="616"/>
      <c r="BC122" s="581"/>
      <c r="BD122" s="581"/>
      <c r="BE122" s="581"/>
    </row>
    <row r="123" spans="2:57" x14ac:dyDescent="0.25">
      <c r="B123" s="401" t="s">
        <v>65</v>
      </c>
      <c r="C123" s="6" t="s">
        <v>66</v>
      </c>
      <c r="D123" s="6" t="s">
        <v>12</v>
      </c>
      <c r="E123" s="6">
        <v>12</v>
      </c>
      <c r="F123" s="6">
        <v>3</v>
      </c>
      <c r="G123" s="350">
        <v>1647</v>
      </c>
      <c r="H123" s="7">
        <v>1470</v>
      </c>
      <c r="I123" s="14"/>
      <c r="J123" s="428">
        <v>8</v>
      </c>
      <c r="K123" s="607">
        <f>ROUND(H123*(1+'29_01_H_2020'!$F$14),2)</f>
        <v>1617</v>
      </c>
      <c r="L123" s="608">
        <f t="shared" si="141"/>
        <v>1617</v>
      </c>
      <c r="M123" s="608">
        <f t="shared" si="142"/>
        <v>147</v>
      </c>
      <c r="N123" s="608">
        <f t="shared" si="143"/>
        <v>0</v>
      </c>
      <c r="O123" s="608">
        <f t="shared" si="144"/>
        <v>0</v>
      </c>
      <c r="P123" s="608">
        <f t="shared" si="145"/>
        <v>0</v>
      </c>
      <c r="Q123" s="609">
        <f t="shared" si="136"/>
        <v>147</v>
      </c>
      <c r="R123" s="609">
        <f t="shared" si="137"/>
        <v>1176</v>
      </c>
      <c r="S123" s="609">
        <f t="shared" si="138"/>
        <v>14112</v>
      </c>
      <c r="T123" s="609">
        <f t="shared" si="139"/>
        <v>3399.58</v>
      </c>
      <c r="U123" s="610">
        <f t="shared" si="146"/>
        <v>17511.580000000002</v>
      </c>
      <c r="V123" s="611"/>
      <c r="W123" s="611"/>
      <c r="X123" s="611"/>
      <c r="Y123" s="616"/>
      <c r="Z123" s="805"/>
      <c r="AA123" s="806"/>
      <c r="AB123" s="806"/>
      <c r="AC123" s="581"/>
      <c r="AD123" s="581"/>
      <c r="AE123" s="824"/>
      <c r="AF123" s="824"/>
      <c r="AG123" s="824"/>
      <c r="AH123" s="824"/>
      <c r="AI123" s="824"/>
      <c r="AJ123" s="824"/>
      <c r="AK123" s="824"/>
      <c r="AL123" s="824"/>
      <c r="AM123" s="824"/>
      <c r="AN123" s="824"/>
      <c r="AO123" s="616"/>
      <c r="AP123" s="581"/>
      <c r="AQ123" s="581"/>
      <c r="AR123" s="824"/>
      <c r="AS123" s="824"/>
      <c r="AT123" s="824"/>
      <c r="AU123" s="824"/>
      <c r="AV123" s="824"/>
      <c r="AW123" s="824"/>
      <c r="AX123" s="824"/>
      <c r="AY123" s="824"/>
      <c r="AZ123" s="824"/>
      <c r="BA123" s="824"/>
      <c r="BB123" s="616"/>
      <c r="BC123" s="581"/>
      <c r="BD123" s="581"/>
      <c r="BE123" s="581"/>
    </row>
    <row r="124" spans="2:57" x14ac:dyDescent="0.25">
      <c r="B124" s="401" t="s">
        <v>65</v>
      </c>
      <c r="C124" s="4" t="s">
        <v>66</v>
      </c>
      <c r="D124" s="4" t="s">
        <v>12</v>
      </c>
      <c r="E124" s="6">
        <v>12</v>
      </c>
      <c r="F124" s="6">
        <v>3</v>
      </c>
      <c r="G124" s="350">
        <v>1647</v>
      </c>
      <c r="H124" s="7">
        <v>1382</v>
      </c>
      <c r="I124" s="14"/>
      <c r="J124" s="428">
        <v>7</v>
      </c>
      <c r="K124" s="607">
        <f>ROUND(H124*(1+'29_01_H_2020'!$F$14),2)</f>
        <v>1520.2</v>
      </c>
      <c r="L124" s="608">
        <f t="shared" si="141"/>
        <v>1520.2</v>
      </c>
      <c r="M124" s="608">
        <f t="shared" si="142"/>
        <v>138.20000000000005</v>
      </c>
      <c r="N124" s="608">
        <f t="shared" si="143"/>
        <v>0</v>
      </c>
      <c r="O124" s="608">
        <f t="shared" si="144"/>
        <v>0</v>
      </c>
      <c r="P124" s="608">
        <f t="shared" si="145"/>
        <v>0</v>
      </c>
      <c r="Q124" s="609">
        <f t="shared" si="136"/>
        <v>138.20000000000005</v>
      </c>
      <c r="R124" s="609">
        <f t="shared" si="137"/>
        <v>967.40000000000032</v>
      </c>
      <c r="S124" s="609">
        <f t="shared" si="138"/>
        <v>11608.800000000003</v>
      </c>
      <c r="T124" s="609">
        <f t="shared" si="139"/>
        <v>2796.56</v>
      </c>
      <c r="U124" s="610">
        <f t="shared" si="146"/>
        <v>14405.360000000002</v>
      </c>
      <c r="V124" s="611"/>
      <c r="W124" s="611"/>
      <c r="X124" s="611"/>
      <c r="Y124" s="616"/>
      <c r="Z124" s="805"/>
      <c r="AA124" s="806"/>
      <c r="AB124" s="806"/>
      <c r="AC124" s="581"/>
      <c r="AD124" s="581"/>
      <c r="AE124" s="824"/>
      <c r="AF124" s="824"/>
      <c r="AG124" s="824"/>
      <c r="AH124" s="824"/>
      <c r="AI124" s="824"/>
      <c r="AJ124" s="824"/>
      <c r="AK124" s="824"/>
      <c r="AL124" s="824"/>
      <c r="AM124" s="824"/>
      <c r="AN124" s="824"/>
      <c r="AO124" s="616"/>
      <c r="AP124" s="581"/>
      <c r="AQ124" s="581"/>
      <c r="AR124" s="824"/>
      <c r="AS124" s="824"/>
      <c r="AT124" s="824"/>
      <c r="AU124" s="824"/>
      <c r="AV124" s="824"/>
      <c r="AW124" s="824"/>
      <c r="AX124" s="824"/>
      <c r="AY124" s="824"/>
      <c r="AZ124" s="824"/>
      <c r="BA124" s="824"/>
      <c r="BB124" s="616"/>
      <c r="BC124" s="581"/>
      <c r="BD124" s="581"/>
      <c r="BE124" s="581"/>
    </row>
    <row r="125" spans="2:57" x14ac:dyDescent="0.25">
      <c r="B125" s="3" t="s">
        <v>67</v>
      </c>
      <c r="C125" s="6" t="s">
        <v>66</v>
      </c>
      <c r="D125" s="6" t="s">
        <v>18</v>
      </c>
      <c r="E125" s="6">
        <v>11</v>
      </c>
      <c r="F125" s="6">
        <v>3</v>
      </c>
      <c r="G125" s="350">
        <v>1382</v>
      </c>
      <c r="H125" s="5">
        <v>1288</v>
      </c>
      <c r="I125" s="14"/>
      <c r="J125" s="427">
        <v>8</v>
      </c>
      <c r="K125" s="607">
        <f>ROUND(H125*(1+'29_01_H_2020'!$F$14),2)</f>
        <v>1416.8</v>
      </c>
      <c r="L125" s="608">
        <f t="shared" si="141"/>
        <v>1382</v>
      </c>
      <c r="M125" s="608">
        <f t="shared" si="142"/>
        <v>94</v>
      </c>
      <c r="N125" s="608">
        <f t="shared" si="143"/>
        <v>34.799999999999955</v>
      </c>
      <c r="O125" s="608">
        <f t="shared" si="144"/>
        <v>0</v>
      </c>
      <c r="P125" s="608">
        <f t="shared" si="145"/>
        <v>0</v>
      </c>
      <c r="Q125" s="609">
        <f t="shared" si="136"/>
        <v>128.79999999999995</v>
      </c>
      <c r="R125" s="609">
        <f t="shared" si="137"/>
        <v>1030.3999999999996</v>
      </c>
      <c r="S125" s="609">
        <f t="shared" si="138"/>
        <v>12364.799999999996</v>
      </c>
      <c r="T125" s="609">
        <f t="shared" si="139"/>
        <v>2978.68</v>
      </c>
      <c r="U125" s="610">
        <f t="shared" si="146"/>
        <v>15343.479999999996</v>
      </c>
      <c r="V125" s="611"/>
      <c r="W125" s="611"/>
      <c r="X125" s="611"/>
      <c r="Y125" s="616"/>
      <c r="Z125" s="805"/>
      <c r="AA125" s="806"/>
      <c r="AB125" s="806"/>
      <c r="AC125" s="581"/>
      <c r="AD125" s="581"/>
      <c r="AE125" s="824"/>
      <c r="AF125" s="824"/>
      <c r="AG125" s="824"/>
      <c r="AH125" s="824"/>
      <c r="AI125" s="824"/>
      <c r="AJ125" s="824"/>
      <c r="AK125" s="824"/>
      <c r="AL125" s="824"/>
      <c r="AM125" s="824"/>
      <c r="AN125" s="824"/>
      <c r="AO125" s="616"/>
      <c r="AP125" s="581"/>
      <c r="AQ125" s="581"/>
      <c r="AR125" s="824"/>
      <c r="AS125" s="824"/>
      <c r="AT125" s="824"/>
      <c r="AU125" s="824"/>
      <c r="AV125" s="824"/>
      <c r="AW125" s="824"/>
      <c r="AX125" s="824"/>
      <c r="AY125" s="824"/>
      <c r="AZ125" s="824"/>
      <c r="BA125" s="824"/>
      <c r="BB125" s="616"/>
      <c r="BC125" s="581"/>
      <c r="BD125" s="581"/>
      <c r="BE125" s="581"/>
    </row>
    <row r="126" spans="2:57" x14ac:dyDescent="0.25">
      <c r="B126" s="3" t="s">
        <v>67</v>
      </c>
      <c r="C126" s="6" t="s">
        <v>66</v>
      </c>
      <c r="D126" s="6" t="s">
        <v>18</v>
      </c>
      <c r="E126" s="6">
        <v>11</v>
      </c>
      <c r="F126" s="6">
        <v>3</v>
      </c>
      <c r="G126" s="350">
        <v>1382</v>
      </c>
      <c r="H126" s="5">
        <v>1200</v>
      </c>
      <c r="I126" s="14"/>
      <c r="J126" s="427">
        <v>3</v>
      </c>
      <c r="K126" s="607">
        <f>ROUND(H126*(1+'29_01_H_2020'!$F$14),2)</f>
        <v>1320</v>
      </c>
      <c r="L126" s="608">
        <f t="shared" si="141"/>
        <v>1320</v>
      </c>
      <c r="M126" s="608">
        <f t="shared" si="142"/>
        <v>120</v>
      </c>
      <c r="N126" s="608">
        <f t="shared" si="143"/>
        <v>0</v>
      </c>
      <c r="O126" s="608">
        <f t="shared" si="144"/>
        <v>0</v>
      </c>
      <c r="P126" s="608">
        <f t="shared" si="145"/>
        <v>0</v>
      </c>
      <c r="Q126" s="609">
        <f t="shared" si="136"/>
        <v>120</v>
      </c>
      <c r="R126" s="609">
        <f t="shared" si="137"/>
        <v>360</v>
      </c>
      <c r="S126" s="609">
        <f t="shared" si="138"/>
        <v>4320</v>
      </c>
      <c r="T126" s="609">
        <f t="shared" si="139"/>
        <v>1040.69</v>
      </c>
      <c r="U126" s="610">
        <f t="shared" si="146"/>
        <v>5360.6900000000005</v>
      </c>
      <c r="V126" s="611"/>
      <c r="W126" s="611"/>
      <c r="X126" s="611"/>
      <c r="Y126" s="616"/>
      <c r="Z126" s="805"/>
      <c r="AA126" s="806"/>
      <c r="AB126" s="806"/>
      <c r="AC126" s="581"/>
      <c r="AD126" s="581"/>
      <c r="AE126" s="824"/>
      <c r="AF126" s="824"/>
      <c r="AG126" s="824"/>
      <c r="AH126" s="824"/>
      <c r="AI126" s="824"/>
      <c r="AJ126" s="824"/>
      <c r="AK126" s="824"/>
      <c r="AL126" s="824"/>
      <c r="AM126" s="824"/>
      <c r="AN126" s="824"/>
      <c r="AO126" s="616"/>
      <c r="AP126" s="581"/>
      <c r="AQ126" s="581"/>
      <c r="AR126" s="824"/>
      <c r="AS126" s="824"/>
      <c r="AT126" s="824"/>
      <c r="AU126" s="824"/>
      <c r="AV126" s="824"/>
      <c r="AW126" s="824"/>
      <c r="AX126" s="824"/>
      <c r="AY126" s="824"/>
      <c r="AZ126" s="824"/>
      <c r="BA126" s="824"/>
      <c r="BB126" s="616"/>
      <c r="BC126" s="581"/>
      <c r="BD126" s="581"/>
      <c r="BE126" s="581"/>
    </row>
    <row r="127" spans="2:57" x14ac:dyDescent="0.25">
      <c r="B127" s="3" t="s">
        <v>67</v>
      </c>
      <c r="C127" s="6" t="s">
        <v>66</v>
      </c>
      <c r="D127" s="6" t="s">
        <v>18</v>
      </c>
      <c r="E127" s="6">
        <v>11</v>
      </c>
      <c r="F127" s="6">
        <v>3</v>
      </c>
      <c r="G127" s="350">
        <v>1382</v>
      </c>
      <c r="H127" s="5">
        <v>1130</v>
      </c>
      <c r="I127" s="14"/>
      <c r="J127" s="427">
        <v>2</v>
      </c>
      <c r="K127" s="607">
        <f>ROUND(H127*(1+'29_01_H_2020'!$F$14),2)</f>
        <v>1243</v>
      </c>
      <c r="L127" s="608">
        <f t="shared" si="141"/>
        <v>1243</v>
      </c>
      <c r="M127" s="608">
        <f t="shared" si="142"/>
        <v>113</v>
      </c>
      <c r="N127" s="608">
        <f t="shared" si="143"/>
        <v>0</v>
      </c>
      <c r="O127" s="608">
        <f t="shared" si="144"/>
        <v>0</v>
      </c>
      <c r="P127" s="608">
        <f t="shared" si="145"/>
        <v>0</v>
      </c>
      <c r="Q127" s="609">
        <f t="shared" si="136"/>
        <v>113</v>
      </c>
      <c r="R127" s="609">
        <f t="shared" si="137"/>
        <v>226</v>
      </c>
      <c r="S127" s="609">
        <f t="shared" si="138"/>
        <v>2712</v>
      </c>
      <c r="T127" s="609">
        <f t="shared" si="139"/>
        <v>653.32000000000005</v>
      </c>
      <c r="U127" s="610">
        <f t="shared" si="146"/>
        <v>3365.32</v>
      </c>
      <c r="V127" s="611"/>
      <c r="W127" s="611"/>
      <c r="X127" s="611"/>
      <c r="Y127" s="616"/>
      <c r="Z127" s="805"/>
      <c r="AA127" s="806"/>
      <c r="AB127" s="806"/>
      <c r="AC127" s="581"/>
      <c r="AD127" s="581"/>
      <c r="AE127" s="824"/>
      <c r="AF127" s="824"/>
      <c r="AG127" s="824"/>
      <c r="AH127" s="824"/>
      <c r="AI127" s="824"/>
      <c r="AJ127" s="824"/>
      <c r="AK127" s="824"/>
      <c r="AL127" s="824"/>
      <c r="AM127" s="824"/>
      <c r="AN127" s="824"/>
      <c r="AO127" s="616"/>
      <c r="AP127" s="581"/>
      <c r="AQ127" s="581"/>
      <c r="AR127" s="824"/>
      <c r="AS127" s="824"/>
      <c r="AT127" s="824"/>
      <c r="AU127" s="824"/>
      <c r="AV127" s="824"/>
      <c r="AW127" s="824"/>
      <c r="AX127" s="824"/>
      <c r="AY127" s="824"/>
      <c r="AZ127" s="824"/>
      <c r="BA127" s="824"/>
      <c r="BB127" s="616"/>
      <c r="BC127" s="581"/>
      <c r="BD127" s="581"/>
      <c r="BE127" s="581"/>
    </row>
    <row r="128" spans="2:57" x14ac:dyDescent="0.25">
      <c r="B128" s="401" t="s">
        <v>67</v>
      </c>
      <c r="C128" s="4" t="s">
        <v>66</v>
      </c>
      <c r="D128" s="4" t="s">
        <v>18</v>
      </c>
      <c r="E128" s="6">
        <v>11</v>
      </c>
      <c r="F128" s="6">
        <v>3</v>
      </c>
      <c r="G128" s="350">
        <v>1382</v>
      </c>
      <c r="H128" s="5">
        <v>1131</v>
      </c>
      <c r="I128" s="14"/>
      <c r="J128" s="427">
        <v>1</v>
      </c>
      <c r="K128" s="607">
        <f>ROUND(H128*(1+'29_01_H_2020'!$F$14),2)</f>
        <v>1244.0999999999999</v>
      </c>
      <c r="L128" s="608">
        <f t="shared" si="141"/>
        <v>1244.0999999999999</v>
      </c>
      <c r="M128" s="608">
        <f t="shared" si="142"/>
        <v>113.09999999999991</v>
      </c>
      <c r="N128" s="608">
        <f t="shared" si="143"/>
        <v>0</v>
      </c>
      <c r="O128" s="608">
        <f t="shared" si="144"/>
        <v>0</v>
      </c>
      <c r="P128" s="608">
        <f t="shared" si="145"/>
        <v>0</v>
      </c>
      <c r="Q128" s="609">
        <f t="shared" si="136"/>
        <v>113.09999999999991</v>
      </c>
      <c r="R128" s="609">
        <f t="shared" si="137"/>
        <v>113.09999999999991</v>
      </c>
      <c r="S128" s="609">
        <f t="shared" si="138"/>
        <v>1357.1999999999989</v>
      </c>
      <c r="T128" s="609">
        <f t="shared" si="139"/>
        <v>326.95</v>
      </c>
      <c r="U128" s="610">
        <f t="shared" si="146"/>
        <v>1684.149999999999</v>
      </c>
      <c r="V128" s="611"/>
      <c r="W128" s="611"/>
      <c r="X128" s="611"/>
      <c r="Y128" s="616"/>
      <c r="Z128" s="805"/>
      <c r="AA128" s="806"/>
      <c r="AB128" s="806"/>
      <c r="AC128" s="581"/>
      <c r="AD128" s="581"/>
      <c r="AE128" s="824"/>
      <c r="AF128" s="824"/>
      <c r="AG128" s="824"/>
      <c r="AH128" s="824"/>
      <c r="AI128" s="824"/>
      <c r="AJ128" s="824"/>
      <c r="AK128" s="824"/>
      <c r="AL128" s="824"/>
      <c r="AM128" s="824"/>
      <c r="AN128" s="824"/>
      <c r="AO128" s="616"/>
      <c r="AP128" s="581"/>
      <c r="AQ128" s="581"/>
      <c r="AR128" s="824"/>
      <c r="AS128" s="824"/>
      <c r="AT128" s="824"/>
      <c r="AU128" s="824"/>
      <c r="AV128" s="824"/>
      <c r="AW128" s="824"/>
      <c r="AX128" s="824"/>
      <c r="AY128" s="824"/>
      <c r="AZ128" s="824"/>
      <c r="BA128" s="824"/>
      <c r="BB128" s="616"/>
      <c r="BC128" s="581"/>
      <c r="BD128" s="581"/>
      <c r="BE128" s="581"/>
    </row>
    <row r="129" spans="2:57" x14ac:dyDescent="0.25">
      <c r="B129" s="3" t="s">
        <v>68</v>
      </c>
      <c r="C129" s="6" t="s">
        <v>66</v>
      </c>
      <c r="D129" s="6" t="s">
        <v>18</v>
      </c>
      <c r="E129" s="6">
        <v>11</v>
      </c>
      <c r="F129" s="327" t="s">
        <v>69</v>
      </c>
      <c r="G129" s="351">
        <v>1382</v>
      </c>
      <c r="H129" s="5">
        <v>1232</v>
      </c>
      <c r="I129" s="14"/>
      <c r="J129" s="428">
        <v>4</v>
      </c>
      <c r="K129" s="607">
        <f>ROUND(H129*(1+'29_01_H_2020'!$F$14),2)</f>
        <v>1355.2</v>
      </c>
      <c r="L129" s="608">
        <f t="shared" si="141"/>
        <v>1355.2</v>
      </c>
      <c r="M129" s="608">
        <f t="shared" si="142"/>
        <v>123.20000000000005</v>
      </c>
      <c r="N129" s="608">
        <f t="shared" si="143"/>
        <v>0</v>
      </c>
      <c r="O129" s="608">
        <f t="shared" si="144"/>
        <v>0</v>
      </c>
      <c r="P129" s="608">
        <f t="shared" si="145"/>
        <v>0</v>
      </c>
      <c r="Q129" s="609">
        <f t="shared" si="136"/>
        <v>123.20000000000005</v>
      </c>
      <c r="R129" s="609">
        <f t="shared" si="137"/>
        <v>492.80000000000018</v>
      </c>
      <c r="S129" s="609">
        <f t="shared" si="138"/>
        <v>5913.6000000000022</v>
      </c>
      <c r="T129" s="609">
        <f t="shared" si="139"/>
        <v>1424.59</v>
      </c>
      <c r="U129" s="610">
        <f t="shared" si="146"/>
        <v>7338.1900000000023</v>
      </c>
      <c r="V129" s="611"/>
      <c r="W129" s="611"/>
      <c r="X129" s="611"/>
      <c r="Y129" s="616"/>
      <c r="Z129" s="805"/>
      <c r="AA129" s="806"/>
      <c r="AB129" s="806"/>
      <c r="AC129" s="581"/>
      <c r="AD129" s="581"/>
      <c r="AE129" s="824"/>
      <c r="AF129" s="824"/>
      <c r="AG129" s="824"/>
      <c r="AH129" s="824"/>
      <c r="AI129" s="824"/>
      <c r="AJ129" s="824"/>
      <c r="AK129" s="824"/>
      <c r="AL129" s="824"/>
      <c r="AM129" s="824"/>
      <c r="AN129" s="824"/>
      <c r="AO129" s="616"/>
      <c r="AP129" s="581"/>
      <c r="AQ129" s="581"/>
      <c r="AR129" s="824"/>
      <c r="AS129" s="824"/>
      <c r="AT129" s="824"/>
      <c r="AU129" s="824"/>
      <c r="AV129" s="824"/>
      <c r="AW129" s="824"/>
      <c r="AX129" s="824"/>
      <c r="AY129" s="824"/>
      <c r="AZ129" s="824"/>
      <c r="BA129" s="824"/>
      <c r="BB129" s="616"/>
      <c r="BC129" s="581"/>
      <c r="BD129" s="581"/>
      <c r="BE129" s="581"/>
    </row>
    <row r="130" spans="2:57" x14ac:dyDescent="0.25">
      <c r="B130" s="10" t="s">
        <v>70</v>
      </c>
      <c r="C130" s="4" t="s">
        <v>66</v>
      </c>
      <c r="D130" s="4" t="s">
        <v>71</v>
      </c>
      <c r="E130" s="6">
        <v>10</v>
      </c>
      <c r="F130" s="6">
        <v>3</v>
      </c>
      <c r="G130" s="351">
        <v>1287</v>
      </c>
      <c r="H130" s="5">
        <v>1120</v>
      </c>
      <c r="I130" s="14"/>
      <c r="J130" s="428">
        <v>1</v>
      </c>
      <c r="K130" s="607">
        <f>ROUND(H130*(1+'29_01_H_2020'!$F$14),2)</f>
        <v>1232</v>
      </c>
      <c r="L130" s="608">
        <f t="shared" si="141"/>
        <v>1232</v>
      </c>
      <c r="M130" s="608">
        <f t="shared" si="142"/>
        <v>112</v>
      </c>
      <c r="N130" s="608">
        <f t="shared" si="143"/>
        <v>0</v>
      </c>
      <c r="O130" s="608">
        <f t="shared" si="144"/>
        <v>0</v>
      </c>
      <c r="P130" s="608">
        <f t="shared" si="145"/>
        <v>0</v>
      </c>
      <c r="Q130" s="609">
        <f t="shared" si="136"/>
        <v>112</v>
      </c>
      <c r="R130" s="609">
        <f t="shared" si="137"/>
        <v>112</v>
      </c>
      <c r="S130" s="609">
        <f t="shared" si="138"/>
        <v>1344</v>
      </c>
      <c r="T130" s="609">
        <f t="shared" si="139"/>
        <v>323.77</v>
      </c>
      <c r="U130" s="610">
        <f t="shared" si="146"/>
        <v>1667.77</v>
      </c>
      <c r="V130" s="611"/>
      <c r="W130" s="611"/>
      <c r="X130" s="611"/>
      <c r="Y130" s="616"/>
      <c r="Z130" s="805"/>
      <c r="AA130" s="806"/>
      <c r="AB130" s="806"/>
      <c r="AC130" s="581"/>
      <c r="AD130" s="581"/>
      <c r="AE130" s="824"/>
      <c r="AF130" s="824"/>
      <c r="AG130" s="824"/>
      <c r="AH130" s="824"/>
      <c r="AI130" s="824"/>
      <c r="AJ130" s="824"/>
      <c r="AK130" s="824"/>
      <c r="AL130" s="824"/>
      <c r="AM130" s="824"/>
      <c r="AN130" s="824"/>
      <c r="AO130" s="616"/>
      <c r="AP130" s="581"/>
      <c r="AQ130" s="581"/>
      <c r="AR130" s="824"/>
      <c r="AS130" s="824"/>
      <c r="AT130" s="824"/>
      <c r="AU130" s="824"/>
      <c r="AV130" s="824"/>
      <c r="AW130" s="824"/>
      <c r="AX130" s="824"/>
      <c r="AY130" s="824"/>
      <c r="AZ130" s="824"/>
      <c r="BA130" s="824"/>
      <c r="BB130" s="616"/>
      <c r="BC130" s="581"/>
      <c r="BD130" s="581"/>
      <c r="BE130" s="581"/>
    </row>
    <row r="131" spans="2:57" x14ac:dyDescent="0.25">
      <c r="B131" s="10" t="s">
        <v>70</v>
      </c>
      <c r="C131" s="6" t="s">
        <v>66</v>
      </c>
      <c r="D131" s="6" t="s">
        <v>71</v>
      </c>
      <c r="E131" s="6">
        <v>10</v>
      </c>
      <c r="F131" s="6">
        <v>3</v>
      </c>
      <c r="G131" s="351">
        <v>1287</v>
      </c>
      <c r="H131" s="5">
        <v>1000</v>
      </c>
      <c r="I131" s="14"/>
      <c r="J131" s="428">
        <v>2</v>
      </c>
      <c r="K131" s="607">
        <f>ROUND(H131*(1+'29_01_H_2020'!$F$14),2)</f>
        <v>1100</v>
      </c>
      <c r="L131" s="608">
        <f t="shared" si="141"/>
        <v>1100</v>
      </c>
      <c r="M131" s="608">
        <f t="shared" si="142"/>
        <v>100</v>
      </c>
      <c r="N131" s="608">
        <f t="shared" si="143"/>
        <v>0</v>
      </c>
      <c r="O131" s="608">
        <f t="shared" si="144"/>
        <v>0</v>
      </c>
      <c r="P131" s="608">
        <f t="shared" si="145"/>
        <v>0</v>
      </c>
      <c r="Q131" s="609">
        <f t="shared" si="136"/>
        <v>100</v>
      </c>
      <c r="R131" s="609">
        <f t="shared" si="137"/>
        <v>200</v>
      </c>
      <c r="S131" s="609">
        <f t="shared" si="138"/>
        <v>2400</v>
      </c>
      <c r="T131" s="609">
        <f t="shared" si="139"/>
        <v>578.16</v>
      </c>
      <c r="U131" s="610">
        <f t="shared" si="146"/>
        <v>2978.16</v>
      </c>
      <c r="V131" s="611"/>
      <c r="W131" s="611"/>
      <c r="X131" s="611"/>
      <c r="Y131" s="616"/>
      <c r="Z131" s="805"/>
      <c r="AA131" s="806"/>
      <c r="AB131" s="806"/>
      <c r="AC131" s="581"/>
      <c r="AD131" s="581"/>
      <c r="AE131" s="824"/>
      <c r="AF131" s="824"/>
      <c r="AG131" s="824"/>
      <c r="AH131" s="824"/>
      <c r="AI131" s="824"/>
      <c r="AJ131" s="824"/>
      <c r="AK131" s="824"/>
      <c r="AL131" s="824"/>
      <c r="AM131" s="824"/>
      <c r="AN131" s="824"/>
      <c r="AO131" s="616"/>
      <c r="AP131" s="581"/>
      <c r="AQ131" s="581"/>
      <c r="AR131" s="824"/>
      <c r="AS131" s="824"/>
      <c r="AT131" s="824"/>
      <c r="AU131" s="824"/>
      <c r="AV131" s="824"/>
      <c r="AW131" s="824"/>
      <c r="AX131" s="824"/>
      <c r="AY131" s="824"/>
      <c r="AZ131" s="824"/>
      <c r="BA131" s="824"/>
      <c r="BB131" s="616"/>
      <c r="BC131" s="581"/>
      <c r="BD131" s="581"/>
      <c r="BE131" s="581"/>
    </row>
    <row r="132" spans="2:57" x14ac:dyDescent="0.25">
      <c r="B132" s="10" t="s">
        <v>70</v>
      </c>
      <c r="C132" s="4" t="s">
        <v>66</v>
      </c>
      <c r="D132" s="4" t="s">
        <v>71</v>
      </c>
      <c r="E132" s="6">
        <v>10</v>
      </c>
      <c r="F132" s="6">
        <v>3</v>
      </c>
      <c r="G132" s="351">
        <v>1287</v>
      </c>
      <c r="H132" s="5">
        <v>878</v>
      </c>
      <c r="I132" s="14"/>
      <c r="J132" s="428">
        <v>1</v>
      </c>
      <c r="K132" s="607">
        <f>ROUND(H132*(1+'29_01_H_2020'!$F$14),2)</f>
        <v>965.8</v>
      </c>
      <c r="L132" s="608">
        <f t="shared" si="141"/>
        <v>965.8</v>
      </c>
      <c r="M132" s="608">
        <f t="shared" si="142"/>
        <v>87.799999999999955</v>
      </c>
      <c r="N132" s="608">
        <f t="shared" si="143"/>
        <v>0</v>
      </c>
      <c r="O132" s="608">
        <f t="shared" si="144"/>
        <v>0</v>
      </c>
      <c r="P132" s="608">
        <f t="shared" si="145"/>
        <v>0</v>
      </c>
      <c r="Q132" s="609">
        <f t="shared" si="136"/>
        <v>87.799999999999955</v>
      </c>
      <c r="R132" s="609">
        <f t="shared" si="137"/>
        <v>87.799999999999955</v>
      </c>
      <c r="S132" s="609">
        <f t="shared" si="138"/>
        <v>1053.5999999999995</v>
      </c>
      <c r="T132" s="609">
        <f t="shared" si="139"/>
        <v>253.81</v>
      </c>
      <c r="U132" s="610">
        <f t="shared" si="146"/>
        <v>1307.4099999999994</v>
      </c>
      <c r="V132" s="611"/>
      <c r="W132" s="611"/>
      <c r="X132" s="611"/>
      <c r="Y132" s="616"/>
      <c r="Z132" s="805"/>
      <c r="AA132" s="806"/>
      <c r="AB132" s="806"/>
      <c r="AC132" s="581"/>
      <c r="AD132" s="581"/>
      <c r="AE132" s="824"/>
      <c r="AF132" s="824"/>
      <c r="AG132" s="824"/>
      <c r="AH132" s="824"/>
      <c r="AI132" s="824"/>
      <c r="AJ132" s="824"/>
      <c r="AK132" s="824"/>
      <c r="AL132" s="824"/>
      <c r="AM132" s="824"/>
      <c r="AN132" s="824"/>
      <c r="AO132" s="616"/>
      <c r="AP132" s="581"/>
      <c r="AQ132" s="581"/>
      <c r="AR132" s="824"/>
      <c r="AS132" s="824"/>
      <c r="AT132" s="824"/>
      <c r="AU132" s="824"/>
      <c r="AV132" s="824"/>
      <c r="AW132" s="824"/>
      <c r="AX132" s="824"/>
      <c r="AY132" s="824"/>
      <c r="AZ132" s="824"/>
      <c r="BA132" s="824"/>
      <c r="BB132" s="616"/>
      <c r="BC132" s="581"/>
      <c r="BD132" s="581"/>
      <c r="BE132" s="581"/>
    </row>
    <row r="133" spans="2:57" x14ac:dyDescent="0.25">
      <c r="B133" s="10" t="s">
        <v>70</v>
      </c>
      <c r="C133" s="6" t="s">
        <v>66</v>
      </c>
      <c r="D133" s="6" t="s">
        <v>71</v>
      </c>
      <c r="E133" s="6">
        <v>10</v>
      </c>
      <c r="F133" s="6">
        <v>3</v>
      </c>
      <c r="G133" s="351">
        <v>1287</v>
      </c>
      <c r="H133" s="5">
        <v>930</v>
      </c>
      <c r="I133" s="14"/>
      <c r="J133" s="428">
        <v>2</v>
      </c>
      <c r="K133" s="607">
        <f>ROUND(H133*(1+'29_01_H_2020'!$F$14),2)</f>
        <v>1023</v>
      </c>
      <c r="L133" s="608">
        <f t="shared" si="141"/>
        <v>1023</v>
      </c>
      <c r="M133" s="608">
        <f t="shared" si="142"/>
        <v>93</v>
      </c>
      <c r="N133" s="608">
        <f t="shared" si="143"/>
        <v>0</v>
      </c>
      <c r="O133" s="608">
        <f t="shared" si="144"/>
        <v>0</v>
      </c>
      <c r="P133" s="608">
        <f t="shared" si="145"/>
        <v>0</v>
      </c>
      <c r="Q133" s="609">
        <f t="shared" si="136"/>
        <v>93</v>
      </c>
      <c r="R133" s="609">
        <f t="shared" si="137"/>
        <v>186</v>
      </c>
      <c r="S133" s="609">
        <f t="shared" si="138"/>
        <v>2232</v>
      </c>
      <c r="T133" s="609">
        <f t="shared" si="139"/>
        <v>537.69000000000005</v>
      </c>
      <c r="U133" s="610">
        <f t="shared" si="146"/>
        <v>2769.69</v>
      </c>
      <c r="V133" s="611"/>
      <c r="W133" s="611"/>
      <c r="X133" s="611"/>
      <c r="Y133" s="616"/>
      <c r="Z133" s="805"/>
      <c r="AA133" s="806"/>
      <c r="AB133" s="806"/>
      <c r="AC133" s="581"/>
      <c r="AD133" s="581"/>
      <c r="AE133" s="824"/>
      <c r="AF133" s="824"/>
      <c r="AG133" s="824"/>
      <c r="AH133" s="824"/>
      <c r="AI133" s="824"/>
      <c r="AJ133" s="824"/>
      <c r="AK133" s="824"/>
      <c r="AL133" s="824"/>
      <c r="AM133" s="824"/>
      <c r="AN133" s="824"/>
      <c r="AO133" s="616"/>
      <c r="AP133" s="581"/>
      <c r="AQ133" s="581"/>
      <c r="AR133" s="824"/>
      <c r="AS133" s="824"/>
      <c r="AT133" s="824"/>
      <c r="AU133" s="824"/>
      <c r="AV133" s="824"/>
      <c r="AW133" s="824"/>
      <c r="AX133" s="824"/>
      <c r="AY133" s="824"/>
      <c r="AZ133" s="824"/>
      <c r="BA133" s="824"/>
      <c r="BB133" s="616"/>
      <c r="BC133" s="581"/>
      <c r="BD133" s="581"/>
      <c r="BE133" s="581"/>
    </row>
    <row r="134" spans="2:57" x14ac:dyDescent="0.25">
      <c r="B134" s="401" t="s">
        <v>70</v>
      </c>
      <c r="C134" s="4" t="s">
        <v>66</v>
      </c>
      <c r="D134" s="4" t="s">
        <v>71</v>
      </c>
      <c r="E134" s="6">
        <v>10</v>
      </c>
      <c r="F134" s="6">
        <v>3</v>
      </c>
      <c r="G134" s="351">
        <v>1287</v>
      </c>
      <c r="H134" s="5">
        <v>1015</v>
      </c>
      <c r="I134" s="14"/>
      <c r="J134" s="428">
        <v>1</v>
      </c>
      <c r="K134" s="607">
        <f>ROUND(H134*(1+'29_01_H_2020'!$F$14),2)</f>
        <v>1116.5</v>
      </c>
      <c r="L134" s="608">
        <f t="shared" si="141"/>
        <v>1116.5</v>
      </c>
      <c r="M134" s="608">
        <f t="shared" si="142"/>
        <v>101.5</v>
      </c>
      <c r="N134" s="608">
        <f t="shared" si="143"/>
        <v>0</v>
      </c>
      <c r="O134" s="608">
        <f t="shared" si="144"/>
        <v>0</v>
      </c>
      <c r="P134" s="608">
        <f t="shared" si="145"/>
        <v>0</v>
      </c>
      <c r="Q134" s="609">
        <f t="shared" si="136"/>
        <v>101.5</v>
      </c>
      <c r="R134" s="609">
        <f t="shared" si="137"/>
        <v>101.5</v>
      </c>
      <c r="S134" s="609">
        <f t="shared" si="138"/>
        <v>1218</v>
      </c>
      <c r="T134" s="609">
        <f t="shared" si="139"/>
        <v>293.42</v>
      </c>
      <c r="U134" s="610">
        <f t="shared" si="146"/>
        <v>1511.42</v>
      </c>
      <c r="V134" s="611"/>
      <c r="W134" s="611"/>
      <c r="X134" s="611"/>
      <c r="Y134" s="616"/>
      <c r="Z134" s="805"/>
      <c r="AA134" s="806"/>
      <c r="AB134" s="806"/>
      <c r="AC134" s="581"/>
      <c r="AD134" s="581"/>
      <c r="AE134" s="824"/>
      <c r="AF134" s="824"/>
      <c r="AG134" s="824"/>
      <c r="AH134" s="824"/>
      <c r="AI134" s="824"/>
      <c r="AJ134" s="824"/>
      <c r="AK134" s="824"/>
      <c r="AL134" s="824"/>
      <c r="AM134" s="824"/>
      <c r="AN134" s="824"/>
      <c r="AO134" s="616"/>
      <c r="AP134" s="581"/>
      <c r="AQ134" s="581"/>
      <c r="AR134" s="824"/>
      <c r="AS134" s="824"/>
      <c r="AT134" s="824"/>
      <c r="AU134" s="824"/>
      <c r="AV134" s="824"/>
      <c r="AW134" s="824"/>
      <c r="AX134" s="824"/>
      <c r="AY134" s="824"/>
      <c r="AZ134" s="824"/>
      <c r="BA134" s="824"/>
      <c r="BB134" s="616"/>
      <c r="BC134" s="581"/>
      <c r="BD134" s="581"/>
      <c r="BE134" s="581"/>
    </row>
    <row r="135" spans="2:57" x14ac:dyDescent="0.25">
      <c r="B135" s="401" t="s">
        <v>70</v>
      </c>
      <c r="C135" s="4" t="s">
        <v>66</v>
      </c>
      <c r="D135" s="4" t="s">
        <v>71</v>
      </c>
      <c r="E135" s="6">
        <v>10</v>
      </c>
      <c r="F135" s="6">
        <v>3</v>
      </c>
      <c r="G135" s="351">
        <v>1287</v>
      </c>
      <c r="H135" s="5">
        <v>1100</v>
      </c>
      <c r="I135" s="14"/>
      <c r="J135" s="428">
        <v>1</v>
      </c>
      <c r="K135" s="607">
        <f>ROUND(H135*(1+'29_01_H_2020'!$F$14),2)</f>
        <v>1210</v>
      </c>
      <c r="L135" s="608">
        <f t="shared" si="141"/>
        <v>1210</v>
      </c>
      <c r="M135" s="608">
        <f t="shared" si="142"/>
        <v>110</v>
      </c>
      <c r="N135" s="608">
        <f t="shared" si="143"/>
        <v>0</v>
      </c>
      <c r="O135" s="608">
        <f t="shared" si="144"/>
        <v>0</v>
      </c>
      <c r="P135" s="608">
        <f t="shared" si="145"/>
        <v>0</v>
      </c>
      <c r="Q135" s="609">
        <f t="shared" si="136"/>
        <v>110</v>
      </c>
      <c r="R135" s="609">
        <f t="shared" si="137"/>
        <v>110</v>
      </c>
      <c r="S135" s="609">
        <f t="shared" si="138"/>
        <v>1320</v>
      </c>
      <c r="T135" s="609">
        <f t="shared" si="139"/>
        <v>317.99</v>
      </c>
      <c r="U135" s="610">
        <f t="shared" si="146"/>
        <v>1637.99</v>
      </c>
      <c r="V135" s="611"/>
      <c r="W135" s="611"/>
      <c r="X135" s="611"/>
      <c r="Y135" s="616"/>
      <c r="Z135" s="805"/>
      <c r="AA135" s="806"/>
      <c r="AB135" s="806"/>
      <c r="AC135" s="581"/>
      <c r="AD135" s="581"/>
      <c r="AE135" s="824"/>
      <c r="AF135" s="824"/>
      <c r="AG135" s="824"/>
      <c r="AH135" s="824"/>
      <c r="AI135" s="824"/>
      <c r="AJ135" s="824"/>
      <c r="AK135" s="824"/>
      <c r="AL135" s="824"/>
      <c r="AM135" s="824"/>
      <c r="AN135" s="824"/>
      <c r="AO135" s="616"/>
      <c r="AP135" s="581"/>
      <c r="AQ135" s="581"/>
      <c r="AR135" s="824"/>
      <c r="AS135" s="824"/>
      <c r="AT135" s="824"/>
      <c r="AU135" s="824"/>
      <c r="AV135" s="824"/>
      <c r="AW135" s="824"/>
      <c r="AX135" s="824"/>
      <c r="AY135" s="824"/>
      <c r="AZ135" s="824"/>
      <c r="BA135" s="824"/>
      <c r="BB135" s="616"/>
      <c r="BC135" s="581"/>
      <c r="BD135" s="581"/>
      <c r="BE135" s="581"/>
    </row>
    <row r="136" spans="2:57" x14ac:dyDescent="0.25">
      <c r="B136" s="401" t="s">
        <v>70</v>
      </c>
      <c r="C136" s="6" t="s">
        <v>66</v>
      </c>
      <c r="D136" s="6" t="s">
        <v>71</v>
      </c>
      <c r="E136" s="6">
        <v>10</v>
      </c>
      <c r="F136" s="6">
        <v>3</v>
      </c>
      <c r="G136" s="351">
        <v>1287</v>
      </c>
      <c r="H136" s="5">
        <v>840</v>
      </c>
      <c r="I136" s="14"/>
      <c r="J136" s="428">
        <v>3</v>
      </c>
      <c r="K136" s="607">
        <f>ROUND(H136*(1+'29_01_H_2020'!$F$14),2)</f>
        <v>924</v>
      </c>
      <c r="L136" s="608">
        <f t="shared" si="141"/>
        <v>924</v>
      </c>
      <c r="M136" s="608">
        <f t="shared" si="142"/>
        <v>84</v>
      </c>
      <c r="N136" s="608">
        <f t="shared" si="143"/>
        <v>0</v>
      </c>
      <c r="O136" s="608">
        <f t="shared" si="144"/>
        <v>0</v>
      </c>
      <c r="P136" s="608">
        <f t="shared" si="145"/>
        <v>0</v>
      </c>
      <c r="Q136" s="609">
        <f t="shared" si="136"/>
        <v>84</v>
      </c>
      <c r="R136" s="609">
        <f t="shared" si="137"/>
        <v>252</v>
      </c>
      <c r="S136" s="609">
        <f t="shared" si="138"/>
        <v>3024</v>
      </c>
      <c r="T136" s="609">
        <f t="shared" si="139"/>
        <v>728.48</v>
      </c>
      <c r="U136" s="610">
        <f t="shared" si="146"/>
        <v>3752.48</v>
      </c>
      <c r="V136" s="611"/>
      <c r="W136" s="611"/>
      <c r="X136" s="611"/>
      <c r="Y136" s="616"/>
      <c r="Z136" s="805"/>
      <c r="AA136" s="806"/>
      <c r="AB136" s="806"/>
      <c r="AC136" s="581"/>
      <c r="AD136" s="581"/>
      <c r="AE136" s="824"/>
      <c r="AF136" s="824"/>
      <c r="AG136" s="824"/>
      <c r="AH136" s="824"/>
      <c r="AI136" s="824"/>
      <c r="AJ136" s="824"/>
      <c r="AK136" s="824"/>
      <c r="AL136" s="824"/>
      <c r="AM136" s="824"/>
      <c r="AN136" s="824"/>
      <c r="AO136" s="616"/>
      <c r="AP136" s="581"/>
      <c r="AQ136" s="581"/>
      <c r="AR136" s="824"/>
      <c r="AS136" s="824"/>
      <c r="AT136" s="824"/>
      <c r="AU136" s="824"/>
      <c r="AV136" s="824"/>
      <c r="AW136" s="824"/>
      <c r="AX136" s="824"/>
      <c r="AY136" s="824"/>
      <c r="AZ136" s="824"/>
      <c r="BA136" s="824"/>
      <c r="BB136" s="616"/>
      <c r="BC136" s="581"/>
      <c r="BD136" s="581"/>
      <c r="BE136" s="581"/>
    </row>
    <row r="137" spans="2:57" x14ac:dyDescent="0.25">
      <c r="B137" s="401" t="s">
        <v>70</v>
      </c>
      <c r="C137" s="4" t="s">
        <v>66</v>
      </c>
      <c r="D137" s="4" t="s">
        <v>71</v>
      </c>
      <c r="E137" s="6">
        <v>10</v>
      </c>
      <c r="F137" s="6">
        <v>3</v>
      </c>
      <c r="G137" s="351">
        <v>1287</v>
      </c>
      <c r="H137" s="5">
        <v>900</v>
      </c>
      <c r="I137" s="14"/>
      <c r="J137" s="428">
        <v>2</v>
      </c>
      <c r="K137" s="607">
        <f>ROUND(H137*(1+'29_01_H_2020'!$F$14),2)</f>
        <v>990</v>
      </c>
      <c r="L137" s="608">
        <f t="shared" si="141"/>
        <v>990</v>
      </c>
      <c r="M137" s="608">
        <f t="shared" si="142"/>
        <v>90</v>
      </c>
      <c r="N137" s="608">
        <f t="shared" si="143"/>
        <v>0</v>
      </c>
      <c r="O137" s="608">
        <f t="shared" si="144"/>
        <v>0</v>
      </c>
      <c r="P137" s="608">
        <f t="shared" si="145"/>
        <v>0</v>
      </c>
      <c r="Q137" s="609">
        <f t="shared" si="136"/>
        <v>90</v>
      </c>
      <c r="R137" s="609">
        <f t="shared" si="137"/>
        <v>180</v>
      </c>
      <c r="S137" s="609">
        <f t="shared" si="138"/>
        <v>2160</v>
      </c>
      <c r="T137" s="609">
        <f t="shared" si="139"/>
        <v>520.34</v>
      </c>
      <c r="U137" s="610">
        <f t="shared" si="146"/>
        <v>2680.34</v>
      </c>
      <c r="V137" s="611"/>
      <c r="W137" s="611"/>
      <c r="X137" s="611"/>
      <c r="Y137" s="616"/>
      <c r="Z137" s="805"/>
      <c r="AA137" s="806"/>
      <c r="AB137" s="806"/>
      <c r="AC137" s="581"/>
      <c r="AD137" s="581"/>
      <c r="AE137" s="824"/>
      <c r="AF137" s="824"/>
      <c r="AG137" s="824"/>
      <c r="AH137" s="824"/>
      <c r="AI137" s="824"/>
      <c r="AJ137" s="824"/>
      <c r="AK137" s="824"/>
      <c r="AL137" s="824"/>
      <c r="AM137" s="824"/>
      <c r="AN137" s="824"/>
      <c r="AO137" s="616"/>
      <c r="AP137" s="581"/>
      <c r="AQ137" s="581"/>
      <c r="AR137" s="824"/>
      <c r="AS137" s="824"/>
      <c r="AT137" s="824"/>
      <c r="AU137" s="824"/>
      <c r="AV137" s="824"/>
      <c r="AW137" s="824"/>
      <c r="AX137" s="824"/>
      <c r="AY137" s="824"/>
      <c r="AZ137" s="824"/>
      <c r="BA137" s="824"/>
      <c r="BB137" s="616"/>
      <c r="BC137" s="581"/>
      <c r="BD137" s="581"/>
      <c r="BE137" s="581"/>
    </row>
    <row r="138" spans="2:57" x14ac:dyDescent="0.25">
      <c r="B138" s="401" t="s">
        <v>70</v>
      </c>
      <c r="C138" s="4" t="s">
        <v>66</v>
      </c>
      <c r="D138" s="4" t="s">
        <v>71</v>
      </c>
      <c r="E138" s="6">
        <v>10</v>
      </c>
      <c r="F138" s="6">
        <v>3</v>
      </c>
      <c r="G138" s="351">
        <v>1287</v>
      </c>
      <c r="H138" s="5">
        <v>784</v>
      </c>
      <c r="I138" s="14"/>
      <c r="J138" s="428">
        <v>2</v>
      </c>
      <c r="K138" s="607">
        <f>ROUND(H138*(1+'29_01_H_2020'!$F$14),2)</f>
        <v>862.4</v>
      </c>
      <c r="L138" s="608">
        <f t="shared" si="141"/>
        <v>862.4</v>
      </c>
      <c r="M138" s="608">
        <f t="shared" si="142"/>
        <v>78.399999999999977</v>
      </c>
      <c r="N138" s="608">
        <f t="shared" si="143"/>
        <v>0</v>
      </c>
      <c r="O138" s="608">
        <f t="shared" si="144"/>
        <v>0</v>
      </c>
      <c r="P138" s="608">
        <f t="shared" si="145"/>
        <v>0</v>
      </c>
      <c r="Q138" s="609">
        <f t="shared" si="136"/>
        <v>78.399999999999977</v>
      </c>
      <c r="R138" s="609">
        <f t="shared" si="137"/>
        <v>156.79999999999995</v>
      </c>
      <c r="S138" s="609">
        <f t="shared" si="138"/>
        <v>1881.5999999999995</v>
      </c>
      <c r="T138" s="609">
        <f t="shared" si="139"/>
        <v>453.28</v>
      </c>
      <c r="U138" s="610">
        <f t="shared" si="146"/>
        <v>2334.8799999999992</v>
      </c>
      <c r="V138" s="611"/>
      <c r="W138" s="611"/>
      <c r="X138" s="611"/>
      <c r="Y138" s="616"/>
      <c r="Z138" s="805"/>
      <c r="AA138" s="806"/>
      <c r="AB138" s="806"/>
      <c r="AC138" s="581"/>
      <c r="AD138" s="581"/>
      <c r="AE138" s="824"/>
      <c r="AF138" s="824"/>
      <c r="AG138" s="824"/>
      <c r="AH138" s="824"/>
      <c r="AI138" s="824"/>
      <c r="AJ138" s="824"/>
      <c r="AK138" s="824"/>
      <c r="AL138" s="824"/>
      <c r="AM138" s="824"/>
      <c r="AN138" s="824"/>
      <c r="AO138" s="616"/>
      <c r="AP138" s="581"/>
      <c r="AQ138" s="581"/>
      <c r="AR138" s="824"/>
      <c r="AS138" s="824"/>
      <c r="AT138" s="824"/>
      <c r="AU138" s="824"/>
      <c r="AV138" s="824"/>
      <c r="AW138" s="824"/>
      <c r="AX138" s="824"/>
      <c r="AY138" s="824"/>
      <c r="AZ138" s="824"/>
      <c r="BA138" s="824"/>
      <c r="BB138" s="616"/>
      <c r="BC138" s="581"/>
      <c r="BD138" s="581"/>
      <c r="BE138" s="581"/>
    </row>
    <row r="139" spans="2:57" x14ac:dyDescent="0.25">
      <c r="B139" s="401" t="s">
        <v>70</v>
      </c>
      <c r="C139" s="4" t="s">
        <v>66</v>
      </c>
      <c r="D139" s="4" t="s">
        <v>71</v>
      </c>
      <c r="E139" s="6">
        <v>10</v>
      </c>
      <c r="F139" s="6">
        <v>3</v>
      </c>
      <c r="G139" s="351">
        <v>1287</v>
      </c>
      <c r="H139" s="5">
        <v>1015</v>
      </c>
      <c r="I139" s="14"/>
      <c r="J139" s="428">
        <v>1</v>
      </c>
      <c r="K139" s="607">
        <f>ROUND(H139*(1+'29_01_H_2020'!$F$14),2)</f>
        <v>1116.5</v>
      </c>
      <c r="L139" s="608">
        <f t="shared" si="141"/>
        <v>1116.5</v>
      </c>
      <c r="M139" s="608">
        <f t="shared" si="142"/>
        <v>101.5</v>
      </c>
      <c r="N139" s="608">
        <f t="shared" si="143"/>
        <v>0</v>
      </c>
      <c r="O139" s="608">
        <f t="shared" si="144"/>
        <v>0</v>
      </c>
      <c r="P139" s="608">
        <f t="shared" si="145"/>
        <v>0</v>
      </c>
      <c r="Q139" s="609">
        <f t="shared" si="136"/>
        <v>101.5</v>
      </c>
      <c r="R139" s="609">
        <f t="shared" si="137"/>
        <v>101.5</v>
      </c>
      <c r="S139" s="609">
        <f t="shared" si="138"/>
        <v>1218</v>
      </c>
      <c r="T139" s="609">
        <f t="shared" si="139"/>
        <v>293.42</v>
      </c>
      <c r="U139" s="610">
        <f t="shared" si="146"/>
        <v>1511.42</v>
      </c>
      <c r="V139" s="611"/>
      <c r="W139" s="611"/>
      <c r="X139" s="611"/>
      <c r="Y139" s="616"/>
      <c r="Z139" s="805"/>
      <c r="AA139" s="806"/>
      <c r="AB139" s="806"/>
      <c r="AC139" s="581"/>
      <c r="AD139" s="581"/>
      <c r="AE139" s="824"/>
      <c r="AF139" s="824"/>
      <c r="AG139" s="824"/>
      <c r="AH139" s="824"/>
      <c r="AI139" s="824"/>
      <c r="AJ139" s="824"/>
      <c r="AK139" s="824"/>
      <c r="AL139" s="824"/>
      <c r="AM139" s="824"/>
      <c r="AN139" s="824"/>
      <c r="AO139" s="616"/>
      <c r="AP139" s="581"/>
      <c r="AQ139" s="581"/>
      <c r="AR139" s="824"/>
      <c r="AS139" s="824"/>
      <c r="AT139" s="824"/>
      <c r="AU139" s="824"/>
      <c r="AV139" s="824"/>
      <c r="AW139" s="824"/>
      <c r="AX139" s="824"/>
      <c r="AY139" s="824"/>
      <c r="AZ139" s="824"/>
      <c r="BA139" s="824"/>
      <c r="BB139" s="616"/>
      <c r="BC139" s="581"/>
      <c r="BD139" s="581"/>
      <c r="BE139" s="581"/>
    </row>
    <row r="140" spans="2:57" x14ac:dyDescent="0.25">
      <c r="B140" s="401" t="s">
        <v>70</v>
      </c>
      <c r="C140" s="4" t="s">
        <v>66</v>
      </c>
      <c r="D140" s="4" t="s">
        <v>71</v>
      </c>
      <c r="E140" s="6">
        <v>10</v>
      </c>
      <c r="F140" s="6">
        <v>3</v>
      </c>
      <c r="G140" s="351">
        <v>1287</v>
      </c>
      <c r="H140" s="5">
        <v>1150</v>
      </c>
      <c r="I140" s="14"/>
      <c r="J140" s="428">
        <v>1</v>
      </c>
      <c r="K140" s="607">
        <f>ROUND(H140*(1+'29_01_H_2020'!$F$14),2)</f>
        <v>1265</v>
      </c>
      <c r="L140" s="608">
        <f t="shared" si="141"/>
        <v>1265</v>
      </c>
      <c r="M140" s="608">
        <f t="shared" si="142"/>
        <v>115</v>
      </c>
      <c r="N140" s="608">
        <f t="shared" si="143"/>
        <v>0</v>
      </c>
      <c r="O140" s="608">
        <f t="shared" si="144"/>
        <v>0</v>
      </c>
      <c r="P140" s="608">
        <f t="shared" si="145"/>
        <v>0</v>
      </c>
      <c r="Q140" s="609">
        <f t="shared" si="136"/>
        <v>115</v>
      </c>
      <c r="R140" s="609">
        <f t="shared" si="137"/>
        <v>115</v>
      </c>
      <c r="S140" s="609">
        <f t="shared" si="138"/>
        <v>1380</v>
      </c>
      <c r="T140" s="609">
        <f t="shared" si="139"/>
        <v>332.44</v>
      </c>
      <c r="U140" s="610">
        <f t="shared" si="146"/>
        <v>1712.44</v>
      </c>
      <c r="V140" s="611"/>
      <c r="W140" s="611"/>
      <c r="X140" s="611"/>
      <c r="Y140" s="616"/>
      <c r="Z140" s="805"/>
      <c r="AA140" s="806"/>
      <c r="AB140" s="806"/>
      <c r="AC140" s="581"/>
      <c r="AD140" s="581"/>
      <c r="AE140" s="824"/>
      <c r="AF140" s="824"/>
      <c r="AG140" s="824"/>
      <c r="AH140" s="824"/>
      <c r="AI140" s="824"/>
      <c r="AJ140" s="824"/>
      <c r="AK140" s="824"/>
      <c r="AL140" s="824"/>
      <c r="AM140" s="824"/>
      <c r="AN140" s="824"/>
      <c r="AO140" s="616"/>
      <c r="AP140" s="581"/>
      <c r="AQ140" s="581"/>
      <c r="AR140" s="824"/>
      <c r="AS140" s="824"/>
      <c r="AT140" s="824"/>
      <c r="AU140" s="824"/>
      <c r="AV140" s="824"/>
      <c r="AW140" s="824"/>
      <c r="AX140" s="824"/>
      <c r="AY140" s="824"/>
      <c r="AZ140" s="824"/>
      <c r="BA140" s="824"/>
      <c r="BB140" s="616"/>
      <c r="BC140" s="581"/>
      <c r="BD140" s="581"/>
      <c r="BE140" s="581"/>
    </row>
    <row r="141" spans="2:57" x14ac:dyDescent="0.25">
      <c r="B141" s="401" t="s">
        <v>72</v>
      </c>
      <c r="C141" s="4" t="s">
        <v>66</v>
      </c>
      <c r="D141" s="4" t="s">
        <v>71</v>
      </c>
      <c r="E141" s="6">
        <v>10</v>
      </c>
      <c r="F141" s="6">
        <v>3</v>
      </c>
      <c r="G141" s="351">
        <v>1287</v>
      </c>
      <c r="H141" s="5">
        <v>1050</v>
      </c>
      <c r="I141" s="14"/>
      <c r="J141" s="428">
        <v>8</v>
      </c>
      <c r="K141" s="607">
        <f>ROUND(H141*(1+'29_01_H_2020'!$F$14),2)</f>
        <v>1155</v>
      </c>
      <c r="L141" s="608">
        <f t="shared" si="141"/>
        <v>1155</v>
      </c>
      <c r="M141" s="608">
        <f t="shared" si="142"/>
        <v>105</v>
      </c>
      <c r="N141" s="608">
        <f t="shared" si="143"/>
        <v>0</v>
      </c>
      <c r="O141" s="608">
        <f t="shared" si="144"/>
        <v>0</v>
      </c>
      <c r="P141" s="608">
        <f t="shared" si="145"/>
        <v>0</v>
      </c>
      <c r="Q141" s="609">
        <f t="shared" si="136"/>
        <v>105</v>
      </c>
      <c r="R141" s="609">
        <f t="shared" ref="R141:R163" si="147">Q141*J141</f>
        <v>840</v>
      </c>
      <c r="S141" s="609">
        <f t="shared" si="138"/>
        <v>10080</v>
      </c>
      <c r="T141" s="609">
        <f t="shared" si="139"/>
        <v>2428.27</v>
      </c>
      <c r="U141" s="610">
        <f t="shared" si="146"/>
        <v>12508.27</v>
      </c>
      <c r="V141" s="611"/>
      <c r="W141" s="611"/>
      <c r="X141" s="611"/>
      <c r="Y141" s="616"/>
      <c r="Z141" s="805"/>
      <c r="AA141" s="806"/>
      <c r="AB141" s="806"/>
      <c r="AC141" s="581"/>
      <c r="AD141" s="581"/>
      <c r="AE141" s="824"/>
      <c r="AF141" s="824"/>
      <c r="AG141" s="824"/>
      <c r="AH141" s="824"/>
      <c r="AI141" s="824"/>
      <c r="AJ141" s="824"/>
      <c r="AK141" s="824"/>
      <c r="AL141" s="824"/>
      <c r="AM141" s="824"/>
      <c r="AN141" s="824"/>
      <c r="AO141" s="616"/>
      <c r="AP141" s="581"/>
      <c r="AQ141" s="581"/>
      <c r="AR141" s="824"/>
      <c r="AS141" s="824"/>
      <c r="AT141" s="824"/>
      <c r="AU141" s="824"/>
      <c r="AV141" s="824"/>
      <c r="AW141" s="824"/>
      <c r="AX141" s="824"/>
      <c r="AY141" s="824"/>
      <c r="AZ141" s="824"/>
      <c r="BA141" s="824"/>
      <c r="BB141" s="616"/>
      <c r="BC141" s="581"/>
      <c r="BD141" s="581"/>
      <c r="BE141" s="581"/>
    </row>
    <row r="142" spans="2:57" x14ac:dyDescent="0.25">
      <c r="B142" s="401" t="s">
        <v>70</v>
      </c>
      <c r="C142" s="4" t="s">
        <v>66</v>
      </c>
      <c r="D142" s="4" t="s">
        <v>71</v>
      </c>
      <c r="E142" s="6">
        <v>10</v>
      </c>
      <c r="F142" s="6">
        <v>3</v>
      </c>
      <c r="G142" s="351">
        <v>1287</v>
      </c>
      <c r="H142" s="5">
        <v>900</v>
      </c>
      <c r="I142" s="14"/>
      <c r="J142" s="428">
        <v>1</v>
      </c>
      <c r="K142" s="607">
        <f>ROUND(H142*(1+'29_01_H_2020'!$F$14),2)</f>
        <v>990</v>
      </c>
      <c r="L142" s="608">
        <f t="shared" si="141"/>
        <v>990</v>
      </c>
      <c r="M142" s="608">
        <f t="shared" si="142"/>
        <v>90</v>
      </c>
      <c r="N142" s="608">
        <f t="shared" si="143"/>
        <v>0</v>
      </c>
      <c r="O142" s="608">
        <f t="shared" si="144"/>
        <v>0</v>
      </c>
      <c r="P142" s="608">
        <f t="shared" si="145"/>
        <v>0</v>
      </c>
      <c r="Q142" s="609">
        <f t="shared" si="136"/>
        <v>90</v>
      </c>
      <c r="R142" s="609">
        <f t="shared" si="147"/>
        <v>90</v>
      </c>
      <c r="S142" s="609">
        <f t="shared" si="138"/>
        <v>1080</v>
      </c>
      <c r="T142" s="609">
        <f t="shared" si="139"/>
        <v>260.17</v>
      </c>
      <c r="U142" s="610">
        <f t="shared" si="146"/>
        <v>1340.17</v>
      </c>
      <c r="V142" s="611"/>
      <c r="W142" s="611"/>
      <c r="X142" s="611"/>
      <c r="Y142" s="616"/>
      <c r="Z142" s="805"/>
      <c r="AA142" s="806"/>
      <c r="AB142" s="806"/>
      <c r="AC142" s="581"/>
      <c r="AD142" s="581"/>
      <c r="AE142" s="824"/>
      <c r="AF142" s="824"/>
      <c r="AG142" s="824"/>
      <c r="AH142" s="824"/>
      <c r="AI142" s="824"/>
      <c r="AJ142" s="824"/>
      <c r="AK142" s="824"/>
      <c r="AL142" s="824"/>
      <c r="AM142" s="824"/>
      <c r="AN142" s="824"/>
      <c r="AO142" s="616"/>
      <c r="AP142" s="581"/>
      <c r="AQ142" s="581"/>
      <c r="AR142" s="824"/>
      <c r="AS142" s="824"/>
      <c r="AT142" s="824"/>
      <c r="AU142" s="824"/>
      <c r="AV142" s="824"/>
      <c r="AW142" s="824"/>
      <c r="AX142" s="824"/>
      <c r="AY142" s="824"/>
      <c r="AZ142" s="824"/>
      <c r="BA142" s="824"/>
      <c r="BB142" s="616"/>
      <c r="BC142" s="581"/>
      <c r="BD142" s="581"/>
      <c r="BE142" s="581"/>
    </row>
    <row r="143" spans="2:57" x14ac:dyDescent="0.25">
      <c r="B143" s="3" t="s">
        <v>73</v>
      </c>
      <c r="C143" s="6" t="s">
        <v>74</v>
      </c>
      <c r="D143" s="6" t="s">
        <v>41</v>
      </c>
      <c r="E143" s="6">
        <v>9</v>
      </c>
      <c r="F143" s="327" t="s">
        <v>69</v>
      </c>
      <c r="G143" s="350">
        <v>1190</v>
      </c>
      <c r="H143" s="5">
        <v>1040</v>
      </c>
      <c r="I143" s="14"/>
      <c r="J143" s="427">
        <v>3</v>
      </c>
      <c r="K143" s="607">
        <f>ROUND(H143*(1+'29_01_H_2020'!$F$14),2)</f>
        <v>1144</v>
      </c>
      <c r="L143" s="608">
        <f t="shared" si="141"/>
        <v>1144</v>
      </c>
      <c r="M143" s="608">
        <f t="shared" si="142"/>
        <v>104</v>
      </c>
      <c r="N143" s="608">
        <f t="shared" si="143"/>
        <v>0</v>
      </c>
      <c r="O143" s="608">
        <f t="shared" si="144"/>
        <v>0</v>
      </c>
      <c r="P143" s="608">
        <f t="shared" si="145"/>
        <v>0</v>
      </c>
      <c r="Q143" s="609">
        <f t="shared" si="136"/>
        <v>104</v>
      </c>
      <c r="R143" s="609">
        <f t="shared" si="147"/>
        <v>312</v>
      </c>
      <c r="S143" s="609">
        <f t="shared" si="138"/>
        <v>3744</v>
      </c>
      <c r="T143" s="609">
        <f t="shared" si="139"/>
        <v>901.93</v>
      </c>
      <c r="U143" s="610">
        <f t="shared" si="146"/>
        <v>4645.93</v>
      </c>
      <c r="V143" s="611"/>
      <c r="W143" s="611"/>
      <c r="X143" s="611"/>
      <c r="Y143" s="616"/>
      <c r="Z143" s="805"/>
      <c r="AA143" s="806"/>
      <c r="AB143" s="806"/>
      <c r="AC143" s="581"/>
      <c r="AD143" s="581"/>
      <c r="AE143" s="824"/>
      <c r="AF143" s="824"/>
      <c r="AG143" s="824"/>
      <c r="AH143" s="824"/>
      <c r="AI143" s="824"/>
      <c r="AJ143" s="824"/>
      <c r="AK143" s="824"/>
      <c r="AL143" s="824"/>
      <c r="AM143" s="824"/>
      <c r="AN143" s="824"/>
      <c r="AO143" s="616"/>
      <c r="AP143" s="581"/>
      <c r="AQ143" s="581"/>
      <c r="AR143" s="824"/>
      <c r="AS143" s="824"/>
      <c r="AT143" s="824"/>
      <c r="AU143" s="824"/>
      <c r="AV143" s="824"/>
      <c r="AW143" s="824"/>
      <c r="AX143" s="824"/>
      <c r="AY143" s="824"/>
      <c r="AZ143" s="824"/>
      <c r="BA143" s="824"/>
      <c r="BB143" s="616"/>
      <c r="BC143" s="581"/>
      <c r="BD143" s="581"/>
      <c r="BE143" s="581"/>
    </row>
    <row r="144" spans="2:57" x14ac:dyDescent="0.25">
      <c r="B144" s="3" t="s">
        <v>73</v>
      </c>
      <c r="C144" s="4" t="s">
        <v>74</v>
      </c>
      <c r="D144" s="4" t="s">
        <v>25</v>
      </c>
      <c r="E144" s="6">
        <v>10</v>
      </c>
      <c r="F144" s="327" t="s">
        <v>69</v>
      </c>
      <c r="G144" s="350">
        <v>1287</v>
      </c>
      <c r="H144" s="5">
        <v>1073</v>
      </c>
      <c r="I144" s="14"/>
      <c r="J144" s="427">
        <v>3</v>
      </c>
      <c r="K144" s="607">
        <f>ROUND(H144*(1+'29_01_H_2020'!$F$14),2)</f>
        <v>1180.3</v>
      </c>
      <c r="L144" s="608">
        <f t="shared" si="141"/>
        <v>1180.3</v>
      </c>
      <c r="M144" s="608">
        <f t="shared" si="142"/>
        <v>107.29999999999995</v>
      </c>
      <c r="N144" s="608">
        <f t="shared" si="143"/>
        <v>0</v>
      </c>
      <c r="O144" s="608">
        <f t="shared" si="144"/>
        <v>0</v>
      </c>
      <c r="P144" s="608">
        <f t="shared" si="145"/>
        <v>0</v>
      </c>
      <c r="Q144" s="609">
        <f t="shared" si="136"/>
        <v>107.29999999999995</v>
      </c>
      <c r="R144" s="609">
        <f t="shared" si="147"/>
        <v>321.89999999999986</v>
      </c>
      <c r="S144" s="609">
        <f t="shared" si="138"/>
        <v>3862.7999999999984</v>
      </c>
      <c r="T144" s="609">
        <f t="shared" si="139"/>
        <v>930.55</v>
      </c>
      <c r="U144" s="610">
        <f t="shared" si="146"/>
        <v>4793.3499999999985</v>
      </c>
      <c r="V144" s="611"/>
      <c r="W144" s="611"/>
      <c r="X144" s="611"/>
      <c r="Y144" s="616"/>
      <c r="Z144" s="805"/>
      <c r="AA144" s="806"/>
      <c r="AB144" s="806"/>
      <c r="AC144" s="840"/>
      <c r="AD144" s="581"/>
      <c r="AE144" s="824"/>
      <c r="AF144" s="824"/>
      <c r="AG144" s="824"/>
      <c r="AH144" s="824"/>
      <c r="AI144" s="824"/>
      <c r="AJ144" s="824"/>
      <c r="AK144" s="824"/>
      <c r="AL144" s="824"/>
      <c r="AM144" s="824"/>
      <c r="AN144" s="824"/>
      <c r="AO144" s="616"/>
      <c r="AP144" s="581"/>
      <c r="AQ144" s="581"/>
      <c r="AR144" s="824"/>
      <c r="AS144" s="824"/>
      <c r="AT144" s="824"/>
      <c r="AU144" s="824"/>
      <c r="AV144" s="824"/>
      <c r="AW144" s="824"/>
      <c r="AX144" s="824"/>
      <c r="AY144" s="824"/>
      <c r="AZ144" s="824"/>
      <c r="BA144" s="824"/>
      <c r="BB144" s="616"/>
      <c r="BC144" s="581"/>
      <c r="BD144" s="581"/>
      <c r="BE144" s="581"/>
    </row>
    <row r="145" spans="2:57" x14ac:dyDescent="0.25">
      <c r="B145" s="3" t="s">
        <v>73</v>
      </c>
      <c r="C145" s="9" t="s">
        <v>74</v>
      </c>
      <c r="D145" s="9" t="s">
        <v>25</v>
      </c>
      <c r="E145" s="327" t="s">
        <v>75</v>
      </c>
      <c r="F145" s="327" t="s">
        <v>69</v>
      </c>
      <c r="G145" s="350">
        <v>1287</v>
      </c>
      <c r="H145" s="5">
        <v>1100</v>
      </c>
      <c r="I145" s="14"/>
      <c r="J145" s="427">
        <v>1</v>
      </c>
      <c r="K145" s="607">
        <f>ROUND(H145*(1+'29_01_H_2020'!$F$14),2)</f>
        <v>1210</v>
      </c>
      <c r="L145" s="608">
        <f t="shared" si="141"/>
        <v>1210</v>
      </c>
      <c r="M145" s="608">
        <f t="shared" si="142"/>
        <v>110</v>
      </c>
      <c r="N145" s="608">
        <f t="shared" si="143"/>
        <v>0</v>
      </c>
      <c r="O145" s="608">
        <f t="shared" si="144"/>
        <v>0</v>
      </c>
      <c r="P145" s="608">
        <f t="shared" si="145"/>
        <v>0</v>
      </c>
      <c r="Q145" s="609">
        <f t="shared" si="136"/>
        <v>110</v>
      </c>
      <c r="R145" s="609">
        <f t="shared" si="147"/>
        <v>110</v>
      </c>
      <c r="S145" s="609">
        <f t="shared" si="138"/>
        <v>1320</v>
      </c>
      <c r="T145" s="609">
        <f t="shared" si="139"/>
        <v>317.99</v>
      </c>
      <c r="U145" s="610">
        <f t="shared" si="146"/>
        <v>1637.99</v>
      </c>
      <c r="V145" s="611"/>
      <c r="W145" s="611"/>
      <c r="X145" s="611"/>
      <c r="Y145" s="616"/>
      <c r="Z145" s="805"/>
      <c r="AA145" s="806"/>
      <c r="AB145" s="806"/>
      <c r="AC145" s="581"/>
      <c r="AD145" s="581"/>
      <c r="AE145" s="824"/>
      <c r="AF145" s="824"/>
      <c r="AG145" s="824"/>
      <c r="AH145" s="824"/>
      <c r="AI145" s="824"/>
      <c r="AJ145" s="824"/>
      <c r="AK145" s="824"/>
      <c r="AL145" s="824"/>
      <c r="AM145" s="824"/>
      <c r="AN145" s="824"/>
      <c r="AO145" s="616"/>
      <c r="AP145" s="581"/>
      <c r="AQ145" s="581"/>
      <c r="AR145" s="824"/>
      <c r="AS145" s="824"/>
      <c r="AT145" s="824"/>
      <c r="AU145" s="824"/>
      <c r="AV145" s="824"/>
      <c r="AW145" s="824"/>
      <c r="AX145" s="824"/>
      <c r="AY145" s="824"/>
      <c r="AZ145" s="824"/>
      <c r="BA145" s="824"/>
      <c r="BB145" s="616"/>
      <c r="BC145" s="581"/>
      <c r="BD145" s="581"/>
      <c r="BE145" s="581"/>
    </row>
    <row r="146" spans="2:57" x14ac:dyDescent="0.25">
      <c r="B146" s="3" t="s">
        <v>76</v>
      </c>
      <c r="C146" s="4" t="s">
        <v>74</v>
      </c>
      <c r="D146" s="4" t="s">
        <v>34</v>
      </c>
      <c r="E146" s="6">
        <v>7</v>
      </c>
      <c r="F146" s="327" t="s">
        <v>69</v>
      </c>
      <c r="G146" s="350">
        <v>996</v>
      </c>
      <c r="H146" s="5">
        <v>996</v>
      </c>
      <c r="I146" s="14"/>
      <c r="J146" s="427">
        <v>2</v>
      </c>
      <c r="K146" s="607">
        <f>ROUND(H146*(1+'29_01_H_2020'!$F$14),2)</f>
        <v>1095.5999999999999</v>
      </c>
      <c r="L146" s="608">
        <f t="shared" si="141"/>
        <v>996</v>
      </c>
      <c r="M146" s="608">
        <f t="shared" si="142"/>
        <v>0</v>
      </c>
      <c r="N146" s="608">
        <f t="shared" si="143"/>
        <v>99.599999999999909</v>
      </c>
      <c r="O146" s="608">
        <f t="shared" si="144"/>
        <v>0</v>
      </c>
      <c r="P146" s="608">
        <f t="shared" si="145"/>
        <v>0</v>
      </c>
      <c r="Q146" s="609">
        <f t="shared" si="136"/>
        <v>99.599999999999909</v>
      </c>
      <c r="R146" s="609">
        <f t="shared" si="147"/>
        <v>199.19999999999982</v>
      </c>
      <c r="S146" s="609">
        <f t="shared" si="138"/>
        <v>2390.3999999999978</v>
      </c>
      <c r="T146" s="609">
        <f t="shared" si="139"/>
        <v>575.85</v>
      </c>
      <c r="U146" s="610">
        <f t="shared" si="146"/>
        <v>2966.2499999999977</v>
      </c>
      <c r="V146" s="611"/>
      <c r="W146" s="611"/>
      <c r="X146" s="611"/>
      <c r="Y146" s="616"/>
      <c r="Z146" s="805"/>
      <c r="AA146" s="806"/>
      <c r="AB146" s="806"/>
      <c r="AC146" s="581"/>
      <c r="AD146" s="581"/>
      <c r="AE146" s="824"/>
      <c r="AF146" s="824"/>
      <c r="AG146" s="824"/>
      <c r="AH146" s="824"/>
      <c r="AI146" s="824"/>
      <c r="AJ146" s="824"/>
      <c r="AK146" s="824"/>
      <c r="AL146" s="824"/>
      <c r="AM146" s="824"/>
      <c r="AN146" s="824"/>
      <c r="AO146" s="616"/>
      <c r="AP146" s="581"/>
      <c r="AQ146" s="581"/>
      <c r="AR146" s="824"/>
      <c r="AS146" s="824"/>
      <c r="AT146" s="824"/>
      <c r="AU146" s="824"/>
      <c r="AV146" s="824"/>
      <c r="AW146" s="824"/>
      <c r="AX146" s="824"/>
      <c r="AY146" s="824"/>
      <c r="AZ146" s="824"/>
      <c r="BA146" s="824"/>
      <c r="BB146" s="616"/>
      <c r="BC146" s="581"/>
      <c r="BD146" s="581"/>
      <c r="BE146" s="581"/>
    </row>
    <row r="147" spans="2:57" x14ac:dyDescent="0.25">
      <c r="B147" s="3" t="s">
        <v>77</v>
      </c>
      <c r="C147" s="4" t="s">
        <v>74</v>
      </c>
      <c r="D147" s="4" t="s">
        <v>34</v>
      </c>
      <c r="E147" s="6">
        <v>7</v>
      </c>
      <c r="F147" s="327" t="s">
        <v>69</v>
      </c>
      <c r="G147" s="350">
        <v>996</v>
      </c>
      <c r="H147" s="5">
        <v>890</v>
      </c>
      <c r="I147" s="14"/>
      <c r="J147" s="427">
        <v>2</v>
      </c>
      <c r="K147" s="607">
        <f>ROUND(H147*(1+'29_01_H_2020'!$F$14),2)</f>
        <v>979</v>
      </c>
      <c r="L147" s="608">
        <f t="shared" si="141"/>
        <v>979</v>
      </c>
      <c r="M147" s="608">
        <f t="shared" si="142"/>
        <v>89</v>
      </c>
      <c r="N147" s="608">
        <f t="shared" si="143"/>
        <v>0</v>
      </c>
      <c r="O147" s="608">
        <f t="shared" si="144"/>
        <v>0</v>
      </c>
      <c r="P147" s="608">
        <f t="shared" si="145"/>
        <v>0</v>
      </c>
      <c r="Q147" s="609">
        <f t="shared" si="136"/>
        <v>89</v>
      </c>
      <c r="R147" s="609">
        <f t="shared" si="147"/>
        <v>178</v>
      </c>
      <c r="S147" s="609">
        <f t="shared" si="138"/>
        <v>2136</v>
      </c>
      <c r="T147" s="609">
        <f t="shared" si="139"/>
        <v>514.55999999999995</v>
      </c>
      <c r="U147" s="610">
        <f t="shared" si="146"/>
        <v>2650.56</v>
      </c>
      <c r="V147" s="611"/>
      <c r="W147" s="611"/>
      <c r="X147" s="611"/>
      <c r="Y147" s="616"/>
      <c r="Z147" s="805"/>
      <c r="AA147" s="806"/>
      <c r="AB147" s="806"/>
      <c r="AC147" s="581"/>
      <c r="AD147" s="581"/>
      <c r="AE147" s="824"/>
      <c r="AF147" s="824"/>
      <c r="AG147" s="824"/>
      <c r="AH147" s="824"/>
      <c r="AI147" s="824"/>
      <c r="AJ147" s="824"/>
      <c r="AK147" s="824"/>
      <c r="AL147" s="824"/>
      <c r="AM147" s="824"/>
      <c r="AN147" s="824"/>
      <c r="AO147" s="616"/>
      <c r="AP147" s="581"/>
      <c r="AQ147" s="581"/>
      <c r="AR147" s="824"/>
      <c r="AS147" s="824"/>
      <c r="AT147" s="824"/>
      <c r="AU147" s="824"/>
      <c r="AV147" s="824"/>
      <c r="AW147" s="824"/>
      <c r="AX147" s="824"/>
      <c r="AY147" s="824"/>
      <c r="AZ147" s="824"/>
      <c r="BA147" s="824"/>
      <c r="BB147" s="616"/>
      <c r="BC147" s="581"/>
      <c r="BD147" s="581"/>
      <c r="BE147" s="581"/>
    </row>
    <row r="148" spans="2:57" x14ac:dyDescent="0.25">
      <c r="B148" s="401" t="s">
        <v>78</v>
      </c>
      <c r="C148" s="11" t="s">
        <v>66</v>
      </c>
      <c r="D148" s="11" t="s">
        <v>79</v>
      </c>
      <c r="E148" s="327" t="s">
        <v>80</v>
      </c>
      <c r="F148" s="327" t="s">
        <v>69</v>
      </c>
      <c r="G148" s="350">
        <v>2264</v>
      </c>
      <c r="H148" s="7">
        <v>1950</v>
      </c>
      <c r="I148" s="14"/>
      <c r="J148" s="428">
        <v>1</v>
      </c>
      <c r="K148" s="607">
        <f>ROUND(H148*(1+'29_01_H_2020'!$F$14),2)</f>
        <v>2145</v>
      </c>
      <c r="L148" s="608">
        <f t="shared" si="141"/>
        <v>2145</v>
      </c>
      <c r="M148" s="608">
        <f t="shared" si="142"/>
        <v>195</v>
      </c>
      <c r="N148" s="608">
        <f t="shared" si="143"/>
        <v>0</v>
      </c>
      <c r="O148" s="608">
        <f t="shared" si="144"/>
        <v>0</v>
      </c>
      <c r="P148" s="608">
        <f t="shared" si="145"/>
        <v>0</v>
      </c>
      <c r="Q148" s="609">
        <f t="shared" si="136"/>
        <v>195</v>
      </c>
      <c r="R148" s="609">
        <f t="shared" si="147"/>
        <v>195</v>
      </c>
      <c r="S148" s="609">
        <f t="shared" si="138"/>
        <v>2340</v>
      </c>
      <c r="T148" s="609">
        <f t="shared" si="139"/>
        <v>563.71</v>
      </c>
      <c r="U148" s="610">
        <f t="shared" si="146"/>
        <v>2903.71</v>
      </c>
      <c r="V148" s="611"/>
      <c r="W148" s="611"/>
      <c r="X148" s="611"/>
      <c r="Y148" s="616"/>
      <c r="Z148" s="805"/>
      <c r="AA148" s="806"/>
      <c r="AB148" s="806"/>
      <c r="AC148" s="581"/>
      <c r="AD148" s="581"/>
      <c r="AE148" s="824"/>
      <c r="AF148" s="824"/>
      <c r="AG148" s="824"/>
      <c r="AH148" s="824"/>
      <c r="AI148" s="824"/>
      <c r="AJ148" s="824"/>
      <c r="AK148" s="824"/>
      <c r="AL148" s="824"/>
      <c r="AM148" s="824"/>
      <c r="AN148" s="824"/>
      <c r="AO148" s="616"/>
      <c r="AP148" s="581"/>
      <c r="AQ148" s="581"/>
      <c r="AR148" s="824"/>
      <c r="AS148" s="824"/>
      <c r="AT148" s="824"/>
      <c r="AU148" s="824"/>
      <c r="AV148" s="824"/>
      <c r="AW148" s="824"/>
      <c r="AX148" s="824"/>
      <c r="AY148" s="824"/>
      <c r="AZ148" s="824"/>
      <c r="BA148" s="824"/>
      <c r="BB148" s="616"/>
      <c r="BC148" s="581"/>
      <c r="BD148" s="581"/>
      <c r="BE148" s="581"/>
    </row>
    <row r="149" spans="2:57" x14ac:dyDescent="0.25">
      <c r="B149" s="401" t="s">
        <v>78</v>
      </c>
      <c r="C149" s="11" t="s">
        <v>66</v>
      </c>
      <c r="D149" s="11" t="s">
        <v>79</v>
      </c>
      <c r="E149" s="327" t="s">
        <v>80</v>
      </c>
      <c r="F149" s="327" t="s">
        <v>69</v>
      </c>
      <c r="G149" s="350">
        <v>2264</v>
      </c>
      <c r="H149" s="7">
        <v>1917</v>
      </c>
      <c r="I149" s="14"/>
      <c r="J149" s="428">
        <v>1</v>
      </c>
      <c r="K149" s="607">
        <f>ROUND(H149*(1+'29_01_H_2020'!$F$14),2)</f>
        <v>2108.6999999999998</v>
      </c>
      <c r="L149" s="608">
        <f t="shared" si="141"/>
        <v>2108.6999999999998</v>
      </c>
      <c r="M149" s="608">
        <f t="shared" si="142"/>
        <v>191.69999999999982</v>
      </c>
      <c r="N149" s="608">
        <f t="shared" si="143"/>
        <v>0</v>
      </c>
      <c r="O149" s="608">
        <f t="shared" si="144"/>
        <v>0</v>
      </c>
      <c r="P149" s="608">
        <f t="shared" si="145"/>
        <v>0</v>
      </c>
      <c r="Q149" s="609">
        <f t="shared" si="136"/>
        <v>191.69999999999982</v>
      </c>
      <c r="R149" s="609">
        <f t="shared" si="147"/>
        <v>191.69999999999982</v>
      </c>
      <c r="S149" s="609">
        <f t="shared" si="138"/>
        <v>2300.3999999999978</v>
      </c>
      <c r="T149" s="609">
        <f t="shared" si="139"/>
        <v>554.16999999999996</v>
      </c>
      <c r="U149" s="610">
        <f t="shared" si="146"/>
        <v>2854.5699999999979</v>
      </c>
      <c r="V149" s="611"/>
      <c r="W149" s="611"/>
      <c r="X149" s="611"/>
      <c r="Y149" s="616"/>
      <c r="Z149" s="805"/>
      <c r="AA149" s="806"/>
      <c r="AB149" s="806"/>
      <c r="AC149" s="581"/>
      <c r="AD149" s="581"/>
      <c r="AE149" s="824"/>
      <c r="AF149" s="824"/>
      <c r="AG149" s="824"/>
      <c r="AH149" s="824"/>
      <c r="AI149" s="824"/>
      <c r="AJ149" s="824"/>
      <c r="AK149" s="824"/>
      <c r="AL149" s="824"/>
      <c r="AM149" s="824"/>
      <c r="AN149" s="824"/>
      <c r="AO149" s="616"/>
      <c r="AP149" s="581"/>
      <c r="AQ149" s="581"/>
      <c r="AR149" s="824"/>
      <c r="AS149" s="824"/>
      <c r="AT149" s="824"/>
      <c r="AU149" s="824"/>
      <c r="AV149" s="824"/>
      <c r="AW149" s="824"/>
      <c r="AX149" s="824"/>
      <c r="AY149" s="824"/>
      <c r="AZ149" s="824"/>
      <c r="BA149" s="824"/>
      <c r="BB149" s="616"/>
      <c r="BC149" s="581"/>
      <c r="BD149" s="581"/>
      <c r="BE149" s="581"/>
    </row>
    <row r="150" spans="2:57" x14ac:dyDescent="0.25">
      <c r="B150" s="401" t="s">
        <v>78</v>
      </c>
      <c r="C150" s="4">
        <v>35</v>
      </c>
      <c r="D150" s="4" t="s">
        <v>12</v>
      </c>
      <c r="E150" s="6">
        <v>13</v>
      </c>
      <c r="F150" s="327" t="s">
        <v>69</v>
      </c>
      <c r="G150" s="350">
        <v>1917</v>
      </c>
      <c r="H150" s="7">
        <v>1647</v>
      </c>
      <c r="I150" s="14"/>
      <c r="J150" s="428">
        <v>1</v>
      </c>
      <c r="K150" s="607">
        <f>ROUND(H150*(1+'29_01_H_2020'!$F$14),2)</f>
        <v>1811.7</v>
      </c>
      <c r="L150" s="608">
        <f t="shared" si="141"/>
        <v>1811.7</v>
      </c>
      <c r="M150" s="608">
        <f t="shared" si="142"/>
        <v>164.70000000000005</v>
      </c>
      <c r="N150" s="608">
        <f t="shared" si="143"/>
        <v>0</v>
      </c>
      <c r="O150" s="608">
        <f t="shared" si="144"/>
        <v>0</v>
      </c>
      <c r="P150" s="608">
        <f t="shared" si="145"/>
        <v>0</v>
      </c>
      <c r="Q150" s="609">
        <f t="shared" si="136"/>
        <v>164.70000000000005</v>
      </c>
      <c r="R150" s="609">
        <f t="shared" si="147"/>
        <v>164.70000000000005</v>
      </c>
      <c r="S150" s="609">
        <f t="shared" si="138"/>
        <v>1976.4000000000005</v>
      </c>
      <c r="T150" s="609">
        <f t="shared" si="139"/>
        <v>476.11</v>
      </c>
      <c r="U150" s="610">
        <f t="shared" si="146"/>
        <v>2452.5100000000007</v>
      </c>
      <c r="V150" s="611"/>
      <c r="W150" s="611"/>
      <c r="X150" s="611"/>
      <c r="Y150" s="616"/>
      <c r="Z150" s="805"/>
      <c r="AA150" s="806"/>
      <c r="AB150" s="806"/>
      <c r="AC150" s="581"/>
      <c r="AD150" s="581"/>
      <c r="AE150" s="824"/>
      <c r="AF150" s="824"/>
      <c r="AG150" s="824"/>
      <c r="AH150" s="824"/>
      <c r="AI150" s="824"/>
      <c r="AJ150" s="824"/>
      <c r="AK150" s="824"/>
      <c r="AL150" s="824"/>
      <c r="AM150" s="824"/>
      <c r="AN150" s="824"/>
      <c r="AO150" s="616"/>
      <c r="AP150" s="581"/>
      <c r="AQ150" s="581"/>
      <c r="AR150" s="824"/>
      <c r="AS150" s="824"/>
      <c r="AT150" s="824"/>
      <c r="AU150" s="824"/>
      <c r="AV150" s="824"/>
      <c r="AW150" s="824"/>
      <c r="AX150" s="824"/>
      <c r="AY150" s="824"/>
      <c r="AZ150" s="824"/>
      <c r="BA150" s="824"/>
      <c r="BB150" s="616"/>
      <c r="BC150" s="581"/>
      <c r="BD150" s="581"/>
      <c r="BE150" s="581"/>
    </row>
    <row r="151" spans="2:57" x14ac:dyDescent="0.25">
      <c r="B151" s="3" t="s">
        <v>81</v>
      </c>
      <c r="C151" s="9" t="s">
        <v>66</v>
      </c>
      <c r="D151" s="9" t="s">
        <v>79</v>
      </c>
      <c r="E151" s="327">
        <v>14</v>
      </c>
      <c r="F151" s="327" t="s">
        <v>69</v>
      </c>
      <c r="G151" s="350">
        <v>2264</v>
      </c>
      <c r="H151" s="5">
        <v>2264</v>
      </c>
      <c r="I151" s="14"/>
      <c r="J151" s="427">
        <v>1</v>
      </c>
      <c r="K151" s="607">
        <f>ROUND(H151*(1+'29_01_H_2020'!$F$14),2)</f>
        <v>2490.4</v>
      </c>
      <c r="L151" s="608">
        <f t="shared" si="141"/>
        <v>2264</v>
      </c>
      <c r="M151" s="608">
        <f t="shared" si="142"/>
        <v>0</v>
      </c>
      <c r="N151" s="608">
        <f t="shared" si="143"/>
        <v>226.40000000000009</v>
      </c>
      <c r="O151" s="608">
        <f t="shared" si="144"/>
        <v>0</v>
      </c>
      <c r="P151" s="608">
        <f t="shared" si="145"/>
        <v>0</v>
      </c>
      <c r="Q151" s="609">
        <f t="shared" si="136"/>
        <v>226.40000000000009</v>
      </c>
      <c r="R151" s="609">
        <f t="shared" si="147"/>
        <v>226.40000000000009</v>
      </c>
      <c r="S151" s="609">
        <f t="shared" si="138"/>
        <v>2716.8000000000011</v>
      </c>
      <c r="T151" s="609">
        <f t="shared" si="139"/>
        <v>654.48</v>
      </c>
      <c r="U151" s="610">
        <f t="shared" si="146"/>
        <v>3371.2800000000011</v>
      </c>
      <c r="V151" s="611"/>
      <c r="W151" s="611"/>
      <c r="X151" s="611"/>
      <c r="Y151" s="616"/>
      <c r="Z151" s="805"/>
      <c r="AA151" s="806"/>
      <c r="AB151" s="806"/>
      <c r="AC151" s="841"/>
      <c r="AD151" s="581"/>
      <c r="AE151" s="824"/>
      <c r="AF151" s="824"/>
      <c r="AG151" s="824"/>
      <c r="AH151" s="824"/>
      <c r="AI151" s="824"/>
      <c r="AJ151" s="824"/>
      <c r="AK151" s="824"/>
      <c r="AL151" s="824"/>
      <c r="AM151" s="824"/>
      <c r="AN151" s="824"/>
      <c r="AO151" s="616"/>
      <c r="AP151" s="581"/>
      <c r="AQ151" s="581"/>
      <c r="AR151" s="824"/>
      <c r="AS151" s="824"/>
      <c r="AT151" s="824"/>
      <c r="AU151" s="824"/>
      <c r="AV151" s="824"/>
      <c r="AW151" s="824"/>
      <c r="AX151" s="824"/>
      <c r="AY151" s="824"/>
      <c r="AZ151" s="824"/>
      <c r="BA151" s="824"/>
      <c r="BB151" s="616"/>
      <c r="BC151" s="581"/>
      <c r="BD151" s="581"/>
      <c r="BE151" s="581"/>
    </row>
    <row r="152" spans="2:57" x14ac:dyDescent="0.25">
      <c r="B152" s="3" t="s">
        <v>82</v>
      </c>
      <c r="C152" s="4" t="s">
        <v>66</v>
      </c>
      <c r="D152" s="4" t="s">
        <v>12</v>
      </c>
      <c r="E152" s="6">
        <v>12</v>
      </c>
      <c r="F152" s="328" t="s">
        <v>69</v>
      </c>
      <c r="G152" s="350">
        <v>1647</v>
      </c>
      <c r="H152" s="5">
        <v>1647</v>
      </c>
      <c r="I152" s="14"/>
      <c r="J152" s="427">
        <v>1</v>
      </c>
      <c r="K152" s="607">
        <f>ROUND(H152*(1+'29_01_H_2020'!$F$14),2)</f>
        <v>1811.7</v>
      </c>
      <c r="L152" s="608">
        <f t="shared" si="141"/>
        <v>1647</v>
      </c>
      <c r="M152" s="608">
        <f t="shared" si="142"/>
        <v>0</v>
      </c>
      <c r="N152" s="608">
        <f t="shared" si="143"/>
        <v>164.70000000000005</v>
      </c>
      <c r="O152" s="608">
        <f t="shared" si="144"/>
        <v>0</v>
      </c>
      <c r="P152" s="608">
        <f t="shared" si="145"/>
        <v>0</v>
      </c>
      <c r="Q152" s="609">
        <f t="shared" si="136"/>
        <v>164.70000000000005</v>
      </c>
      <c r="R152" s="609">
        <f t="shared" si="147"/>
        <v>164.70000000000005</v>
      </c>
      <c r="S152" s="609">
        <f t="shared" si="138"/>
        <v>1976.4000000000005</v>
      </c>
      <c r="T152" s="609">
        <f t="shared" si="139"/>
        <v>476.11</v>
      </c>
      <c r="U152" s="610">
        <f t="shared" si="146"/>
        <v>2452.5100000000007</v>
      </c>
      <c r="V152" s="611"/>
      <c r="W152" s="611"/>
      <c r="X152" s="611"/>
      <c r="Y152" s="616"/>
      <c r="Z152" s="805"/>
      <c r="AA152" s="806"/>
      <c r="AB152" s="806"/>
      <c r="AC152" s="581"/>
      <c r="AD152" s="581"/>
      <c r="AE152" s="824"/>
      <c r="AF152" s="824"/>
      <c r="AG152" s="824"/>
      <c r="AH152" s="824"/>
      <c r="AI152" s="824"/>
      <c r="AJ152" s="824"/>
      <c r="AK152" s="824"/>
      <c r="AL152" s="824"/>
      <c r="AM152" s="824"/>
      <c r="AN152" s="824"/>
      <c r="AO152" s="616"/>
      <c r="AP152" s="581"/>
      <c r="AQ152" s="581"/>
      <c r="AR152" s="824"/>
      <c r="AS152" s="824"/>
      <c r="AT152" s="824"/>
      <c r="AU152" s="824"/>
      <c r="AV152" s="824"/>
      <c r="AW152" s="824"/>
      <c r="AX152" s="824"/>
      <c r="AY152" s="824"/>
      <c r="AZ152" s="824"/>
      <c r="BA152" s="824"/>
      <c r="BB152" s="616"/>
      <c r="BC152" s="581"/>
      <c r="BD152" s="581"/>
      <c r="BE152" s="581"/>
    </row>
    <row r="153" spans="2:57" x14ac:dyDescent="0.25">
      <c r="B153" s="401" t="s">
        <v>83</v>
      </c>
      <c r="C153" s="11" t="s">
        <v>84</v>
      </c>
      <c r="D153" s="9" t="s">
        <v>41</v>
      </c>
      <c r="E153" s="327" t="s">
        <v>85</v>
      </c>
      <c r="F153" s="327" t="s">
        <v>69</v>
      </c>
      <c r="G153" s="351">
        <v>1190</v>
      </c>
      <c r="H153" s="7">
        <v>1010</v>
      </c>
      <c r="I153" s="14"/>
      <c r="J153" s="428">
        <v>2</v>
      </c>
      <c r="K153" s="607">
        <f>ROUND(H153*(1+'29_01_H_2020'!$F$14),2)</f>
        <v>1111</v>
      </c>
      <c r="L153" s="608">
        <f t="shared" si="141"/>
        <v>1111</v>
      </c>
      <c r="M153" s="608">
        <f t="shared" si="142"/>
        <v>101</v>
      </c>
      <c r="N153" s="608">
        <f t="shared" si="143"/>
        <v>0</v>
      </c>
      <c r="O153" s="608">
        <f t="shared" si="144"/>
        <v>0</v>
      </c>
      <c r="P153" s="608">
        <f t="shared" si="145"/>
        <v>0</v>
      </c>
      <c r="Q153" s="609">
        <f t="shared" si="136"/>
        <v>101</v>
      </c>
      <c r="R153" s="609">
        <f t="shared" si="147"/>
        <v>202</v>
      </c>
      <c r="S153" s="609">
        <f t="shared" si="138"/>
        <v>2424</v>
      </c>
      <c r="T153" s="609">
        <f t="shared" si="139"/>
        <v>583.94000000000005</v>
      </c>
      <c r="U153" s="610">
        <f t="shared" si="146"/>
        <v>3007.94</v>
      </c>
      <c r="V153" s="611"/>
      <c r="W153" s="611"/>
      <c r="X153" s="611"/>
      <c r="Y153" s="616"/>
      <c r="Z153" s="805"/>
      <c r="AA153" s="806"/>
      <c r="AB153" s="806"/>
      <c r="AC153" s="581"/>
      <c r="AD153" s="581"/>
      <c r="AE153" s="824"/>
      <c r="AF153" s="824"/>
      <c r="AG153" s="824"/>
      <c r="AH153" s="824"/>
      <c r="AI153" s="824"/>
      <c r="AJ153" s="824"/>
      <c r="AK153" s="824"/>
      <c r="AL153" s="824"/>
      <c r="AM153" s="824"/>
      <c r="AN153" s="824"/>
      <c r="AO153" s="616"/>
      <c r="AP153" s="581"/>
      <c r="AQ153" s="581"/>
      <c r="AR153" s="824"/>
      <c r="AS153" s="824"/>
      <c r="AT153" s="824"/>
      <c r="AU153" s="824"/>
      <c r="AV153" s="824"/>
      <c r="AW153" s="824"/>
      <c r="AX153" s="824"/>
      <c r="AY153" s="824"/>
      <c r="AZ153" s="824"/>
      <c r="BA153" s="824"/>
      <c r="BB153" s="616"/>
      <c r="BC153" s="581"/>
      <c r="BD153" s="581"/>
      <c r="BE153" s="581"/>
    </row>
    <row r="154" spans="2:57" ht="25.5" x14ac:dyDescent="0.25">
      <c r="B154" s="3" t="s">
        <v>86</v>
      </c>
      <c r="C154" s="9" t="s">
        <v>84</v>
      </c>
      <c r="D154" s="9" t="s">
        <v>25</v>
      </c>
      <c r="E154" s="327" t="s">
        <v>75</v>
      </c>
      <c r="F154" s="327" t="s">
        <v>69</v>
      </c>
      <c r="G154" s="350">
        <v>1287</v>
      </c>
      <c r="H154" s="5">
        <v>1060</v>
      </c>
      <c r="I154" s="14"/>
      <c r="J154" s="427">
        <v>1</v>
      </c>
      <c r="K154" s="607">
        <f>ROUND(H154*(1+'29_01_H_2020'!$F$14),2)</f>
        <v>1166</v>
      </c>
      <c r="L154" s="608">
        <f t="shared" si="141"/>
        <v>1166</v>
      </c>
      <c r="M154" s="608">
        <f t="shared" si="142"/>
        <v>106</v>
      </c>
      <c r="N154" s="608">
        <f t="shared" si="143"/>
        <v>0</v>
      </c>
      <c r="O154" s="608">
        <f t="shared" si="144"/>
        <v>0</v>
      </c>
      <c r="P154" s="608">
        <f t="shared" si="145"/>
        <v>0</v>
      </c>
      <c r="Q154" s="609">
        <f t="shared" si="136"/>
        <v>106</v>
      </c>
      <c r="R154" s="609">
        <f t="shared" si="147"/>
        <v>106</v>
      </c>
      <c r="S154" s="609">
        <f t="shared" si="138"/>
        <v>1272</v>
      </c>
      <c r="T154" s="609">
        <f t="shared" si="139"/>
        <v>306.42</v>
      </c>
      <c r="U154" s="610">
        <f t="shared" si="146"/>
        <v>1578.42</v>
      </c>
      <c r="V154" s="611"/>
      <c r="W154" s="611"/>
      <c r="X154" s="611"/>
      <c r="Y154" s="616"/>
      <c r="Z154" s="805"/>
      <c r="AA154" s="806"/>
      <c r="AB154" s="806"/>
      <c r="AC154" s="581"/>
      <c r="AD154" s="581"/>
      <c r="AE154" s="824"/>
      <c r="AF154" s="824"/>
      <c r="AG154" s="824"/>
      <c r="AH154" s="824"/>
      <c r="AI154" s="824"/>
      <c r="AJ154" s="824"/>
      <c r="AK154" s="824"/>
      <c r="AL154" s="824"/>
      <c r="AM154" s="824"/>
      <c r="AN154" s="824"/>
      <c r="AO154" s="616"/>
      <c r="AP154" s="581"/>
      <c r="AQ154" s="581"/>
      <c r="AR154" s="824"/>
      <c r="AS154" s="824"/>
      <c r="AT154" s="824"/>
      <c r="AU154" s="824"/>
      <c r="AV154" s="824"/>
      <c r="AW154" s="824"/>
      <c r="AX154" s="824"/>
      <c r="AY154" s="824"/>
      <c r="AZ154" s="824"/>
      <c r="BA154" s="824"/>
      <c r="BB154" s="616"/>
      <c r="BC154" s="581"/>
      <c r="BD154" s="581"/>
      <c r="BE154" s="581"/>
    </row>
    <row r="155" spans="2:57" ht="25.5" x14ac:dyDescent="0.25">
      <c r="B155" s="3" t="s">
        <v>87</v>
      </c>
      <c r="C155" s="9" t="s">
        <v>84</v>
      </c>
      <c r="D155" s="9" t="s">
        <v>25</v>
      </c>
      <c r="E155" s="327" t="s">
        <v>75</v>
      </c>
      <c r="F155" s="327" t="s">
        <v>69</v>
      </c>
      <c r="G155" s="350">
        <v>1287</v>
      </c>
      <c r="H155" s="5">
        <v>1060</v>
      </c>
      <c r="I155" s="14"/>
      <c r="J155" s="427">
        <v>1</v>
      </c>
      <c r="K155" s="607">
        <f>ROUND(H155*(1+'29_01_H_2020'!$F$14),2)</f>
        <v>1166</v>
      </c>
      <c r="L155" s="608">
        <f t="shared" si="141"/>
        <v>1166</v>
      </c>
      <c r="M155" s="608">
        <f t="shared" si="142"/>
        <v>106</v>
      </c>
      <c r="N155" s="608">
        <f t="shared" si="143"/>
        <v>0</v>
      </c>
      <c r="O155" s="608">
        <f t="shared" si="144"/>
        <v>0</v>
      </c>
      <c r="P155" s="608">
        <f t="shared" si="145"/>
        <v>0</v>
      </c>
      <c r="Q155" s="609">
        <f t="shared" si="136"/>
        <v>106</v>
      </c>
      <c r="R155" s="609">
        <f t="shared" si="147"/>
        <v>106</v>
      </c>
      <c r="S155" s="609">
        <f t="shared" si="138"/>
        <v>1272</v>
      </c>
      <c r="T155" s="609">
        <f t="shared" si="139"/>
        <v>306.42</v>
      </c>
      <c r="U155" s="610">
        <f t="shared" si="146"/>
        <v>1578.42</v>
      </c>
      <c r="V155" s="611"/>
      <c r="W155" s="611"/>
      <c r="X155" s="611"/>
      <c r="Y155" s="616"/>
      <c r="Z155" s="805"/>
      <c r="AA155" s="806"/>
      <c r="AB155" s="806"/>
      <c r="AC155" s="581"/>
      <c r="AD155" s="581"/>
      <c r="AE155" s="824"/>
      <c r="AF155" s="824"/>
      <c r="AG155" s="824"/>
      <c r="AH155" s="824"/>
      <c r="AI155" s="824"/>
      <c r="AJ155" s="824"/>
      <c r="AK155" s="824"/>
      <c r="AL155" s="824"/>
      <c r="AM155" s="824"/>
      <c r="AN155" s="824"/>
      <c r="AO155" s="616"/>
      <c r="AP155" s="581"/>
      <c r="AQ155" s="581"/>
      <c r="AR155" s="824"/>
      <c r="AS155" s="824"/>
      <c r="AT155" s="824"/>
      <c r="AU155" s="824"/>
      <c r="AV155" s="824"/>
      <c r="AW155" s="824"/>
      <c r="AX155" s="824"/>
      <c r="AY155" s="824"/>
      <c r="AZ155" s="824"/>
      <c r="BA155" s="824"/>
      <c r="BB155" s="616"/>
      <c r="BC155" s="581"/>
      <c r="BD155" s="581"/>
      <c r="BE155" s="581"/>
    </row>
    <row r="156" spans="2:57" x14ac:dyDescent="0.25">
      <c r="B156" s="3" t="s">
        <v>88</v>
      </c>
      <c r="C156" s="9" t="s">
        <v>84</v>
      </c>
      <c r="D156" s="9" t="s">
        <v>41</v>
      </c>
      <c r="E156" s="327" t="s">
        <v>85</v>
      </c>
      <c r="F156" s="327" t="s">
        <v>69</v>
      </c>
      <c r="G156" s="350">
        <v>1015</v>
      </c>
      <c r="H156" s="5">
        <v>952</v>
      </c>
      <c r="I156" s="14"/>
      <c r="J156" s="427">
        <v>1</v>
      </c>
      <c r="K156" s="607">
        <f>ROUND(H156*(1+'29_01_H_2020'!$F$14),2)</f>
        <v>1047.2</v>
      </c>
      <c r="L156" s="608">
        <f t="shared" si="141"/>
        <v>1015</v>
      </c>
      <c r="M156" s="608">
        <f t="shared" si="142"/>
        <v>63</v>
      </c>
      <c r="N156" s="608">
        <f t="shared" si="143"/>
        <v>32.200000000000045</v>
      </c>
      <c r="O156" s="608">
        <f t="shared" si="144"/>
        <v>0</v>
      </c>
      <c r="P156" s="608">
        <f t="shared" si="145"/>
        <v>0</v>
      </c>
      <c r="Q156" s="609">
        <f t="shared" si="136"/>
        <v>95.200000000000045</v>
      </c>
      <c r="R156" s="609">
        <f t="shared" si="147"/>
        <v>95.200000000000045</v>
      </c>
      <c r="S156" s="609">
        <f t="shared" si="138"/>
        <v>1142.4000000000005</v>
      </c>
      <c r="T156" s="609">
        <f t="shared" si="139"/>
        <v>275.2</v>
      </c>
      <c r="U156" s="610">
        <f t="shared" si="146"/>
        <v>1417.6000000000006</v>
      </c>
      <c r="V156" s="611"/>
      <c r="W156" s="611"/>
      <c r="X156" s="611"/>
      <c r="Y156" s="616"/>
      <c r="Z156" s="805"/>
      <c r="AA156" s="806"/>
      <c r="AB156" s="806"/>
      <c r="AC156" s="581"/>
      <c r="AD156" s="581"/>
      <c r="AE156" s="824"/>
      <c r="AF156" s="824"/>
      <c r="AG156" s="824"/>
      <c r="AH156" s="824"/>
      <c r="AI156" s="824"/>
      <c r="AJ156" s="824"/>
      <c r="AK156" s="824"/>
      <c r="AL156" s="824"/>
      <c r="AM156" s="824"/>
      <c r="AN156" s="824"/>
      <c r="AO156" s="616"/>
      <c r="AP156" s="581"/>
      <c r="AQ156" s="581"/>
      <c r="AR156" s="824"/>
      <c r="AS156" s="824"/>
      <c r="AT156" s="824"/>
      <c r="AU156" s="824"/>
      <c r="AV156" s="824"/>
      <c r="AW156" s="824"/>
      <c r="AX156" s="824"/>
      <c r="AY156" s="824"/>
      <c r="AZ156" s="824"/>
      <c r="BA156" s="824"/>
      <c r="BB156" s="616"/>
      <c r="BC156" s="581"/>
      <c r="BD156" s="581"/>
      <c r="BE156" s="581"/>
    </row>
    <row r="157" spans="2:57" x14ac:dyDescent="0.25">
      <c r="B157" s="3" t="s">
        <v>89</v>
      </c>
      <c r="C157" s="9" t="s">
        <v>66</v>
      </c>
      <c r="D157" s="9" t="s">
        <v>18</v>
      </c>
      <c r="E157" s="327">
        <v>11</v>
      </c>
      <c r="F157" s="327" t="s">
        <v>69</v>
      </c>
      <c r="G157" s="350">
        <v>1382</v>
      </c>
      <c r="H157" s="12">
        <v>1288</v>
      </c>
      <c r="I157" s="14"/>
      <c r="J157" s="427">
        <v>1</v>
      </c>
      <c r="K157" s="607">
        <f>ROUND(H157*(1+'29_01_H_2020'!$F$14),2)</f>
        <v>1416.8</v>
      </c>
      <c r="L157" s="608">
        <f t="shared" si="141"/>
        <v>1382</v>
      </c>
      <c r="M157" s="608">
        <f t="shared" si="142"/>
        <v>94</v>
      </c>
      <c r="N157" s="608">
        <f t="shared" si="143"/>
        <v>34.799999999999955</v>
      </c>
      <c r="O157" s="608">
        <f t="shared" si="144"/>
        <v>0</v>
      </c>
      <c r="P157" s="608">
        <f t="shared" si="145"/>
        <v>0</v>
      </c>
      <c r="Q157" s="609">
        <f t="shared" si="136"/>
        <v>128.79999999999995</v>
      </c>
      <c r="R157" s="609">
        <f t="shared" si="147"/>
        <v>128.79999999999995</v>
      </c>
      <c r="S157" s="609">
        <f t="shared" si="138"/>
        <v>1545.5999999999995</v>
      </c>
      <c r="T157" s="609">
        <f t="shared" si="139"/>
        <v>372.34</v>
      </c>
      <c r="U157" s="610">
        <f t="shared" si="146"/>
        <v>1917.9399999999994</v>
      </c>
      <c r="V157" s="611"/>
      <c r="W157" s="611"/>
      <c r="X157" s="611"/>
      <c r="Y157" s="616"/>
      <c r="Z157" s="805"/>
      <c r="AA157" s="806"/>
      <c r="AB157" s="806"/>
      <c r="AC157" s="581"/>
      <c r="AD157" s="581"/>
      <c r="AE157" s="824"/>
      <c r="AF157" s="824"/>
      <c r="AG157" s="824"/>
      <c r="AH157" s="824"/>
      <c r="AI157" s="824"/>
      <c r="AJ157" s="824"/>
      <c r="AK157" s="824"/>
      <c r="AL157" s="824"/>
      <c r="AM157" s="824"/>
      <c r="AN157" s="824"/>
      <c r="AO157" s="616"/>
      <c r="AP157" s="581"/>
      <c r="AQ157" s="581"/>
      <c r="AR157" s="824"/>
      <c r="AS157" s="824"/>
      <c r="AT157" s="824"/>
      <c r="AU157" s="824"/>
      <c r="AV157" s="824"/>
      <c r="AW157" s="824"/>
      <c r="AX157" s="824"/>
      <c r="AY157" s="824"/>
      <c r="AZ157" s="824"/>
      <c r="BA157" s="824"/>
      <c r="BB157" s="616"/>
      <c r="BC157" s="581"/>
      <c r="BD157" s="581"/>
      <c r="BE157" s="581"/>
    </row>
    <row r="158" spans="2:57" x14ac:dyDescent="0.25">
      <c r="B158" s="401" t="s">
        <v>619</v>
      </c>
      <c r="C158" s="9" t="s">
        <v>66</v>
      </c>
      <c r="D158" s="9" t="s">
        <v>71</v>
      </c>
      <c r="E158" s="327">
        <v>10</v>
      </c>
      <c r="F158" s="327" t="s">
        <v>69</v>
      </c>
      <c r="G158" s="350">
        <v>1287</v>
      </c>
      <c r="H158" s="12">
        <v>952</v>
      </c>
      <c r="I158" s="14"/>
      <c r="J158" s="427">
        <v>1</v>
      </c>
      <c r="K158" s="607">
        <f>ROUND(H158*(1+'29_01_H_2020'!$F$14),2)</f>
        <v>1047.2</v>
      </c>
      <c r="L158" s="608">
        <f t="shared" si="141"/>
        <v>1047.2</v>
      </c>
      <c r="M158" s="608">
        <f t="shared" si="142"/>
        <v>95.200000000000045</v>
      </c>
      <c r="N158" s="608">
        <f t="shared" si="143"/>
        <v>0</v>
      </c>
      <c r="O158" s="608">
        <f t="shared" si="144"/>
        <v>0</v>
      </c>
      <c r="P158" s="608">
        <f t="shared" si="145"/>
        <v>0</v>
      </c>
      <c r="Q158" s="609">
        <f t="shared" si="136"/>
        <v>95.200000000000045</v>
      </c>
      <c r="R158" s="609">
        <f t="shared" si="147"/>
        <v>95.200000000000045</v>
      </c>
      <c r="S158" s="609">
        <f t="shared" si="138"/>
        <v>1142.4000000000005</v>
      </c>
      <c r="T158" s="609">
        <f t="shared" si="139"/>
        <v>275.2</v>
      </c>
      <c r="U158" s="610">
        <f t="shared" si="146"/>
        <v>1417.6000000000006</v>
      </c>
      <c r="V158" s="611"/>
      <c r="W158" s="611"/>
      <c r="X158" s="611"/>
      <c r="Y158" s="616"/>
      <c r="Z158" s="805"/>
      <c r="AA158" s="806"/>
      <c r="AB158" s="806"/>
      <c r="AC158" s="581"/>
      <c r="AD158" s="581"/>
      <c r="AE158" s="824"/>
      <c r="AF158" s="824"/>
      <c r="AG158" s="824"/>
      <c r="AH158" s="824"/>
      <c r="AI158" s="824"/>
      <c r="AJ158" s="824"/>
      <c r="AK158" s="824"/>
      <c r="AL158" s="824"/>
      <c r="AM158" s="824"/>
      <c r="AN158" s="824"/>
      <c r="AO158" s="616"/>
      <c r="AP158" s="581"/>
      <c r="AQ158" s="581"/>
      <c r="AR158" s="824"/>
      <c r="AS158" s="824"/>
      <c r="AT158" s="824"/>
      <c r="AU158" s="824"/>
      <c r="AV158" s="824"/>
      <c r="AW158" s="824"/>
      <c r="AX158" s="824"/>
      <c r="AY158" s="824"/>
      <c r="AZ158" s="824"/>
      <c r="BA158" s="824"/>
      <c r="BB158" s="616"/>
      <c r="BC158" s="581"/>
      <c r="BD158" s="581"/>
      <c r="BE158" s="581"/>
    </row>
    <row r="159" spans="2:57" x14ac:dyDescent="0.25">
      <c r="B159" s="401" t="s">
        <v>90</v>
      </c>
      <c r="C159" s="4" t="s">
        <v>74</v>
      </c>
      <c r="D159" s="4" t="s">
        <v>41</v>
      </c>
      <c r="E159" s="6">
        <v>9</v>
      </c>
      <c r="F159" s="327" t="s">
        <v>69</v>
      </c>
      <c r="G159" s="351">
        <v>1190</v>
      </c>
      <c r="H159" s="7">
        <v>996</v>
      </c>
      <c r="I159" s="14"/>
      <c r="J159" s="428">
        <v>1</v>
      </c>
      <c r="K159" s="607">
        <f>ROUND(H159*(1+'29_01_H_2020'!$F$14),2)</f>
        <v>1095.5999999999999</v>
      </c>
      <c r="L159" s="608">
        <f t="shared" si="141"/>
        <v>1095.5999999999999</v>
      </c>
      <c r="M159" s="608">
        <f t="shared" si="142"/>
        <v>99.599999999999909</v>
      </c>
      <c r="N159" s="608">
        <f t="shared" si="143"/>
        <v>0</v>
      </c>
      <c r="O159" s="608">
        <f t="shared" si="144"/>
        <v>0</v>
      </c>
      <c r="P159" s="608">
        <f t="shared" si="145"/>
        <v>0</v>
      </c>
      <c r="Q159" s="609">
        <f t="shared" si="136"/>
        <v>99.599999999999909</v>
      </c>
      <c r="R159" s="609">
        <f t="shared" si="147"/>
        <v>99.599999999999909</v>
      </c>
      <c r="S159" s="609">
        <f t="shared" si="138"/>
        <v>1195.1999999999989</v>
      </c>
      <c r="T159" s="609">
        <f t="shared" si="139"/>
        <v>287.92</v>
      </c>
      <c r="U159" s="610">
        <f t="shared" si="146"/>
        <v>1483.119999999999</v>
      </c>
      <c r="V159" s="611"/>
      <c r="W159" s="611"/>
      <c r="X159" s="611"/>
      <c r="Y159" s="616"/>
      <c r="Z159" s="805"/>
      <c r="AA159" s="806"/>
      <c r="AB159" s="806"/>
      <c r="AC159" s="581"/>
      <c r="AD159" s="581"/>
      <c r="AE159" s="824"/>
      <c r="AF159" s="824"/>
      <c r="AG159" s="824"/>
      <c r="AH159" s="824"/>
      <c r="AI159" s="824"/>
      <c r="AJ159" s="824"/>
      <c r="AK159" s="824"/>
      <c r="AL159" s="824"/>
      <c r="AM159" s="824"/>
      <c r="AN159" s="824"/>
      <c r="AO159" s="616"/>
      <c r="AP159" s="581"/>
      <c r="AQ159" s="581"/>
      <c r="AR159" s="824"/>
      <c r="AS159" s="824"/>
      <c r="AT159" s="824"/>
      <c r="AU159" s="824"/>
      <c r="AV159" s="824"/>
      <c r="AW159" s="824"/>
      <c r="AX159" s="824"/>
      <c r="AY159" s="824"/>
      <c r="AZ159" s="824"/>
      <c r="BA159" s="824"/>
      <c r="BB159" s="616"/>
      <c r="BC159" s="581"/>
      <c r="BD159" s="581"/>
      <c r="BE159" s="581"/>
    </row>
    <row r="160" spans="2:57" x14ac:dyDescent="0.25">
      <c r="B160" s="401" t="s">
        <v>90</v>
      </c>
      <c r="C160" s="6" t="s">
        <v>60</v>
      </c>
      <c r="D160" s="6" t="s">
        <v>25</v>
      </c>
      <c r="E160" s="6">
        <v>10</v>
      </c>
      <c r="F160" s="327" t="s">
        <v>69</v>
      </c>
      <c r="G160" s="351">
        <v>1287</v>
      </c>
      <c r="H160" s="7">
        <v>930</v>
      </c>
      <c r="I160" s="14"/>
      <c r="J160" s="428">
        <v>6</v>
      </c>
      <c r="K160" s="607">
        <f>ROUND(H160*(1+'29_01_H_2020'!$F$14),2)</f>
        <v>1023</v>
      </c>
      <c r="L160" s="608">
        <f t="shared" si="141"/>
        <v>1023</v>
      </c>
      <c r="M160" s="608">
        <f t="shared" si="142"/>
        <v>93</v>
      </c>
      <c r="N160" s="608">
        <f t="shared" si="143"/>
        <v>0</v>
      </c>
      <c r="O160" s="608">
        <f t="shared" si="144"/>
        <v>0</v>
      </c>
      <c r="P160" s="608">
        <f t="shared" si="145"/>
        <v>0</v>
      </c>
      <c r="Q160" s="609">
        <f t="shared" si="136"/>
        <v>93</v>
      </c>
      <c r="R160" s="609">
        <f t="shared" si="147"/>
        <v>558</v>
      </c>
      <c r="S160" s="609">
        <f t="shared" si="138"/>
        <v>6696</v>
      </c>
      <c r="T160" s="609">
        <f t="shared" si="139"/>
        <v>1613.07</v>
      </c>
      <c r="U160" s="610">
        <f t="shared" si="146"/>
        <v>8309.07</v>
      </c>
      <c r="V160" s="611"/>
      <c r="W160" s="611"/>
      <c r="X160" s="611"/>
      <c r="Y160" s="616"/>
      <c r="Z160" s="805"/>
      <c r="AA160" s="806"/>
      <c r="AB160" s="806"/>
      <c r="AC160" s="581"/>
      <c r="AD160" s="581"/>
      <c r="AE160" s="824"/>
      <c r="AF160" s="824"/>
      <c r="AG160" s="824"/>
      <c r="AH160" s="824"/>
      <c r="AI160" s="824"/>
      <c r="AJ160" s="824"/>
      <c r="AK160" s="824"/>
      <c r="AL160" s="824"/>
      <c r="AM160" s="824"/>
      <c r="AN160" s="824"/>
      <c r="AO160" s="616"/>
      <c r="AP160" s="581"/>
      <c r="AQ160" s="581"/>
      <c r="AR160" s="824"/>
      <c r="AS160" s="824"/>
      <c r="AT160" s="824"/>
      <c r="AU160" s="824"/>
      <c r="AV160" s="824"/>
      <c r="AW160" s="824"/>
      <c r="AX160" s="824"/>
      <c r="AY160" s="824"/>
      <c r="AZ160" s="824"/>
      <c r="BA160" s="824"/>
      <c r="BB160" s="616"/>
      <c r="BC160" s="581"/>
      <c r="BD160" s="581"/>
      <c r="BE160" s="581"/>
    </row>
    <row r="161" spans="2:57" x14ac:dyDescent="0.25">
      <c r="B161" s="401" t="s">
        <v>90</v>
      </c>
      <c r="C161" s="4" t="s">
        <v>74</v>
      </c>
      <c r="D161" s="4" t="s">
        <v>41</v>
      </c>
      <c r="E161" s="6">
        <v>9</v>
      </c>
      <c r="F161" s="327" t="s">
        <v>69</v>
      </c>
      <c r="G161" s="351">
        <v>1190</v>
      </c>
      <c r="H161" s="7">
        <v>784</v>
      </c>
      <c r="I161" s="14"/>
      <c r="J161" s="428">
        <v>1</v>
      </c>
      <c r="K161" s="607">
        <f>ROUND(H161*(1+'29_01_H_2020'!$F$14),2)</f>
        <v>862.4</v>
      </c>
      <c r="L161" s="608">
        <f t="shared" si="141"/>
        <v>862.4</v>
      </c>
      <c r="M161" s="608">
        <f t="shared" si="142"/>
        <v>78.399999999999977</v>
      </c>
      <c r="N161" s="608">
        <f t="shared" si="143"/>
        <v>0</v>
      </c>
      <c r="O161" s="608">
        <f t="shared" si="144"/>
        <v>0</v>
      </c>
      <c r="P161" s="608">
        <f t="shared" si="145"/>
        <v>0</v>
      </c>
      <c r="Q161" s="609">
        <f t="shared" si="136"/>
        <v>78.399999999999977</v>
      </c>
      <c r="R161" s="609">
        <f t="shared" si="147"/>
        <v>78.399999999999977</v>
      </c>
      <c r="S161" s="609">
        <f t="shared" si="138"/>
        <v>940.79999999999973</v>
      </c>
      <c r="T161" s="609">
        <f t="shared" si="139"/>
        <v>226.64</v>
      </c>
      <c r="U161" s="610">
        <f t="shared" si="146"/>
        <v>1167.4399999999996</v>
      </c>
      <c r="V161" s="611"/>
      <c r="W161" s="611"/>
      <c r="X161" s="611"/>
      <c r="Y161" s="616"/>
      <c r="Z161" s="805"/>
      <c r="AA161" s="806"/>
      <c r="AB161" s="806"/>
      <c r="AC161" s="581"/>
      <c r="AD161" s="581"/>
      <c r="AE161" s="824"/>
      <c r="AF161" s="824"/>
      <c r="AG161" s="824"/>
      <c r="AH161" s="824"/>
      <c r="AI161" s="824"/>
      <c r="AJ161" s="824"/>
      <c r="AK161" s="824"/>
      <c r="AL161" s="824"/>
      <c r="AM161" s="824"/>
      <c r="AN161" s="824"/>
      <c r="AO161" s="616"/>
      <c r="AP161" s="581"/>
      <c r="AQ161" s="581"/>
      <c r="AR161" s="824"/>
      <c r="AS161" s="824"/>
      <c r="AT161" s="824"/>
      <c r="AU161" s="824"/>
      <c r="AV161" s="824"/>
      <c r="AW161" s="824"/>
      <c r="AX161" s="824"/>
      <c r="AY161" s="824"/>
      <c r="AZ161" s="824"/>
      <c r="BA161" s="824"/>
      <c r="BB161" s="616"/>
      <c r="BC161" s="581"/>
      <c r="BD161" s="581"/>
      <c r="BE161" s="581"/>
    </row>
    <row r="162" spans="2:57" ht="25.5" x14ac:dyDescent="0.25">
      <c r="B162" s="3" t="s">
        <v>91</v>
      </c>
      <c r="C162" s="9" t="s">
        <v>66</v>
      </c>
      <c r="D162" s="9" t="s">
        <v>18</v>
      </c>
      <c r="E162" s="327" t="s">
        <v>92</v>
      </c>
      <c r="F162" s="327" t="s">
        <v>69</v>
      </c>
      <c r="G162" s="351">
        <v>1382</v>
      </c>
      <c r="H162" s="5">
        <v>1130</v>
      </c>
      <c r="I162" s="14"/>
      <c r="J162" s="427">
        <v>4</v>
      </c>
      <c r="K162" s="607">
        <f>ROUND(H162*(1+'29_01_H_2020'!$F$14),2)</f>
        <v>1243</v>
      </c>
      <c r="L162" s="608">
        <f t="shared" si="141"/>
        <v>1243</v>
      </c>
      <c r="M162" s="608">
        <f t="shared" si="142"/>
        <v>113</v>
      </c>
      <c r="N162" s="608">
        <f t="shared" si="143"/>
        <v>0</v>
      </c>
      <c r="O162" s="608">
        <f t="shared" si="144"/>
        <v>0</v>
      </c>
      <c r="P162" s="608">
        <f t="shared" si="145"/>
        <v>0</v>
      </c>
      <c r="Q162" s="609">
        <f t="shared" si="136"/>
        <v>113</v>
      </c>
      <c r="R162" s="609">
        <f t="shared" si="147"/>
        <v>452</v>
      </c>
      <c r="S162" s="609">
        <f t="shared" si="138"/>
        <v>5424</v>
      </c>
      <c r="T162" s="609">
        <f t="shared" si="139"/>
        <v>1306.6400000000001</v>
      </c>
      <c r="U162" s="610">
        <f t="shared" si="146"/>
        <v>6730.64</v>
      </c>
      <c r="V162" s="611"/>
      <c r="W162" s="611"/>
      <c r="X162" s="611"/>
      <c r="Y162" s="616"/>
      <c r="Z162" s="805"/>
      <c r="AA162" s="806"/>
      <c r="AB162" s="806"/>
      <c r="AC162" s="581"/>
      <c r="AD162" s="581"/>
      <c r="AE162" s="824"/>
      <c r="AF162" s="824"/>
      <c r="AG162" s="824"/>
      <c r="AH162" s="824"/>
      <c r="AI162" s="824"/>
      <c r="AJ162" s="824"/>
      <c r="AK162" s="824"/>
      <c r="AL162" s="824"/>
      <c r="AM162" s="824"/>
      <c r="AN162" s="824"/>
      <c r="AO162" s="616"/>
      <c r="AP162" s="581"/>
      <c r="AQ162" s="581"/>
      <c r="AR162" s="824"/>
      <c r="AS162" s="824"/>
      <c r="AT162" s="824"/>
      <c r="AU162" s="824"/>
      <c r="AV162" s="824"/>
      <c r="AW162" s="824"/>
      <c r="AX162" s="824"/>
      <c r="AY162" s="824"/>
      <c r="AZ162" s="824"/>
      <c r="BA162" s="824"/>
      <c r="BB162" s="616"/>
      <c r="BC162" s="581"/>
      <c r="BD162" s="581"/>
      <c r="BE162" s="581"/>
    </row>
    <row r="163" spans="2:57" x14ac:dyDescent="0.25">
      <c r="B163" s="401" t="s">
        <v>93</v>
      </c>
      <c r="C163" s="6" t="s">
        <v>66</v>
      </c>
      <c r="D163" s="6" t="s">
        <v>71</v>
      </c>
      <c r="E163" s="6">
        <v>10</v>
      </c>
      <c r="F163" s="327" t="s">
        <v>69</v>
      </c>
      <c r="G163" s="351">
        <v>1287</v>
      </c>
      <c r="H163" s="5">
        <v>930</v>
      </c>
      <c r="I163" s="14"/>
      <c r="J163" s="428">
        <v>10</v>
      </c>
      <c r="K163" s="607">
        <f>ROUND(H163*(1+'29_01_H_2020'!$F$14),2)</f>
        <v>1023</v>
      </c>
      <c r="L163" s="608">
        <f t="shared" si="141"/>
        <v>1023</v>
      </c>
      <c r="M163" s="608">
        <f t="shared" si="142"/>
        <v>93</v>
      </c>
      <c r="N163" s="608">
        <f t="shared" si="143"/>
        <v>0</v>
      </c>
      <c r="O163" s="608">
        <f t="shared" si="144"/>
        <v>0</v>
      </c>
      <c r="P163" s="608">
        <f t="shared" si="145"/>
        <v>0</v>
      </c>
      <c r="Q163" s="609">
        <f t="shared" si="136"/>
        <v>93</v>
      </c>
      <c r="R163" s="609">
        <f t="shared" si="147"/>
        <v>930</v>
      </c>
      <c r="S163" s="609">
        <f t="shared" si="138"/>
        <v>11160</v>
      </c>
      <c r="T163" s="609">
        <f t="shared" si="139"/>
        <v>2688.44</v>
      </c>
      <c r="U163" s="610">
        <f t="shared" si="146"/>
        <v>13848.44</v>
      </c>
      <c r="V163" s="611"/>
      <c r="W163" s="611"/>
      <c r="X163" s="611"/>
      <c r="Y163" s="616"/>
      <c r="Z163" s="805"/>
      <c r="AA163" s="806"/>
      <c r="AB163" s="806"/>
      <c r="AC163" s="581"/>
      <c r="AD163" s="581"/>
      <c r="AE163" s="824"/>
      <c r="AF163" s="824"/>
      <c r="AG163" s="824"/>
      <c r="AH163" s="824"/>
      <c r="AI163" s="824"/>
      <c r="AJ163" s="824"/>
      <c r="AK163" s="824"/>
      <c r="AL163" s="824"/>
      <c r="AM163" s="824"/>
      <c r="AN163" s="824"/>
      <c r="AO163" s="616"/>
      <c r="AP163" s="581"/>
      <c r="AQ163" s="581"/>
      <c r="AR163" s="824"/>
      <c r="AS163" s="824"/>
      <c r="AT163" s="824"/>
      <c r="AU163" s="824"/>
      <c r="AV163" s="824"/>
      <c r="AW163" s="824"/>
      <c r="AX163" s="824"/>
      <c r="AY163" s="824"/>
      <c r="AZ163" s="824"/>
      <c r="BA163" s="824"/>
      <c r="BB163" s="616"/>
      <c r="BC163" s="581"/>
      <c r="BD163" s="581"/>
      <c r="BE163" s="581"/>
    </row>
    <row r="164" spans="2:57" x14ac:dyDescent="0.25">
      <c r="B164" s="688" t="s">
        <v>55</v>
      </c>
      <c r="C164" s="618" t="s">
        <v>52</v>
      </c>
      <c r="D164" s="619" t="s">
        <v>52</v>
      </c>
      <c r="E164" s="619" t="s">
        <v>52</v>
      </c>
      <c r="F164" s="619" t="s">
        <v>52</v>
      </c>
      <c r="G164" s="620" t="s">
        <v>52</v>
      </c>
      <c r="H164" s="620" t="s">
        <v>52</v>
      </c>
      <c r="I164" s="620" t="s">
        <v>52</v>
      </c>
      <c r="J164" s="375">
        <f>SUM(J109:J163)</f>
        <v>141</v>
      </c>
      <c r="K164" s="842"/>
      <c r="L164" s="843"/>
      <c r="M164" s="843"/>
      <c r="N164" s="843"/>
      <c r="O164" s="843"/>
      <c r="P164" s="843"/>
      <c r="Q164" s="623"/>
      <c r="R164" s="623"/>
      <c r="S164" s="623"/>
      <c r="T164" s="623"/>
      <c r="U164" s="624"/>
      <c r="V164" s="581"/>
      <c r="W164" s="581"/>
      <c r="X164" s="581"/>
      <c r="Y164" s="581"/>
      <c r="Z164" s="581"/>
      <c r="AA164" s="581"/>
      <c r="AB164" s="581"/>
      <c r="AC164" s="581"/>
      <c r="AD164" s="581"/>
      <c r="AE164" s="581"/>
      <c r="AF164" s="581"/>
      <c r="AG164" s="581"/>
      <c r="AH164" s="581"/>
      <c r="AI164" s="581"/>
      <c r="AJ164" s="581"/>
      <c r="AK164" s="581"/>
      <c r="AL164" s="581"/>
      <c r="AM164" s="581"/>
      <c r="AN164" s="581"/>
      <c r="AO164" s="581"/>
      <c r="AP164" s="581"/>
      <c r="AQ164" s="581"/>
      <c r="AR164" s="581"/>
      <c r="AS164" s="581"/>
      <c r="AT164" s="581"/>
      <c r="AU164" s="581"/>
      <c r="AV164" s="581"/>
      <c r="AW164" s="581"/>
      <c r="AX164" s="581"/>
      <c r="AY164" s="581"/>
      <c r="AZ164" s="581"/>
      <c r="BA164" s="581"/>
      <c r="BB164" s="581"/>
      <c r="BC164" s="581"/>
      <c r="BD164" s="581"/>
      <c r="BE164" s="581"/>
    </row>
    <row r="165" spans="2:57" x14ac:dyDescent="0.25">
      <c r="B165" s="931" t="s">
        <v>27</v>
      </c>
      <c r="C165" s="932"/>
      <c r="D165" s="932"/>
      <c r="E165" s="932"/>
      <c r="F165" s="932"/>
      <c r="G165" s="932"/>
      <c r="H165" s="932"/>
      <c r="I165" s="932"/>
      <c r="J165" s="933"/>
      <c r="K165" s="844"/>
      <c r="L165" s="845"/>
      <c r="M165" s="845"/>
      <c r="N165" s="845"/>
      <c r="O165" s="845"/>
      <c r="P165" s="845"/>
      <c r="Q165" s="603"/>
      <c r="R165" s="603"/>
      <c r="S165" s="603"/>
      <c r="T165" s="603"/>
      <c r="U165" s="604"/>
      <c r="V165" s="581"/>
      <c r="W165" s="581"/>
      <c r="X165" s="581"/>
      <c r="Y165" s="581"/>
      <c r="Z165" s="581"/>
      <c r="AA165" s="581"/>
      <c r="AB165" s="581"/>
      <c r="AC165" s="581"/>
      <c r="AD165" s="581"/>
      <c r="AE165" s="581"/>
      <c r="AF165" s="581"/>
      <c r="AG165" s="581"/>
      <c r="AH165" s="581"/>
      <c r="AI165" s="581"/>
      <c r="AJ165" s="581"/>
      <c r="AK165" s="581"/>
      <c r="AL165" s="581"/>
      <c r="AM165" s="581"/>
      <c r="AN165" s="581"/>
      <c r="AO165" s="581"/>
      <c r="AP165" s="581"/>
      <c r="AQ165" s="581"/>
      <c r="AR165" s="581"/>
      <c r="AS165" s="581"/>
      <c r="AT165" s="581"/>
      <c r="AU165" s="581"/>
      <c r="AV165" s="581"/>
      <c r="AW165" s="581"/>
      <c r="AX165" s="581"/>
      <c r="AY165" s="581"/>
      <c r="AZ165" s="581"/>
      <c r="BA165" s="581"/>
      <c r="BB165" s="581"/>
      <c r="BC165" s="581"/>
      <c r="BD165" s="581"/>
      <c r="BE165" s="581"/>
    </row>
    <row r="166" spans="2:57" x14ac:dyDescent="0.25">
      <c r="B166" s="688" t="s">
        <v>55</v>
      </c>
      <c r="C166" s="618" t="s">
        <v>52</v>
      </c>
      <c r="D166" s="619" t="s">
        <v>52</v>
      </c>
      <c r="E166" s="619" t="s">
        <v>52</v>
      </c>
      <c r="F166" s="619" t="s">
        <v>52</v>
      </c>
      <c r="G166" s="620" t="s">
        <v>52</v>
      </c>
      <c r="H166" s="620" t="s">
        <v>52</v>
      </c>
      <c r="I166" s="620" t="s">
        <v>52</v>
      </c>
      <c r="J166" s="375">
        <v>0</v>
      </c>
      <c r="K166" s="842"/>
      <c r="L166" s="843"/>
      <c r="M166" s="843"/>
      <c r="N166" s="843"/>
      <c r="O166" s="843"/>
      <c r="P166" s="843"/>
      <c r="Q166" s="623"/>
      <c r="R166" s="623"/>
      <c r="S166" s="623"/>
      <c r="T166" s="623"/>
      <c r="U166" s="624"/>
      <c r="V166" s="581"/>
      <c r="W166" s="581"/>
      <c r="X166" s="581"/>
      <c r="Y166" s="581"/>
      <c r="Z166" s="581"/>
      <c r="AA166" s="581"/>
      <c r="AB166" s="581"/>
      <c r="AC166" s="581"/>
      <c r="AD166" s="581"/>
      <c r="AE166" s="581"/>
      <c r="AF166" s="581"/>
      <c r="AG166" s="581"/>
      <c r="AH166" s="581"/>
      <c r="AI166" s="581"/>
      <c r="AJ166" s="581"/>
      <c r="AK166" s="581"/>
      <c r="AL166" s="581"/>
      <c r="AM166" s="581"/>
      <c r="AN166" s="581"/>
      <c r="AO166" s="581"/>
      <c r="AP166" s="581"/>
      <c r="AQ166" s="581"/>
      <c r="AR166" s="581"/>
      <c r="AS166" s="581"/>
      <c r="AT166" s="581"/>
      <c r="AU166" s="581"/>
      <c r="AV166" s="581"/>
      <c r="AW166" s="581"/>
      <c r="AX166" s="581"/>
      <c r="AY166" s="581"/>
      <c r="AZ166" s="581"/>
      <c r="BA166" s="581"/>
      <c r="BB166" s="581"/>
      <c r="BC166" s="581"/>
      <c r="BD166" s="581"/>
      <c r="BE166" s="581"/>
    </row>
    <row r="167" spans="2:57" x14ac:dyDescent="0.25">
      <c r="B167" s="920" t="s">
        <v>46</v>
      </c>
      <c r="C167" s="921"/>
      <c r="D167" s="921"/>
      <c r="E167" s="921"/>
      <c r="F167" s="921"/>
      <c r="G167" s="921"/>
      <c r="H167" s="846"/>
      <c r="I167" s="846"/>
      <c r="J167" s="847"/>
      <c r="K167" s="844"/>
      <c r="L167" s="845"/>
      <c r="M167" s="845"/>
      <c r="N167" s="845"/>
      <c r="O167" s="845"/>
      <c r="P167" s="845"/>
      <c r="Q167" s="603"/>
      <c r="R167" s="603"/>
      <c r="S167" s="603"/>
      <c r="T167" s="603"/>
      <c r="U167" s="604"/>
      <c r="V167" s="581"/>
      <c r="W167" s="581"/>
      <c r="X167" s="581"/>
      <c r="Y167" s="581"/>
      <c r="Z167" s="581"/>
      <c r="AA167" s="581"/>
      <c r="AB167" s="581"/>
      <c r="AC167" s="581"/>
      <c r="AD167" s="581"/>
      <c r="AE167" s="581"/>
      <c r="AF167" s="581"/>
      <c r="AG167" s="581"/>
      <c r="AH167" s="581"/>
      <c r="AI167" s="581"/>
      <c r="AJ167" s="581"/>
      <c r="AK167" s="581"/>
      <c r="AL167" s="581"/>
      <c r="AM167" s="581"/>
      <c r="AN167" s="581"/>
      <c r="AO167" s="581"/>
      <c r="AP167" s="581"/>
      <c r="AQ167" s="581"/>
      <c r="AR167" s="581"/>
      <c r="AS167" s="581"/>
      <c r="AT167" s="581"/>
      <c r="AU167" s="581"/>
      <c r="AV167" s="581"/>
      <c r="AW167" s="581"/>
      <c r="AX167" s="581"/>
      <c r="AY167" s="581"/>
      <c r="AZ167" s="581"/>
      <c r="BA167" s="581"/>
      <c r="BB167" s="581"/>
      <c r="BC167" s="581"/>
      <c r="BD167" s="581"/>
      <c r="BE167" s="581"/>
    </row>
    <row r="168" spans="2:57" x14ac:dyDescent="0.25">
      <c r="B168" s="10" t="s">
        <v>94</v>
      </c>
      <c r="C168" s="13" t="s">
        <v>66</v>
      </c>
      <c r="D168" s="13" t="s">
        <v>79</v>
      </c>
      <c r="E168" s="329" t="s">
        <v>80</v>
      </c>
      <c r="F168" s="329" t="s">
        <v>69</v>
      </c>
      <c r="G168" s="352">
        <v>2264</v>
      </c>
      <c r="H168" s="14">
        <v>1950</v>
      </c>
      <c r="I168" s="14"/>
      <c r="J168" s="429">
        <v>1</v>
      </c>
      <c r="K168" s="607">
        <f>ROUND(H168*(1+'29_01_H_2020'!$F$14),2)</f>
        <v>2145</v>
      </c>
      <c r="L168" s="608">
        <f t="shared" ref="L168" si="148">IF(K168&lt;=G168,K168,G168)</f>
        <v>2145</v>
      </c>
      <c r="M168" s="608">
        <f t="shared" ref="M168" si="149">L168-H168</f>
        <v>195</v>
      </c>
      <c r="N168" s="608">
        <f t="shared" ref="N168" si="150">K168-L168</f>
        <v>0</v>
      </c>
      <c r="O168" s="608">
        <f t="shared" ref="O168" si="151">ROUND(I168/H168*L168-I168,2)</f>
        <v>0</v>
      </c>
      <c r="P168" s="608">
        <f t="shared" ref="P168" si="152">ROUND(I168/H168*K168-I168-O168,2)</f>
        <v>0</v>
      </c>
      <c r="Q168" s="609">
        <f t="shared" ref="Q168:Q172" si="153">M168+N168+O168+P168</f>
        <v>195</v>
      </c>
      <c r="R168" s="609">
        <f>Q168*J168</f>
        <v>195</v>
      </c>
      <c r="S168" s="609">
        <f t="shared" ref="S168:S172" si="154">R168*12</f>
        <v>2340</v>
      </c>
      <c r="T168" s="609">
        <f t="shared" ref="T168:T172" si="155">ROUND(S168*0.2409,2)</f>
        <v>563.71</v>
      </c>
      <c r="U168" s="610">
        <f t="shared" ref="U168" si="156">SUM(S168:T168)</f>
        <v>2903.71</v>
      </c>
      <c r="V168" s="611"/>
      <c r="W168" s="611"/>
      <c r="X168" s="611"/>
      <c r="Y168" s="616"/>
      <c r="Z168" s="805"/>
      <c r="AA168" s="806"/>
      <c r="AB168" s="806"/>
      <c r="AC168" s="841"/>
      <c r="AD168" s="581"/>
      <c r="AE168" s="824"/>
      <c r="AF168" s="824"/>
      <c r="AG168" s="824"/>
      <c r="AH168" s="824"/>
      <c r="AI168" s="824"/>
      <c r="AJ168" s="824"/>
      <c r="AK168" s="824"/>
      <c r="AL168" s="824"/>
      <c r="AM168" s="824"/>
      <c r="AN168" s="824"/>
      <c r="AO168" s="616"/>
      <c r="AP168" s="581"/>
      <c r="AQ168" s="581"/>
      <c r="AR168" s="824"/>
      <c r="AS168" s="824"/>
      <c r="AT168" s="824"/>
      <c r="AU168" s="824"/>
      <c r="AV168" s="824"/>
      <c r="AW168" s="824"/>
      <c r="AX168" s="824"/>
      <c r="AY168" s="824"/>
      <c r="AZ168" s="824"/>
      <c r="BA168" s="824"/>
      <c r="BB168" s="616"/>
      <c r="BC168" s="581"/>
      <c r="BD168" s="581"/>
      <c r="BE168" s="581"/>
    </row>
    <row r="169" spans="2:57" x14ac:dyDescent="0.25">
      <c r="B169" s="10" t="s">
        <v>95</v>
      </c>
      <c r="C169" s="6" t="s">
        <v>60</v>
      </c>
      <c r="D169" s="6" t="s">
        <v>41</v>
      </c>
      <c r="E169" s="6">
        <v>9</v>
      </c>
      <c r="F169" s="327" t="s">
        <v>69</v>
      </c>
      <c r="G169" s="350">
        <v>1190</v>
      </c>
      <c r="H169" s="5">
        <v>980</v>
      </c>
      <c r="I169" s="14"/>
      <c r="J169" s="428">
        <v>9</v>
      </c>
      <c r="K169" s="607">
        <f>ROUND(H169*(1+'29_01_H_2020'!$F$14),2)</f>
        <v>1078</v>
      </c>
      <c r="L169" s="608">
        <f t="shared" ref="L169:L172" si="157">IF(K169&lt;=G169,K169,G169)</f>
        <v>1078</v>
      </c>
      <c r="M169" s="608">
        <f t="shared" ref="M169:M172" si="158">L169-H169</f>
        <v>98</v>
      </c>
      <c r="N169" s="608">
        <f t="shared" ref="N169:N172" si="159">K169-L169</f>
        <v>0</v>
      </c>
      <c r="O169" s="608">
        <f t="shared" ref="O169:O172" si="160">ROUND(I169/H169*L169-I169,2)</f>
        <v>0</v>
      </c>
      <c r="P169" s="608">
        <f t="shared" ref="P169:P172" si="161">ROUND(I169/H169*K169-I169-O169,2)</f>
        <v>0</v>
      </c>
      <c r="Q169" s="609">
        <f t="shared" si="153"/>
        <v>98</v>
      </c>
      <c r="R169" s="609">
        <f>Q169*J169</f>
        <v>882</v>
      </c>
      <c r="S169" s="609">
        <f t="shared" si="154"/>
        <v>10584</v>
      </c>
      <c r="T169" s="609">
        <f t="shared" si="155"/>
        <v>2549.69</v>
      </c>
      <c r="U169" s="610">
        <f t="shared" ref="U169:U172" si="162">SUM(S169:T169)</f>
        <v>13133.69</v>
      </c>
      <c r="V169" s="611"/>
      <c r="W169" s="611"/>
      <c r="X169" s="611"/>
      <c r="Y169" s="616"/>
      <c r="Z169" s="805"/>
      <c r="AA169" s="806"/>
      <c r="AB169" s="806"/>
      <c r="AC169" s="841"/>
      <c r="AD169" s="581"/>
      <c r="AE169" s="824"/>
      <c r="AF169" s="824"/>
      <c r="AG169" s="824"/>
      <c r="AH169" s="824"/>
      <c r="AI169" s="824"/>
      <c r="AJ169" s="824"/>
      <c r="AK169" s="824"/>
      <c r="AL169" s="824"/>
      <c r="AM169" s="824"/>
      <c r="AN169" s="824"/>
      <c r="AO169" s="616"/>
      <c r="AP169" s="581"/>
      <c r="AQ169" s="581"/>
      <c r="AR169" s="824"/>
      <c r="AS169" s="824"/>
      <c r="AT169" s="824"/>
      <c r="AU169" s="824"/>
      <c r="AV169" s="824"/>
      <c r="AW169" s="824"/>
      <c r="AX169" s="824"/>
      <c r="AY169" s="824"/>
      <c r="AZ169" s="824"/>
      <c r="BA169" s="824"/>
      <c r="BB169" s="616"/>
      <c r="BC169" s="581"/>
      <c r="BD169" s="581"/>
      <c r="BE169" s="581"/>
    </row>
    <row r="170" spans="2:57" x14ac:dyDescent="0.25">
      <c r="B170" s="10" t="s">
        <v>531</v>
      </c>
      <c r="C170" s="6" t="s">
        <v>60</v>
      </c>
      <c r="D170" s="6" t="s">
        <v>41</v>
      </c>
      <c r="E170" s="6">
        <v>9</v>
      </c>
      <c r="F170" s="327" t="s">
        <v>69</v>
      </c>
      <c r="G170" s="350">
        <v>1190</v>
      </c>
      <c r="H170" s="5">
        <v>890</v>
      </c>
      <c r="I170" s="14"/>
      <c r="J170" s="428">
        <v>2</v>
      </c>
      <c r="K170" s="607">
        <f>ROUND(H170*(1+'29_01_H_2020'!$F$14),2)</f>
        <v>979</v>
      </c>
      <c r="L170" s="608">
        <f t="shared" si="157"/>
        <v>979</v>
      </c>
      <c r="M170" s="608">
        <f t="shared" si="158"/>
        <v>89</v>
      </c>
      <c r="N170" s="608">
        <f t="shared" si="159"/>
        <v>0</v>
      </c>
      <c r="O170" s="608">
        <f t="shared" si="160"/>
        <v>0</v>
      </c>
      <c r="P170" s="608">
        <f t="shared" si="161"/>
        <v>0</v>
      </c>
      <c r="Q170" s="609">
        <f t="shared" si="153"/>
        <v>89</v>
      </c>
      <c r="R170" s="609">
        <f>Q170*J170</f>
        <v>178</v>
      </c>
      <c r="S170" s="609">
        <f t="shared" si="154"/>
        <v>2136</v>
      </c>
      <c r="T170" s="609">
        <f t="shared" si="155"/>
        <v>514.55999999999995</v>
      </c>
      <c r="U170" s="610">
        <f t="shared" si="162"/>
        <v>2650.56</v>
      </c>
      <c r="V170" s="611"/>
      <c r="W170" s="611"/>
      <c r="X170" s="611"/>
      <c r="Y170" s="616"/>
      <c r="Z170" s="805"/>
      <c r="AA170" s="806"/>
      <c r="AB170" s="806"/>
      <c r="AC170" s="581"/>
      <c r="AD170" s="581"/>
      <c r="AE170" s="824"/>
      <c r="AF170" s="824"/>
      <c r="AG170" s="824"/>
      <c r="AH170" s="824"/>
      <c r="AI170" s="824"/>
      <c r="AJ170" s="824"/>
      <c r="AK170" s="824"/>
      <c r="AL170" s="824"/>
      <c r="AM170" s="824"/>
      <c r="AN170" s="824"/>
      <c r="AO170" s="616"/>
      <c r="AP170" s="581"/>
      <c r="AQ170" s="581"/>
      <c r="AR170" s="824"/>
      <c r="AS170" s="824"/>
      <c r="AT170" s="824"/>
      <c r="AU170" s="824"/>
      <c r="AV170" s="824"/>
      <c r="AW170" s="824"/>
      <c r="AX170" s="824"/>
      <c r="AY170" s="824"/>
      <c r="AZ170" s="824"/>
      <c r="BA170" s="824"/>
      <c r="BB170" s="616"/>
      <c r="BC170" s="581"/>
      <c r="BD170" s="581"/>
      <c r="BE170" s="581"/>
    </row>
    <row r="171" spans="2:57" x14ac:dyDescent="0.25">
      <c r="B171" s="10" t="s">
        <v>95</v>
      </c>
      <c r="C171" s="6" t="s">
        <v>60</v>
      </c>
      <c r="D171" s="6" t="s">
        <v>41</v>
      </c>
      <c r="E171" s="6">
        <v>9</v>
      </c>
      <c r="F171" s="327" t="s">
        <v>69</v>
      </c>
      <c r="G171" s="350">
        <v>1190</v>
      </c>
      <c r="H171" s="5">
        <v>760</v>
      </c>
      <c r="I171" s="14"/>
      <c r="J171" s="428">
        <v>1</v>
      </c>
      <c r="K171" s="607">
        <f>ROUND(H171*(1+'29_01_H_2020'!$F$14),2)</f>
        <v>836</v>
      </c>
      <c r="L171" s="608">
        <f t="shared" si="157"/>
        <v>836</v>
      </c>
      <c r="M171" s="608">
        <f t="shared" si="158"/>
        <v>76</v>
      </c>
      <c r="N171" s="608">
        <f t="shared" si="159"/>
        <v>0</v>
      </c>
      <c r="O171" s="608">
        <f t="shared" si="160"/>
        <v>0</v>
      </c>
      <c r="P171" s="608">
        <f t="shared" si="161"/>
        <v>0</v>
      </c>
      <c r="Q171" s="609">
        <f t="shared" si="153"/>
        <v>76</v>
      </c>
      <c r="R171" s="609">
        <f>Q171*J171</f>
        <v>76</v>
      </c>
      <c r="S171" s="609">
        <f t="shared" si="154"/>
        <v>912</v>
      </c>
      <c r="T171" s="609">
        <f t="shared" si="155"/>
        <v>219.7</v>
      </c>
      <c r="U171" s="610">
        <f t="shared" si="162"/>
        <v>1131.7</v>
      </c>
      <c r="V171" s="611"/>
      <c r="W171" s="611"/>
      <c r="X171" s="611"/>
      <c r="Y171" s="616"/>
      <c r="Z171" s="805"/>
      <c r="AA171" s="806"/>
      <c r="AB171" s="806"/>
      <c r="AC171" s="581"/>
      <c r="AD171" s="581"/>
      <c r="AE171" s="824"/>
      <c r="AF171" s="824"/>
      <c r="AG171" s="824"/>
      <c r="AH171" s="824"/>
      <c r="AI171" s="824"/>
      <c r="AJ171" s="824"/>
      <c r="AK171" s="824"/>
      <c r="AL171" s="824"/>
      <c r="AM171" s="824"/>
      <c r="AN171" s="824"/>
      <c r="AO171" s="616"/>
      <c r="AP171" s="581"/>
      <c r="AQ171" s="581"/>
      <c r="AR171" s="824"/>
      <c r="AS171" s="824"/>
      <c r="AT171" s="824"/>
      <c r="AU171" s="824"/>
      <c r="AV171" s="824"/>
      <c r="AW171" s="824"/>
      <c r="AX171" s="824"/>
      <c r="AY171" s="824"/>
      <c r="AZ171" s="824"/>
      <c r="BA171" s="824"/>
      <c r="BB171" s="616"/>
      <c r="BC171" s="581"/>
      <c r="BD171" s="581"/>
      <c r="BE171" s="581"/>
    </row>
    <row r="172" spans="2:57" x14ac:dyDescent="0.25">
      <c r="B172" s="10" t="s">
        <v>96</v>
      </c>
      <c r="C172" s="11" t="s">
        <v>75</v>
      </c>
      <c r="D172" s="11" t="s">
        <v>41</v>
      </c>
      <c r="E172" s="327" t="s">
        <v>85</v>
      </c>
      <c r="F172" s="327" t="s">
        <v>69</v>
      </c>
      <c r="G172" s="350">
        <v>1190</v>
      </c>
      <c r="H172" s="15">
        <v>930</v>
      </c>
      <c r="I172" s="15"/>
      <c r="J172" s="430">
        <v>3</v>
      </c>
      <c r="K172" s="607">
        <f>ROUND(H172*(1+'29_01_H_2020'!$F$14),2)</f>
        <v>1023</v>
      </c>
      <c r="L172" s="608">
        <f t="shared" si="157"/>
        <v>1023</v>
      </c>
      <c r="M172" s="608">
        <f t="shared" si="158"/>
        <v>93</v>
      </c>
      <c r="N172" s="608">
        <f t="shared" si="159"/>
        <v>0</v>
      </c>
      <c r="O172" s="608">
        <f t="shared" si="160"/>
        <v>0</v>
      </c>
      <c r="P172" s="608">
        <f t="shared" si="161"/>
        <v>0</v>
      </c>
      <c r="Q172" s="609">
        <f t="shared" si="153"/>
        <v>93</v>
      </c>
      <c r="R172" s="609">
        <f>Q172*J172</f>
        <v>279</v>
      </c>
      <c r="S172" s="609">
        <f t="shared" si="154"/>
        <v>3348</v>
      </c>
      <c r="T172" s="609">
        <f t="shared" si="155"/>
        <v>806.53</v>
      </c>
      <c r="U172" s="610">
        <f t="shared" si="162"/>
        <v>4154.53</v>
      </c>
      <c r="V172" s="611"/>
      <c r="W172" s="611"/>
      <c r="X172" s="611"/>
      <c r="Y172" s="616"/>
      <c r="Z172" s="805"/>
      <c r="AA172" s="806"/>
      <c r="AB172" s="806"/>
      <c r="AC172" s="581"/>
      <c r="AD172" s="581"/>
      <c r="AE172" s="824"/>
      <c r="AF172" s="824"/>
      <c r="AG172" s="824"/>
      <c r="AH172" s="824"/>
      <c r="AI172" s="824"/>
      <c r="AJ172" s="824"/>
      <c r="AK172" s="824"/>
      <c r="AL172" s="824"/>
      <c r="AM172" s="824"/>
      <c r="AN172" s="824"/>
      <c r="AO172" s="616"/>
      <c r="AP172" s="581"/>
      <c r="AQ172" s="581"/>
      <c r="AR172" s="824"/>
      <c r="AS172" s="824"/>
      <c r="AT172" s="824"/>
      <c r="AU172" s="824"/>
      <c r="AV172" s="824"/>
      <c r="AW172" s="824"/>
      <c r="AX172" s="824"/>
      <c r="AY172" s="824"/>
      <c r="AZ172" s="824"/>
      <c r="BA172" s="824"/>
      <c r="BB172" s="616"/>
      <c r="BC172" s="581"/>
      <c r="BD172" s="581"/>
      <c r="BE172" s="581"/>
    </row>
    <row r="173" spans="2:57" ht="15.75" thickBot="1" x14ac:dyDescent="0.3">
      <c r="B173" s="688" t="s">
        <v>55</v>
      </c>
      <c r="C173" s="618" t="s">
        <v>52</v>
      </c>
      <c r="D173" s="619" t="s">
        <v>52</v>
      </c>
      <c r="E173" s="619" t="s">
        <v>52</v>
      </c>
      <c r="F173" s="619" t="s">
        <v>52</v>
      </c>
      <c r="G173" s="620" t="s">
        <v>52</v>
      </c>
      <c r="H173" s="620" t="s">
        <v>52</v>
      </c>
      <c r="I173" s="620" t="s">
        <v>52</v>
      </c>
      <c r="J173" s="375">
        <f>SUM(J168:J172)</f>
        <v>16</v>
      </c>
      <c r="K173" s="848"/>
      <c r="L173" s="849"/>
      <c r="M173" s="849"/>
      <c r="N173" s="849"/>
      <c r="O173" s="849"/>
      <c r="P173" s="849"/>
      <c r="Q173" s="631"/>
      <c r="R173" s="631"/>
      <c r="S173" s="631"/>
      <c r="T173" s="631"/>
      <c r="U173" s="632"/>
      <c r="V173" s="581"/>
      <c r="W173" s="581"/>
      <c r="X173" s="581"/>
      <c r="Y173" s="581"/>
      <c r="Z173" s="581"/>
      <c r="AA173" s="581"/>
      <c r="AB173" s="581"/>
      <c r="AC173" s="581"/>
      <c r="AD173" s="581"/>
      <c r="AE173" s="581"/>
      <c r="AF173" s="581"/>
      <c r="AG173" s="581"/>
      <c r="AH173" s="581"/>
      <c r="AI173" s="581"/>
      <c r="AJ173" s="581"/>
      <c r="AK173" s="581"/>
      <c r="AL173" s="581"/>
      <c r="AM173" s="581"/>
      <c r="AN173" s="581"/>
      <c r="AO173" s="581"/>
      <c r="AP173" s="581"/>
      <c r="AQ173" s="581"/>
      <c r="AR173" s="581"/>
      <c r="AS173" s="581"/>
      <c r="AT173" s="581"/>
      <c r="AU173" s="581"/>
      <c r="AV173" s="581"/>
      <c r="AW173" s="581"/>
      <c r="AX173" s="581"/>
      <c r="AY173" s="581"/>
      <c r="AZ173" s="581"/>
      <c r="BA173" s="581"/>
      <c r="BB173" s="581"/>
      <c r="BC173" s="581"/>
      <c r="BD173" s="581"/>
      <c r="BE173" s="581"/>
    </row>
    <row r="174" spans="2:57" ht="15.75" thickBot="1" x14ac:dyDescent="0.3">
      <c r="B174" s="812" t="s">
        <v>57</v>
      </c>
      <c r="C174" s="813"/>
      <c r="D174" s="813"/>
      <c r="E174" s="813"/>
      <c r="F174" s="813"/>
      <c r="G174" s="813"/>
      <c r="H174" s="813"/>
      <c r="I174" s="813"/>
      <c r="J174" s="422">
        <f>SUM(J164,J166,J173)</f>
        <v>157</v>
      </c>
      <c r="K174" s="850"/>
      <c r="L174" s="851"/>
      <c r="M174" s="851"/>
      <c r="N174" s="851"/>
      <c r="O174" s="851"/>
      <c r="P174" s="851"/>
      <c r="Q174" s="424"/>
      <c r="R174" s="424"/>
      <c r="S174" s="424"/>
      <c r="T174" s="424"/>
      <c r="U174" s="852">
        <f>SUM(U109:U163,U168:U172)</f>
        <v>272319.24000000011</v>
      </c>
      <c r="V174" s="581"/>
      <c r="W174" s="640"/>
      <c r="X174" s="640"/>
      <c r="Y174" s="581"/>
      <c r="Z174" s="581"/>
      <c r="AA174" s="640"/>
      <c r="AB174" s="640"/>
      <c r="AC174" s="581"/>
      <c r="AD174" s="581"/>
      <c r="AE174" s="581"/>
      <c r="AF174" s="581"/>
      <c r="AG174" s="581"/>
      <c r="AH174" s="581"/>
      <c r="AI174" s="581"/>
      <c r="AJ174" s="581"/>
      <c r="AK174" s="581"/>
      <c r="AL174" s="640"/>
      <c r="AM174" s="640"/>
      <c r="AN174" s="640"/>
      <c r="AO174" s="581"/>
      <c r="AP174" s="581"/>
      <c r="AQ174" s="581"/>
      <c r="AR174" s="581"/>
      <c r="AS174" s="581"/>
      <c r="AT174" s="581"/>
      <c r="AU174" s="581"/>
      <c r="AV174" s="581"/>
      <c r="AW174" s="581"/>
      <c r="AX174" s="581"/>
      <c r="AY174" s="640"/>
      <c r="AZ174" s="640"/>
      <c r="BA174" s="640"/>
      <c r="BB174" s="581"/>
      <c r="BC174" s="581"/>
      <c r="BD174" s="581"/>
      <c r="BE174" s="581"/>
    </row>
    <row r="175" spans="2:57" ht="15.75" thickBot="1" x14ac:dyDescent="0.3">
      <c r="K175" s="580"/>
      <c r="L175" s="580"/>
      <c r="M175" s="580"/>
      <c r="N175" s="580"/>
      <c r="O175" s="580"/>
      <c r="P175" s="580"/>
      <c r="V175" s="581"/>
      <c r="W175" s="641"/>
      <c r="X175" s="640"/>
      <c r="Y175" s="581"/>
      <c r="Z175" s="581"/>
      <c r="AA175" s="581"/>
      <c r="AB175" s="616"/>
      <c r="AC175" s="581"/>
      <c r="AD175" s="581"/>
      <c r="AE175" s="581"/>
      <c r="AF175" s="581"/>
      <c r="AG175" s="581"/>
      <c r="AH175" s="581"/>
      <c r="AI175" s="581"/>
      <c r="AJ175" s="581"/>
      <c r="AK175" s="581"/>
      <c r="AL175" s="581"/>
      <c r="AM175" s="581"/>
      <c r="AN175" s="616"/>
      <c r="AO175" s="581"/>
      <c r="AP175" s="581"/>
      <c r="AQ175" s="581"/>
      <c r="AR175" s="581"/>
      <c r="AS175" s="581"/>
      <c r="AT175" s="581"/>
      <c r="AU175" s="581"/>
      <c r="AV175" s="581"/>
      <c r="AW175" s="581"/>
      <c r="AX175" s="581"/>
      <c r="AY175" s="581"/>
      <c r="AZ175" s="581"/>
      <c r="BA175" s="616"/>
      <c r="BB175" s="581"/>
      <c r="BC175" s="581"/>
      <c r="BD175" s="581"/>
      <c r="BE175" s="581"/>
    </row>
    <row r="176" spans="2:57" x14ac:dyDescent="0.25">
      <c r="B176" s="906" t="s">
        <v>110</v>
      </c>
      <c r="C176" s="907"/>
      <c r="D176" s="907"/>
      <c r="E176" s="907"/>
      <c r="F176" s="907"/>
      <c r="G176" s="907"/>
      <c r="H176" s="907"/>
      <c r="I176" s="907"/>
      <c r="J176" s="908"/>
      <c r="K176" s="853"/>
      <c r="L176" s="854"/>
      <c r="M176" s="854"/>
      <c r="N176" s="854"/>
      <c r="O176" s="854"/>
      <c r="P176" s="854"/>
      <c r="Q176" s="820"/>
      <c r="R176" s="820"/>
      <c r="S176" s="820"/>
      <c r="T176" s="820"/>
      <c r="U176" s="821"/>
      <c r="V176" s="581"/>
      <c r="W176" s="581"/>
      <c r="X176" s="581"/>
      <c r="Y176" s="581"/>
      <c r="Z176" s="581"/>
      <c r="AA176" s="581"/>
      <c r="AB176" s="581"/>
      <c r="AC176" s="581"/>
      <c r="AD176" s="581"/>
      <c r="AE176" s="581"/>
      <c r="AF176" s="581"/>
      <c r="AG176" s="581"/>
      <c r="AH176" s="581"/>
      <c r="AI176" s="581"/>
      <c r="AJ176" s="581"/>
      <c r="AK176" s="581"/>
      <c r="AL176" s="581"/>
      <c r="AM176" s="581"/>
      <c r="AN176" s="581"/>
      <c r="AO176" s="581"/>
      <c r="AP176" s="581"/>
      <c r="AQ176" s="581"/>
      <c r="AR176" s="581"/>
      <c r="AS176" s="581"/>
      <c r="AT176" s="581"/>
      <c r="AU176" s="581"/>
      <c r="AV176" s="581"/>
      <c r="AW176" s="581"/>
      <c r="AX176" s="581"/>
      <c r="AY176" s="581"/>
      <c r="AZ176" s="581"/>
      <c r="BA176" s="581"/>
      <c r="BB176" s="581"/>
      <c r="BC176" s="581"/>
      <c r="BD176" s="581"/>
      <c r="BE176" s="581"/>
    </row>
    <row r="177" spans="2:58" x14ac:dyDescent="0.25">
      <c r="B177" s="909" t="s">
        <v>111</v>
      </c>
      <c r="C177" s="910"/>
      <c r="D177" s="910"/>
      <c r="E177" s="910"/>
      <c r="F177" s="910"/>
      <c r="G177" s="910"/>
      <c r="H177" s="910"/>
      <c r="I177" s="910"/>
      <c r="J177" s="911"/>
      <c r="K177" s="57"/>
      <c r="L177" s="855"/>
      <c r="M177" s="855"/>
      <c r="N177" s="855"/>
      <c r="O177" s="855"/>
      <c r="P177" s="855"/>
      <c r="Q177" s="668"/>
      <c r="R177" s="668"/>
      <c r="S177" s="668"/>
      <c r="T177" s="668"/>
      <c r="U177" s="856"/>
      <c r="V177" s="581"/>
      <c r="W177" s="581"/>
      <c r="X177" s="581"/>
      <c r="Y177" s="581"/>
      <c r="Z177" s="581"/>
      <c r="AA177" s="581"/>
      <c r="AB177" s="581"/>
      <c r="AC177" s="581"/>
      <c r="AD177" s="581"/>
      <c r="AE177" s="581"/>
      <c r="AF177" s="581"/>
      <c r="AG177" s="581"/>
      <c r="AH177" s="581"/>
      <c r="AI177" s="581"/>
      <c r="AJ177" s="581"/>
      <c r="AK177" s="581"/>
      <c r="AL177" s="581"/>
      <c r="AM177" s="581"/>
      <c r="AN177" s="581"/>
      <c r="AO177" s="581"/>
      <c r="AP177" s="581"/>
      <c r="AQ177" s="581"/>
      <c r="AR177" s="581"/>
      <c r="AS177" s="581"/>
      <c r="AT177" s="581"/>
      <c r="AU177" s="581"/>
      <c r="AV177" s="581"/>
      <c r="AW177" s="581"/>
      <c r="AX177" s="581"/>
      <c r="AY177" s="581"/>
      <c r="AZ177" s="581"/>
      <c r="BA177" s="581"/>
      <c r="BB177" s="581"/>
      <c r="BC177" s="581"/>
      <c r="BD177" s="581"/>
      <c r="BE177" s="581"/>
      <c r="BF177" s="581"/>
    </row>
    <row r="178" spans="2:58" x14ac:dyDescent="0.25">
      <c r="B178" s="912" t="s">
        <v>10</v>
      </c>
      <c r="C178" s="913"/>
      <c r="D178" s="913"/>
      <c r="E178" s="913"/>
      <c r="F178" s="913"/>
      <c r="G178" s="913"/>
      <c r="H178" s="913"/>
      <c r="I178" s="913"/>
      <c r="J178" s="914"/>
      <c r="K178" s="844"/>
      <c r="L178" s="845"/>
      <c r="M178" s="845"/>
      <c r="N178" s="845"/>
      <c r="O178" s="845"/>
      <c r="P178" s="845"/>
      <c r="Q178" s="603"/>
      <c r="R178" s="603"/>
      <c r="S178" s="603"/>
      <c r="T178" s="603"/>
      <c r="U178" s="604"/>
      <c r="V178" s="581"/>
      <c r="W178" s="581"/>
      <c r="X178" s="581"/>
      <c r="Y178" s="581"/>
      <c r="Z178" s="581"/>
      <c r="AA178" s="581"/>
      <c r="AB178" s="581"/>
      <c r="AC178" s="581"/>
      <c r="AD178" s="581"/>
      <c r="AE178" s="581"/>
      <c r="AF178" s="581"/>
      <c r="AG178" s="581"/>
      <c r="AH178" s="581"/>
      <c r="AI178" s="581"/>
      <c r="AJ178" s="581"/>
      <c r="AK178" s="581"/>
      <c r="AL178" s="581"/>
      <c r="AM178" s="581"/>
      <c r="AN178" s="581"/>
      <c r="AO178" s="581"/>
      <c r="AP178" s="581"/>
      <c r="AQ178" s="581"/>
      <c r="AR178" s="581"/>
      <c r="AS178" s="581"/>
      <c r="AT178" s="581"/>
      <c r="AU178" s="581"/>
      <c r="AV178" s="581"/>
      <c r="AW178" s="581"/>
      <c r="AX178" s="581"/>
      <c r="AY178" s="581"/>
      <c r="AZ178" s="581"/>
      <c r="BA178" s="581"/>
      <c r="BB178" s="581"/>
      <c r="BC178" s="581"/>
      <c r="BD178" s="581"/>
      <c r="BE178" s="581"/>
      <c r="BF178" s="581"/>
    </row>
    <row r="179" spans="2:58" ht="25.5" x14ac:dyDescent="0.25">
      <c r="B179" s="395" t="s">
        <v>97</v>
      </c>
      <c r="C179" s="16">
        <v>35</v>
      </c>
      <c r="D179" s="16" t="s">
        <v>16</v>
      </c>
      <c r="E179" s="315">
        <v>12</v>
      </c>
      <c r="F179" s="18">
        <v>3</v>
      </c>
      <c r="G179" s="353">
        <v>1647</v>
      </c>
      <c r="H179" s="383">
        <v>1647</v>
      </c>
      <c r="I179" s="16">
        <v>0</v>
      </c>
      <c r="J179" s="438">
        <v>1</v>
      </c>
      <c r="K179" s="607">
        <f>ROUND(H179*(1+'29_01_H_2020'!$F$14),2)</f>
        <v>1811.7</v>
      </c>
      <c r="L179" s="608">
        <f t="shared" ref="L179" si="163">IF(K179&lt;=G179,K179,G179)</f>
        <v>1647</v>
      </c>
      <c r="M179" s="608">
        <f t="shared" ref="M179" si="164">L179-H179</f>
        <v>0</v>
      </c>
      <c r="N179" s="608">
        <f t="shared" ref="N179" si="165">K179-L179</f>
        <v>164.70000000000005</v>
      </c>
      <c r="O179" s="608">
        <f t="shared" ref="O179" si="166">ROUND(I179/H179*L179-I179,2)</f>
        <v>0</v>
      </c>
      <c r="P179" s="608">
        <f t="shared" ref="P179" si="167">ROUND(I179/H179*K179-I179-O179,2)</f>
        <v>0</v>
      </c>
      <c r="Q179" s="609">
        <f t="shared" ref="Q179:Q242" si="168">M179+N179+O179+P179</f>
        <v>164.70000000000005</v>
      </c>
      <c r="R179" s="609">
        <f t="shared" ref="R179:R210" si="169">Q179*J179</f>
        <v>164.70000000000005</v>
      </c>
      <c r="S179" s="609">
        <f t="shared" ref="S179:S242" si="170">R179*12</f>
        <v>1976.4000000000005</v>
      </c>
      <c r="T179" s="609">
        <f t="shared" ref="T179:T242" si="171">ROUND(S179*0.2409,2)</f>
        <v>476.11</v>
      </c>
      <c r="U179" s="610">
        <f t="shared" ref="U179" si="172">SUM(S179:T179)</f>
        <v>2452.5100000000007</v>
      </c>
      <c r="V179" s="611"/>
      <c r="W179" s="611"/>
      <c r="X179" s="611"/>
      <c r="Y179" s="616"/>
      <c r="Z179" s="805"/>
      <c r="AA179" s="806"/>
      <c r="AB179" s="806"/>
      <c r="AC179" s="581"/>
      <c r="AD179" s="581"/>
      <c r="AE179" s="824"/>
      <c r="AF179" s="824"/>
      <c r="AG179" s="824"/>
      <c r="AH179" s="824"/>
      <c r="AI179" s="824"/>
      <c r="AJ179" s="824"/>
      <c r="AK179" s="824"/>
      <c r="AL179" s="824"/>
      <c r="AM179" s="824"/>
      <c r="AN179" s="824"/>
      <c r="AO179" s="616"/>
      <c r="AP179" s="581"/>
      <c r="AQ179" s="581"/>
      <c r="AR179" s="824"/>
      <c r="AS179" s="824"/>
      <c r="AT179" s="824"/>
      <c r="AU179" s="824"/>
      <c r="AV179" s="824"/>
      <c r="AW179" s="824"/>
      <c r="AX179" s="824"/>
      <c r="AY179" s="824"/>
      <c r="AZ179" s="824"/>
      <c r="BA179" s="824"/>
      <c r="BB179" s="616"/>
      <c r="BC179" s="581"/>
      <c r="BD179" s="581"/>
      <c r="BE179" s="581"/>
      <c r="BF179" s="581"/>
    </row>
    <row r="180" spans="2:58" ht="25.5" x14ac:dyDescent="0.25">
      <c r="B180" s="395" t="s">
        <v>98</v>
      </c>
      <c r="C180" s="16">
        <v>35</v>
      </c>
      <c r="D180" s="16" t="s">
        <v>20</v>
      </c>
      <c r="E180" s="315">
        <v>11</v>
      </c>
      <c r="F180" s="18">
        <v>3</v>
      </c>
      <c r="G180" s="353">
        <v>1382</v>
      </c>
      <c r="H180" s="383">
        <v>1382</v>
      </c>
      <c r="I180" s="16">
        <v>0</v>
      </c>
      <c r="J180" s="438">
        <v>1</v>
      </c>
      <c r="K180" s="607">
        <f>ROUND(H180*(1+'29_01_H_2020'!$F$14),2)</f>
        <v>1520.2</v>
      </c>
      <c r="L180" s="608">
        <f t="shared" ref="L180:L243" si="173">IF(K180&lt;=G180,K180,G180)</f>
        <v>1382</v>
      </c>
      <c r="M180" s="608">
        <f t="shared" ref="M180:M243" si="174">L180-H180</f>
        <v>0</v>
      </c>
      <c r="N180" s="608">
        <f t="shared" ref="N180:N243" si="175">K180-L180</f>
        <v>138.20000000000005</v>
      </c>
      <c r="O180" s="608">
        <f t="shared" ref="O180:O243" si="176">ROUND(I180/H180*L180-I180,2)</f>
        <v>0</v>
      </c>
      <c r="P180" s="608">
        <f t="shared" ref="P180:P243" si="177">ROUND(I180/H180*K180-I180-O180,2)</f>
        <v>0</v>
      </c>
      <c r="Q180" s="609">
        <f t="shared" si="168"/>
        <v>138.20000000000005</v>
      </c>
      <c r="R180" s="609">
        <f t="shared" si="169"/>
        <v>138.20000000000005</v>
      </c>
      <c r="S180" s="609">
        <f t="shared" si="170"/>
        <v>1658.4000000000005</v>
      </c>
      <c r="T180" s="609">
        <f t="shared" si="171"/>
        <v>399.51</v>
      </c>
      <c r="U180" s="610">
        <f t="shared" ref="U180:U243" si="178">SUM(S180:T180)</f>
        <v>2057.9100000000008</v>
      </c>
      <c r="V180" s="611"/>
      <c r="W180" s="611"/>
      <c r="X180" s="611"/>
      <c r="Y180" s="616"/>
      <c r="Z180" s="805"/>
      <c r="AA180" s="806"/>
      <c r="AB180" s="806"/>
      <c r="AC180" s="581"/>
      <c r="AD180" s="581"/>
      <c r="AE180" s="824"/>
      <c r="AF180" s="824"/>
      <c r="AG180" s="824"/>
      <c r="AH180" s="824"/>
      <c r="AI180" s="824"/>
      <c r="AJ180" s="824"/>
      <c r="AK180" s="824"/>
      <c r="AL180" s="824"/>
      <c r="AM180" s="824"/>
      <c r="AN180" s="824"/>
      <c r="AO180" s="616"/>
      <c r="AP180" s="581"/>
      <c r="AQ180" s="581"/>
      <c r="AR180" s="824"/>
      <c r="AS180" s="824"/>
      <c r="AT180" s="824"/>
      <c r="AU180" s="824"/>
      <c r="AV180" s="824"/>
      <c r="AW180" s="824"/>
      <c r="AX180" s="824"/>
      <c r="AY180" s="824"/>
      <c r="AZ180" s="824"/>
      <c r="BA180" s="824"/>
      <c r="BB180" s="616"/>
      <c r="BC180" s="581"/>
      <c r="BD180" s="581"/>
      <c r="BE180" s="581"/>
      <c r="BF180" s="581"/>
    </row>
    <row r="181" spans="2:58" ht="25.5" x14ac:dyDescent="0.25">
      <c r="B181" s="395" t="s">
        <v>99</v>
      </c>
      <c r="C181" s="16">
        <v>35</v>
      </c>
      <c r="D181" s="16" t="s">
        <v>25</v>
      </c>
      <c r="E181" s="315">
        <v>10</v>
      </c>
      <c r="F181" s="18">
        <v>3</v>
      </c>
      <c r="G181" s="353">
        <v>1287</v>
      </c>
      <c r="H181" s="383">
        <v>1000</v>
      </c>
      <c r="I181" s="16">
        <v>0</v>
      </c>
      <c r="J181" s="438">
        <v>1</v>
      </c>
      <c r="K181" s="607">
        <f>ROUND(H181*(1+'29_01_H_2020'!$F$14),2)</f>
        <v>1100</v>
      </c>
      <c r="L181" s="608">
        <f t="shared" si="173"/>
        <v>1100</v>
      </c>
      <c r="M181" s="608">
        <f t="shared" si="174"/>
        <v>100</v>
      </c>
      <c r="N181" s="608">
        <f t="shared" si="175"/>
        <v>0</v>
      </c>
      <c r="O181" s="608">
        <f t="shared" si="176"/>
        <v>0</v>
      </c>
      <c r="P181" s="608">
        <f t="shared" si="177"/>
        <v>0</v>
      </c>
      <c r="Q181" s="609">
        <f t="shared" si="168"/>
        <v>100</v>
      </c>
      <c r="R181" s="609">
        <f t="shared" si="169"/>
        <v>100</v>
      </c>
      <c r="S181" s="609">
        <f t="shared" si="170"/>
        <v>1200</v>
      </c>
      <c r="T181" s="609">
        <f t="shared" si="171"/>
        <v>289.08</v>
      </c>
      <c r="U181" s="610">
        <f t="shared" si="178"/>
        <v>1489.08</v>
      </c>
      <c r="V181" s="611"/>
      <c r="W181" s="611"/>
      <c r="X181" s="611"/>
      <c r="Y181" s="616"/>
      <c r="Z181" s="805"/>
      <c r="AA181" s="806"/>
      <c r="AB181" s="806"/>
      <c r="AC181" s="857"/>
      <c r="AD181" s="581"/>
      <c r="AE181" s="824"/>
      <c r="AF181" s="824"/>
      <c r="AG181" s="824"/>
      <c r="AH181" s="824"/>
      <c r="AI181" s="824"/>
      <c r="AJ181" s="824"/>
      <c r="AK181" s="824"/>
      <c r="AL181" s="824"/>
      <c r="AM181" s="824"/>
      <c r="AN181" s="824"/>
      <c r="AO181" s="616"/>
      <c r="AP181" s="581"/>
      <c r="AQ181" s="581"/>
      <c r="AR181" s="824"/>
      <c r="AS181" s="824"/>
      <c r="AT181" s="824"/>
      <c r="AU181" s="824"/>
      <c r="AV181" s="824"/>
      <c r="AW181" s="824"/>
      <c r="AX181" s="824"/>
      <c r="AY181" s="824"/>
      <c r="AZ181" s="824"/>
      <c r="BA181" s="824"/>
      <c r="BB181" s="616"/>
      <c r="BC181" s="581"/>
      <c r="BD181" s="581"/>
      <c r="BE181" s="581"/>
      <c r="BF181" s="581"/>
    </row>
    <row r="182" spans="2:58" x14ac:dyDescent="0.25">
      <c r="B182" s="395" t="s">
        <v>100</v>
      </c>
      <c r="C182" s="16">
        <v>35</v>
      </c>
      <c r="D182" s="16" t="s">
        <v>25</v>
      </c>
      <c r="E182" s="315">
        <v>10</v>
      </c>
      <c r="F182" s="18">
        <v>3</v>
      </c>
      <c r="G182" s="353">
        <v>1287</v>
      </c>
      <c r="H182" s="383">
        <v>1193</v>
      </c>
      <c r="I182" s="16">
        <v>0</v>
      </c>
      <c r="J182" s="438">
        <v>1</v>
      </c>
      <c r="K182" s="607">
        <f>ROUND(H182*(1+'29_01_H_2020'!$F$14),2)</f>
        <v>1312.3</v>
      </c>
      <c r="L182" s="608">
        <f t="shared" si="173"/>
        <v>1287</v>
      </c>
      <c r="M182" s="608">
        <f t="shared" si="174"/>
        <v>94</v>
      </c>
      <c r="N182" s="608">
        <f t="shared" si="175"/>
        <v>25.299999999999955</v>
      </c>
      <c r="O182" s="608">
        <f t="shared" si="176"/>
        <v>0</v>
      </c>
      <c r="P182" s="608">
        <f t="shared" si="177"/>
        <v>0</v>
      </c>
      <c r="Q182" s="609">
        <f t="shared" si="168"/>
        <v>119.29999999999995</v>
      </c>
      <c r="R182" s="609">
        <f t="shared" si="169"/>
        <v>119.29999999999995</v>
      </c>
      <c r="S182" s="609">
        <f t="shared" si="170"/>
        <v>1431.5999999999995</v>
      </c>
      <c r="T182" s="609">
        <f t="shared" si="171"/>
        <v>344.87</v>
      </c>
      <c r="U182" s="610">
        <f t="shared" si="178"/>
        <v>1776.4699999999993</v>
      </c>
      <c r="V182" s="611"/>
      <c r="W182" s="611"/>
      <c r="X182" s="611"/>
      <c r="Y182" s="616"/>
      <c r="Z182" s="805"/>
      <c r="AA182" s="806"/>
      <c r="AB182" s="806"/>
      <c r="AC182" s="581"/>
      <c r="AD182" s="581"/>
      <c r="AE182" s="824"/>
      <c r="AF182" s="824"/>
      <c r="AG182" s="824"/>
      <c r="AH182" s="824"/>
      <c r="AI182" s="824"/>
      <c r="AJ182" s="824"/>
      <c r="AK182" s="824"/>
      <c r="AL182" s="824"/>
      <c r="AM182" s="824"/>
      <c r="AN182" s="824"/>
      <c r="AO182" s="616"/>
      <c r="AP182" s="581"/>
      <c r="AQ182" s="581"/>
      <c r="AR182" s="824"/>
      <c r="AS182" s="824"/>
      <c r="AT182" s="824"/>
      <c r="AU182" s="824"/>
      <c r="AV182" s="824"/>
      <c r="AW182" s="824"/>
      <c r="AX182" s="824"/>
      <c r="AY182" s="824"/>
      <c r="AZ182" s="824"/>
      <c r="BA182" s="824"/>
      <c r="BB182" s="616"/>
      <c r="BC182" s="581"/>
      <c r="BD182" s="581"/>
      <c r="BE182" s="581"/>
      <c r="BF182" s="581"/>
    </row>
    <row r="183" spans="2:58" x14ac:dyDescent="0.25">
      <c r="B183" s="395" t="s">
        <v>101</v>
      </c>
      <c r="C183" s="16">
        <v>35</v>
      </c>
      <c r="D183" s="16" t="s">
        <v>41</v>
      </c>
      <c r="E183" s="315">
        <v>9</v>
      </c>
      <c r="F183" s="18">
        <v>3</v>
      </c>
      <c r="G183" s="353">
        <v>1190</v>
      </c>
      <c r="H183" s="383">
        <v>1190</v>
      </c>
      <c r="I183" s="16">
        <v>0</v>
      </c>
      <c r="J183" s="438">
        <v>1</v>
      </c>
      <c r="K183" s="607">
        <f>ROUND(H183*(1+'29_01_H_2020'!$F$14),2)</f>
        <v>1309</v>
      </c>
      <c r="L183" s="608">
        <f t="shared" si="173"/>
        <v>1190</v>
      </c>
      <c r="M183" s="608">
        <f t="shared" si="174"/>
        <v>0</v>
      </c>
      <c r="N183" s="608">
        <f t="shared" si="175"/>
        <v>119</v>
      </c>
      <c r="O183" s="608">
        <f t="shared" si="176"/>
        <v>0</v>
      </c>
      <c r="P183" s="608">
        <f t="shared" si="177"/>
        <v>0</v>
      </c>
      <c r="Q183" s="609">
        <f t="shared" si="168"/>
        <v>119</v>
      </c>
      <c r="R183" s="609">
        <f t="shared" si="169"/>
        <v>119</v>
      </c>
      <c r="S183" s="609">
        <f t="shared" si="170"/>
        <v>1428</v>
      </c>
      <c r="T183" s="609">
        <f t="shared" si="171"/>
        <v>344.01</v>
      </c>
      <c r="U183" s="610">
        <f t="shared" si="178"/>
        <v>1772.01</v>
      </c>
      <c r="V183" s="611"/>
      <c r="W183" s="611"/>
      <c r="X183" s="611"/>
      <c r="Y183" s="616"/>
      <c r="Z183" s="805"/>
      <c r="AA183" s="806"/>
      <c r="AB183" s="806"/>
      <c r="AC183" s="581"/>
      <c r="AD183" s="581"/>
      <c r="AE183" s="824"/>
      <c r="AF183" s="824"/>
      <c r="AG183" s="824"/>
      <c r="AH183" s="824"/>
      <c r="AI183" s="824"/>
      <c r="AJ183" s="824"/>
      <c r="AK183" s="824"/>
      <c r="AL183" s="824"/>
      <c r="AM183" s="824"/>
      <c r="AN183" s="824"/>
      <c r="AO183" s="616"/>
      <c r="AP183" s="581"/>
      <c r="AQ183" s="581"/>
      <c r="AR183" s="824"/>
      <c r="AS183" s="824"/>
      <c r="AT183" s="824"/>
      <c r="AU183" s="824"/>
      <c r="AV183" s="824"/>
      <c r="AW183" s="824"/>
      <c r="AX183" s="824"/>
      <c r="AY183" s="824"/>
      <c r="AZ183" s="824"/>
      <c r="BA183" s="824"/>
      <c r="BB183" s="616"/>
      <c r="BC183" s="581"/>
      <c r="BD183" s="581"/>
      <c r="BE183" s="581"/>
      <c r="BF183" s="581"/>
    </row>
    <row r="184" spans="2:58" x14ac:dyDescent="0.25">
      <c r="B184" s="395" t="s">
        <v>101</v>
      </c>
      <c r="C184" s="16">
        <v>35</v>
      </c>
      <c r="D184" s="16" t="s">
        <v>41</v>
      </c>
      <c r="E184" s="315">
        <v>9</v>
      </c>
      <c r="F184" s="18">
        <v>3</v>
      </c>
      <c r="G184" s="353">
        <v>1190</v>
      </c>
      <c r="H184" s="383">
        <v>1190</v>
      </c>
      <c r="I184" s="16">
        <v>0</v>
      </c>
      <c r="J184" s="438">
        <v>1</v>
      </c>
      <c r="K184" s="607">
        <f>ROUND(H184*(1+'29_01_H_2020'!$F$14),2)</f>
        <v>1309</v>
      </c>
      <c r="L184" s="608">
        <f t="shared" si="173"/>
        <v>1190</v>
      </c>
      <c r="M184" s="608">
        <f t="shared" si="174"/>
        <v>0</v>
      </c>
      <c r="N184" s="608">
        <f t="shared" si="175"/>
        <v>119</v>
      </c>
      <c r="O184" s="608">
        <f t="shared" si="176"/>
        <v>0</v>
      </c>
      <c r="P184" s="608">
        <f t="shared" si="177"/>
        <v>0</v>
      </c>
      <c r="Q184" s="609">
        <f t="shared" si="168"/>
        <v>119</v>
      </c>
      <c r="R184" s="609">
        <f t="shared" si="169"/>
        <v>119</v>
      </c>
      <c r="S184" s="609">
        <f t="shared" si="170"/>
        <v>1428</v>
      </c>
      <c r="T184" s="609">
        <f t="shared" si="171"/>
        <v>344.01</v>
      </c>
      <c r="U184" s="610">
        <f t="shared" si="178"/>
        <v>1772.01</v>
      </c>
      <c r="V184" s="611"/>
      <c r="W184" s="611"/>
      <c r="X184" s="611"/>
      <c r="Y184" s="616"/>
      <c r="Z184" s="805"/>
      <c r="AA184" s="806"/>
      <c r="AB184" s="806"/>
      <c r="AC184" s="581"/>
      <c r="AD184" s="581"/>
      <c r="AE184" s="824"/>
      <c r="AF184" s="824"/>
      <c r="AG184" s="824"/>
      <c r="AH184" s="824"/>
      <c r="AI184" s="824"/>
      <c r="AJ184" s="824"/>
      <c r="AK184" s="824"/>
      <c r="AL184" s="824"/>
      <c r="AM184" s="824"/>
      <c r="AN184" s="824"/>
      <c r="AO184" s="616"/>
      <c r="AP184" s="581"/>
      <c r="AQ184" s="581"/>
      <c r="AR184" s="824"/>
      <c r="AS184" s="824"/>
      <c r="AT184" s="824"/>
      <c r="AU184" s="824"/>
      <c r="AV184" s="824"/>
      <c r="AW184" s="824"/>
      <c r="AX184" s="824"/>
      <c r="AY184" s="824"/>
      <c r="AZ184" s="824"/>
      <c r="BA184" s="824"/>
      <c r="BB184" s="616"/>
      <c r="BC184" s="581"/>
      <c r="BD184" s="581"/>
      <c r="BE184" s="581"/>
      <c r="BF184" s="581"/>
    </row>
    <row r="185" spans="2:58" x14ac:dyDescent="0.25">
      <c r="B185" s="395" t="s">
        <v>101</v>
      </c>
      <c r="C185" s="16">
        <v>35</v>
      </c>
      <c r="D185" s="16" t="s">
        <v>41</v>
      </c>
      <c r="E185" s="315">
        <v>9</v>
      </c>
      <c r="F185" s="18">
        <v>3</v>
      </c>
      <c r="G185" s="353">
        <v>1190</v>
      </c>
      <c r="H185" s="383">
        <v>1190</v>
      </c>
      <c r="I185" s="16">
        <v>0</v>
      </c>
      <c r="J185" s="438">
        <v>1</v>
      </c>
      <c r="K185" s="607">
        <f>ROUND(H185*(1+'29_01_H_2020'!$F$14),2)</f>
        <v>1309</v>
      </c>
      <c r="L185" s="608">
        <f t="shared" si="173"/>
        <v>1190</v>
      </c>
      <c r="M185" s="608">
        <f t="shared" si="174"/>
        <v>0</v>
      </c>
      <c r="N185" s="608">
        <f t="shared" si="175"/>
        <v>119</v>
      </c>
      <c r="O185" s="608">
        <f t="shared" si="176"/>
        <v>0</v>
      </c>
      <c r="P185" s="608">
        <f t="shared" si="177"/>
        <v>0</v>
      </c>
      <c r="Q185" s="609">
        <f t="shared" si="168"/>
        <v>119</v>
      </c>
      <c r="R185" s="609">
        <f t="shared" si="169"/>
        <v>119</v>
      </c>
      <c r="S185" s="609">
        <f t="shared" si="170"/>
        <v>1428</v>
      </c>
      <c r="T185" s="609">
        <f t="shared" si="171"/>
        <v>344.01</v>
      </c>
      <c r="U185" s="610">
        <f t="shared" si="178"/>
        <v>1772.01</v>
      </c>
      <c r="V185" s="611"/>
      <c r="W185" s="611"/>
      <c r="X185" s="611"/>
      <c r="Y185" s="616"/>
      <c r="Z185" s="805"/>
      <c r="AA185" s="806"/>
      <c r="AB185" s="806"/>
      <c r="AC185" s="581"/>
      <c r="AD185" s="581"/>
      <c r="AE185" s="824"/>
      <c r="AF185" s="824"/>
      <c r="AG185" s="824"/>
      <c r="AH185" s="824"/>
      <c r="AI185" s="824"/>
      <c r="AJ185" s="824"/>
      <c r="AK185" s="824"/>
      <c r="AL185" s="824"/>
      <c r="AM185" s="824"/>
      <c r="AN185" s="824"/>
      <c r="AO185" s="616"/>
      <c r="AP185" s="581"/>
      <c r="AQ185" s="581"/>
      <c r="AR185" s="824"/>
      <c r="AS185" s="824"/>
      <c r="AT185" s="824"/>
      <c r="AU185" s="824"/>
      <c r="AV185" s="824"/>
      <c r="AW185" s="824"/>
      <c r="AX185" s="824"/>
      <c r="AY185" s="824"/>
      <c r="AZ185" s="824"/>
      <c r="BA185" s="824"/>
      <c r="BB185" s="616"/>
      <c r="BC185" s="581"/>
      <c r="BD185" s="581"/>
      <c r="BE185" s="581"/>
      <c r="BF185" s="581"/>
    </row>
    <row r="186" spans="2:58" x14ac:dyDescent="0.25">
      <c r="B186" s="395" t="s">
        <v>101</v>
      </c>
      <c r="C186" s="16">
        <v>35</v>
      </c>
      <c r="D186" s="16" t="s">
        <v>41</v>
      </c>
      <c r="E186" s="315">
        <v>9</v>
      </c>
      <c r="F186" s="18">
        <v>3</v>
      </c>
      <c r="G186" s="353">
        <v>1190</v>
      </c>
      <c r="H186" s="383">
        <v>1190</v>
      </c>
      <c r="I186" s="16">
        <v>0</v>
      </c>
      <c r="J186" s="438">
        <v>1</v>
      </c>
      <c r="K186" s="607">
        <f>ROUND(H186*(1+'29_01_H_2020'!$F$14),2)</f>
        <v>1309</v>
      </c>
      <c r="L186" s="608">
        <f t="shared" si="173"/>
        <v>1190</v>
      </c>
      <c r="M186" s="608">
        <f t="shared" si="174"/>
        <v>0</v>
      </c>
      <c r="N186" s="608">
        <f t="shared" si="175"/>
        <v>119</v>
      </c>
      <c r="O186" s="608">
        <f t="shared" si="176"/>
        <v>0</v>
      </c>
      <c r="P186" s="608">
        <f t="shared" si="177"/>
        <v>0</v>
      </c>
      <c r="Q186" s="609">
        <f t="shared" si="168"/>
        <v>119</v>
      </c>
      <c r="R186" s="609">
        <f t="shared" si="169"/>
        <v>119</v>
      </c>
      <c r="S186" s="609">
        <f t="shared" si="170"/>
        <v>1428</v>
      </c>
      <c r="T186" s="609">
        <f t="shared" si="171"/>
        <v>344.01</v>
      </c>
      <c r="U186" s="610">
        <f t="shared" si="178"/>
        <v>1772.01</v>
      </c>
      <c r="V186" s="611"/>
      <c r="W186" s="611"/>
      <c r="X186" s="611"/>
      <c r="Y186" s="616"/>
      <c r="Z186" s="805"/>
      <c r="AA186" s="806"/>
      <c r="AB186" s="806"/>
      <c r="AC186" s="581"/>
      <c r="AD186" s="581"/>
      <c r="AE186" s="824"/>
      <c r="AF186" s="824"/>
      <c r="AG186" s="824"/>
      <c r="AH186" s="824"/>
      <c r="AI186" s="824"/>
      <c r="AJ186" s="824"/>
      <c r="AK186" s="824"/>
      <c r="AL186" s="824"/>
      <c r="AM186" s="824"/>
      <c r="AN186" s="824"/>
      <c r="AO186" s="616"/>
      <c r="AP186" s="581"/>
      <c r="AQ186" s="581"/>
      <c r="AR186" s="824"/>
      <c r="AS186" s="824"/>
      <c r="AT186" s="824"/>
      <c r="AU186" s="824"/>
      <c r="AV186" s="824"/>
      <c r="AW186" s="824"/>
      <c r="AX186" s="824"/>
      <c r="AY186" s="824"/>
      <c r="AZ186" s="824"/>
      <c r="BA186" s="824"/>
      <c r="BB186" s="616"/>
      <c r="BC186" s="581"/>
      <c r="BD186" s="581"/>
      <c r="BE186" s="581"/>
      <c r="BF186" s="581"/>
    </row>
    <row r="187" spans="2:58" x14ac:dyDescent="0.25">
      <c r="B187" s="395" t="s">
        <v>101</v>
      </c>
      <c r="C187" s="16">
        <v>35</v>
      </c>
      <c r="D187" s="16" t="s">
        <v>41</v>
      </c>
      <c r="E187" s="315">
        <v>9</v>
      </c>
      <c r="F187" s="18">
        <v>3</v>
      </c>
      <c r="G187" s="353">
        <v>1190</v>
      </c>
      <c r="H187" s="383">
        <v>1190</v>
      </c>
      <c r="I187" s="16">
        <v>0</v>
      </c>
      <c r="J187" s="438">
        <v>1</v>
      </c>
      <c r="K187" s="607">
        <f>ROUND(H187*(1+'29_01_H_2020'!$F$14),2)</f>
        <v>1309</v>
      </c>
      <c r="L187" s="608">
        <f t="shared" si="173"/>
        <v>1190</v>
      </c>
      <c r="M187" s="608">
        <f t="shared" si="174"/>
        <v>0</v>
      </c>
      <c r="N187" s="608">
        <f t="shared" si="175"/>
        <v>119</v>
      </c>
      <c r="O187" s="608">
        <f t="shared" si="176"/>
        <v>0</v>
      </c>
      <c r="P187" s="608">
        <f t="shared" si="177"/>
        <v>0</v>
      </c>
      <c r="Q187" s="609">
        <f t="shared" si="168"/>
        <v>119</v>
      </c>
      <c r="R187" s="609">
        <f t="shared" si="169"/>
        <v>119</v>
      </c>
      <c r="S187" s="609">
        <f t="shared" si="170"/>
        <v>1428</v>
      </c>
      <c r="T187" s="609">
        <f t="shared" si="171"/>
        <v>344.01</v>
      </c>
      <c r="U187" s="610">
        <f t="shared" si="178"/>
        <v>1772.01</v>
      </c>
      <c r="V187" s="611"/>
      <c r="W187" s="611"/>
      <c r="X187" s="611"/>
      <c r="Y187" s="616"/>
      <c r="Z187" s="805"/>
      <c r="AA187" s="806"/>
      <c r="AB187" s="806"/>
      <c r="AC187" s="581"/>
      <c r="AD187" s="581"/>
      <c r="AE187" s="824"/>
      <c r="AF187" s="824"/>
      <c r="AG187" s="824"/>
      <c r="AH187" s="824"/>
      <c r="AI187" s="824"/>
      <c r="AJ187" s="824"/>
      <c r="AK187" s="824"/>
      <c r="AL187" s="824"/>
      <c r="AM187" s="824"/>
      <c r="AN187" s="824"/>
      <c r="AO187" s="616"/>
      <c r="AP187" s="581"/>
      <c r="AQ187" s="581"/>
      <c r="AR187" s="824"/>
      <c r="AS187" s="824"/>
      <c r="AT187" s="824"/>
      <c r="AU187" s="824"/>
      <c r="AV187" s="824"/>
      <c r="AW187" s="824"/>
      <c r="AX187" s="824"/>
      <c r="AY187" s="824"/>
      <c r="AZ187" s="824"/>
      <c r="BA187" s="824"/>
      <c r="BB187" s="616"/>
      <c r="BC187" s="581"/>
      <c r="BD187" s="581"/>
      <c r="BE187" s="581"/>
      <c r="BF187" s="581"/>
    </row>
    <row r="188" spans="2:58" x14ac:dyDescent="0.25">
      <c r="B188" s="395" t="s">
        <v>101</v>
      </c>
      <c r="C188" s="16">
        <v>35</v>
      </c>
      <c r="D188" s="16" t="s">
        <v>41</v>
      </c>
      <c r="E188" s="315">
        <v>9</v>
      </c>
      <c r="F188" s="18">
        <v>3</v>
      </c>
      <c r="G188" s="353">
        <v>1190</v>
      </c>
      <c r="H188" s="383">
        <v>950</v>
      </c>
      <c r="I188" s="16">
        <v>0</v>
      </c>
      <c r="J188" s="438">
        <v>1</v>
      </c>
      <c r="K188" s="607">
        <f>ROUND(H188*(1+'29_01_H_2020'!$F$14),2)</f>
        <v>1045</v>
      </c>
      <c r="L188" s="608">
        <f t="shared" si="173"/>
        <v>1045</v>
      </c>
      <c r="M188" s="608">
        <f t="shared" si="174"/>
        <v>95</v>
      </c>
      <c r="N188" s="608">
        <f t="shared" si="175"/>
        <v>0</v>
      </c>
      <c r="O188" s="608">
        <f t="shared" si="176"/>
        <v>0</v>
      </c>
      <c r="P188" s="608">
        <f t="shared" si="177"/>
        <v>0</v>
      </c>
      <c r="Q188" s="609">
        <f t="shared" si="168"/>
        <v>95</v>
      </c>
      <c r="R188" s="609">
        <f t="shared" si="169"/>
        <v>95</v>
      </c>
      <c r="S188" s="609">
        <f t="shared" si="170"/>
        <v>1140</v>
      </c>
      <c r="T188" s="609">
        <f t="shared" si="171"/>
        <v>274.63</v>
      </c>
      <c r="U188" s="610">
        <f t="shared" si="178"/>
        <v>1414.63</v>
      </c>
      <c r="V188" s="611"/>
      <c r="W188" s="611"/>
      <c r="X188" s="611"/>
      <c r="Y188" s="616"/>
      <c r="Z188" s="805"/>
      <c r="AA188" s="806"/>
      <c r="AB188" s="806"/>
      <c r="AC188" s="581"/>
      <c r="AD188" s="581"/>
      <c r="AE188" s="824"/>
      <c r="AF188" s="824"/>
      <c r="AG188" s="824"/>
      <c r="AH188" s="824"/>
      <c r="AI188" s="824"/>
      <c r="AJ188" s="824"/>
      <c r="AK188" s="824"/>
      <c r="AL188" s="824"/>
      <c r="AM188" s="824"/>
      <c r="AN188" s="824"/>
      <c r="AO188" s="616"/>
      <c r="AP188" s="581"/>
      <c r="AQ188" s="581"/>
      <c r="AR188" s="824"/>
      <c r="AS188" s="824"/>
      <c r="AT188" s="824"/>
      <c r="AU188" s="824"/>
      <c r="AV188" s="824"/>
      <c r="AW188" s="824"/>
      <c r="AX188" s="824"/>
      <c r="AY188" s="824"/>
      <c r="AZ188" s="824"/>
      <c r="BA188" s="824"/>
      <c r="BB188" s="616"/>
      <c r="BC188" s="581"/>
      <c r="BD188" s="581"/>
      <c r="BE188" s="581"/>
      <c r="BF188" s="581"/>
    </row>
    <row r="189" spans="2:58" x14ac:dyDescent="0.25">
      <c r="B189" s="395" t="s">
        <v>101</v>
      </c>
      <c r="C189" s="16">
        <v>36</v>
      </c>
      <c r="D189" s="16" t="s">
        <v>41</v>
      </c>
      <c r="E189" s="315">
        <v>9</v>
      </c>
      <c r="F189" s="18">
        <v>3</v>
      </c>
      <c r="G189" s="353">
        <v>1190</v>
      </c>
      <c r="H189" s="383">
        <v>1140</v>
      </c>
      <c r="I189" s="16">
        <v>0</v>
      </c>
      <c r="J189" s="438">
        <v>1</v>
      </c>
      <c r="K189" s="607">
        <f>ROUND(H189*(1+'29_01_H_2020'!$F$14),2)</f>
        <v>1254</v>
      </c>
      <c r="L189" s="608">
        <f t="shared" si="173"/>
        <v>1190</v>
      </c>
      <c r="M189" s="608">
        <f t="shared" si="174"/>
        <v>50</v>
      </c>
      <c r="N189" s="608">
        <f t="shared" si="175"/>
        <v>64</v>
      </c>
      <c r="O189" s="608">
        <f t="shared" si="176"/>
        <v>0</v>
      </c>
      <c r="P189" s="608">
        <f t="shared" si="177"/>
        <v>0</v>
      </c>
      <c r="Q189" s="609">
        <f t="shared" si="168"/>
        <v>114</v>
      </c>
      <c r="R189" s="609">
        <f t="shared" si="169"/>
        <v>114</v>
      </c>
      <c r="S189" s="609">
        <f t="shared" si="170"/>
        <v>1368</v>
      </c>
      <c r="T189" s="609">
        <f t="shared" si="171"/>
        <v>329.55</v>
      </c>
      <c r="U189" s="610">
        <f t="shared" si="178"/>
        <v>1697.55</v>
      </c>
      <c r="V189" s="611"/>
      <c r="W189" s="611"/>
      <c r="X189" s="611"/>
      <c r="Y189" s="616"/>
      <c r="Z189" s="805"/>
      <c r="AA189" s="806"/>
      <c r="AB189" s="806"/>
      <c r="AC189" s="581"/>
      <c r="AD189" s="581"/>
      <c r="AE189" s="824"/>
      <c r="AF189" s="824"/>
      <c r="AG189" s="824"/>
      <c r="AH189" s="824"/>
      <c r="AI189" s="824"/>
      <c r="AJ189" s="824"/>
      <c r="AK189" s="824"/>
      <c r="AL189" s="824"/>
      <c r="AM189" s="824"/>
      <c r="AN189" s="824"/>
      <c r="AO189" s="616"/>
      <c r="AP189" s="581"/>
      <c r="AQ189" s="581"/>
      <c r="AR189" s="824"/>
      <c r="AS189" s="824"/>
      <c r="AT189" s="824"/>
      <c r="AU189" s="824"/>
      <c r="AV189" s="824"/>
      <c r="AW189" s="824"/>
      <c r="AX189" s="824"/>
      <c r="AY189" s="824"/>
      <c r="AZ189" s="824"/>
      <c r="BA189" s="824"/>
      <c r="BB189" s="616"/>
      <c r="BC189" s="581"/>
      <c r="BD189" s="581"/>
      <c r="BE189" s="581"/>
      <c r="BF189" s="581"/>
    </row>
    <row r="190" spans="2:58" x14ac:dyDescent="0.25">
      <c r="B190" s="395" t="s">
        <v>101</v>
      </c>
      <c r="C190" s="16">
        <v>35</v>
      </c>
      <c r="D190" s="16" t="s">
        <v>41</v>
      </c>
      <c r="E190" s="315">
        <v>9</v>
      </c>
      <c r="F190" s="18">
        <v>3</v>
      </c>
      <c r="G190" s="353">
        <v>1190</v>
      </c>
      <c r="H190" s="383">
        <v>1140</v>
      </c>
      <c r="I190" s="16">
        <v>0</v>
      </c>
      <c r="J190" s="438">
        <v>1</v>
      </c>
      <c r="K190" s="607">
        <f>ROUND(H190*(1+'29_01_H_2020'!$F$14),2)</f>
        <v>1254</v>
      </c>
      <c r="L190" s="608">
        <f t="shared" si="173"/>
        <v>1190</v>
      </c>
      <c r="M190" s="608">
        <f t="shared" si="174"/>
        <v>50</v>
      </c>
      <c r="N190" s="608">
        <f t="shared" si="175"/>
        <v>64</v>
      </c>
      <c r="O190" s="608">
        <f t="shared" si="176"/>
        <v>0</v>
      </c>
      <c r="P190" s="608">
        <f t="shared" si="177"/>
        <v>0</v>
      </c>
      <c r="Q190" s="609">
        <f t="shared" si="168"/>
        <v>114</v>
      </c>
      <c r="R190" s="609">
        <f t="shared" si="169"/>
        <v>114</v>
      </c>
      <c r="S190" s="609">
        <f t="shared" si="170"/>
        <v>1368</v>
      </c>
      <c r="T190" s="609">
        <f t="shared" si="171"/>
        <v>329.55</v>
      </c>
      <c r="U190" s="610">
        <f t="shared" si="178"/>
        <v>1697.55</v>
      </c>
      <c r="V190" s="611"/>
      <c r="W190" s="611"/>
      <c r="X190" s="611"/>
      <c r="Y190" s="616"/>
      <c r="Z190" s="805"/>
      <c r="AA190" s="806"/>
      <c r="AB190" s="806"/>
      <c r="AC190" s="581"/>
      <c r="AD190" s="581"/>
      <c r="AE190" s="824"/>
      <c r="AF190" s="824"/>
      <c r="AG190" s="824"/>
      <c r="AH190" s="824"/>
      <c r="AI190" s="824"/>
      <c r="AJ190" s="824"/>
      <c r="AK190" s="824"/>
      <c r="AL190" s="824"/>
      <c r="AM190" s="824"/>
      <c r="AN190" s="824"/>
      <c r="AO190" s="616"/>
      <c r="AP190" s="581"/>
      <c r="AQ190" s="581"/>
      <c r="AR190" s="824"/>
      <c r="AS190" s="824"/>
      <c r="AT190" s="824"/>
      <c r="AU190" s="824"/>
      <c r="AV190" s="824"/>
      <c r="AW190" s="824"/>
      <c r="AX190" s="824"/>
      <c r="AY190" s="824"/>
      <c r="AZ190" s="824"/>
      <c r="BA190" s="824"/>
      <c r="BB190" s="616"/>
      <c r="BC190" s="581"/>
      <c r="BD190" s="581"/>
      <c r="BE190" s="581"/>
      <c r="BF190" s="581"/>
    </row>
    <row r="191" spans="2:58" x14ac:dyDescent="0.25">
      <c r="B191" s="395" t="s">
        <v>101</v>
      </c>
      <c r="C191" s="16">
        <v>35</v>
      </c>
      <c r="D191" s="16" t="s">
        <v>41</v>
      </c>
      <c r="E191" s="315">
        <v>9</v>
      </c>
      <c r="F191" s="18">
        <v>3</v>
      </c>
      <c r="G191" s="353">
        <v>1190</v>
      </c>
      <c r="H191" s="383">
        <v>1140</v>
      </c>
      <c r="I191" s="16">
        <v>0</v>
      </c>
      <c r="J191" s="438">
        <v>1</v>
      </c>
      <c r="K191" s="607">
        <f>ROUND(H191*(1+'29_01_H_2020'!$F$14),2)</f>
        <v>1254</v>
      </c>
      <c r="L191" s="608">
        <f t="shared" si="173"/>
        <v>1190</v>
      </c>
      <c r="M191" s="608">
        <f t="shared" si="174"/>
        <v>50</v>
      </c>
      <c r="N191" s="608">
        <f t="shared" si="175"/>
        <v>64</v>
      </c>
      <c r="O191" s="608">
        <f t="shared" si="176"/>
        <v>0</v>
      </c>
      <c r="P191" s="608">
        <f t="shared" si="177"/>
        <v>0</v>
      </c>
      <c r="Q191" s="609">
        <f t="shared" si="168"/>
        <v>114</v>
      </c>
      <c r="R191" s="609">
        <f t="shared" si="169"/>
        <v>114</v>
      </c>
      <c r="S191" s="609">
        <f t="shared" si="170"/>
        <v>1368</v>
      </c>
      <c r="T191" s="609">
        <f t="shared" si="171"/>
        <v>329.55</v>
      </c>
      <c r="U191" s="610">
        <f t="shared" si="178"/>
        <v>1697.55</v>
      </c>
      <c r="V191" s="611"/>
      <c r="W191" s="611"/>
      <c r="X191" s="611"/>
      <c r="Y191" s="616"/>
      <c r="Z191" s="805"/>
      <c r="AA191" s="806"/>
      <c r="AB191" s="806"/>
      <c r="AC191" s="581"/>
      <c r="AD191" s="581"/>
      <c r="AE191" s="824"/>
      <c r="AF191" s="824"/>
      <c r="AG191" s="824"/>
      <c r="AH191" s="824"/>
      <c r="AI191" s="824"/>
      <c r="AJ191" s="824"/>
      <c r="AK191" s="824"/>
      <c r="AL191" s="824"/>
      <c r="AM191" s="824"/>
      <c r="AN191" s="824"/>
      <c r="AO191" s="616"/>
      <c r="AP191" s="581"/>
      <c r="AQ191" s="581"/>
      <c r="AR191" s="824"/>
      <c r="AS191" s="824"/>
      <c r="AT191" s="824"/>
      <c r="AU191" s="824"/>
      <c r="AV191" s="824"/>
      <c r="AW191" s="824"/>
      <c r="AX191" s="824"/>
      <c r="AY191" s="824"/>
      <c r="AZ191" s="824"/>
      <c r="BA191" s="824"/>
      <c r="BB191" s="616"/>
      <c r="BC191" s="581"/>
      <c r="BD191" s="581"/>
      <c r="BE191" s="581"/>
      <c r="BF191" s="581"/>
    </row>
    <row r="192" spans="2:58" x14ac:dyDescent="0.25">
      <c r="B192" s="395" t="s">
        <v>83</v>
      </c>
      <c r="C192" s="16">
        <v>18.600000000000001</v>
      </c>
      <c r="D192" s="16" t="s">
        <v>102</v>
      </c>
      <c r="E192" s="315">
        <v>9</v>
      </c>
      <c r="F192" s="18">
        <v>3</v>
      </c>
      <c r="G192" s="353">
        <v>1190</v>
      </c>
      <c r="H192" s="383">
        <v>1190</v>
      </c>
      <c r="I192" s="16">
        <v>0</v>
      </c>
      <c r="J192" s="438">
        <v>1</v>
      </c>
      <c r="K192" s="607">
        <f>ROUND(H192*(1+'29_01_H_2020'!$F$14),2)</f>
        <v>1309</v>
      </c>
      <c r="L192" s="608">
        <f t="shared" si="173"/>
        <v>1190</v>
      </c>
      <c r="M192" s="608">
        <f t="shared" si="174"/>
        <v>0</v>
      </c>
      <c r="N192" s="608">
        <f t="shared" si="175"/>
        <v>119</v>
      </c>
      <c r="O192" s="608">
        <f t="shared" si="176"/>
        <v>0</v>
      </c>
      <c r="P192" s="608">
        <f t="shared" si="177"/>
        <v>0</v>
      </c>
      <c r="Q192" s="609">
        <f t="shared" si="168"/>
        <v>119</v>
      </c>
      <c r="R192" s="609">
        <f t="shared" si="169"/>
        <v>119</v>
      </c>
      <c r="S192" s="609">
        <f t="shared" si="170"/>
        <v>1428</v>
      </c>
      <c r="T192" s="609">
        <f t="shared" si="171"/>
        <v>344.01</v>
      </c>
      <c r="U192" s="610">
        <f t="shared" si="178"/>
        <v>1772.01</v>
      </c>
      <c r="V192" s="611"/>
      <c r="W192" s="611"/>
      <c r="X192" s="611"/>
      <c r="Y192" s="616"/>
      <c r="Z192" s="805"/>
      <c r="AA192" s="806"/>
      <c r="AB192" s="806"/>
      <c r="AC192" s="581"/>
      <c r="AD192" s="581"/>
      <c r="AE192" s="824"/>
      <c r="AF192" s="824"/>
      <c r="AG192" s="824"/>
      <c r="AH192" s="824"/>
      <c r="AI192" s="824"/>
      <c r="AJ192" s="824"/>
      <c r="AK192" s="824"/>
      <c r="AL192" s="824"/>
      <c r="AM192" s="824"/>
      <c r="AN192" s="824"/>
      <c r="AO192" s="616"/>
      <c r="AP192" s="581"/>
      <c r="AQ192" s="581"/>
      <c r="AR192" s="824"/>
      <c r="AS192" s="824"/>
      <c r="AT192" s="824"/>
      <c r="AU192" s="824"/>
      <c r="AV192" s="824"/>
      <c r="AW192" s="824"/>
      <c r="AX192" s="824"/>
      <c r="AY192" s="824"/>
      <c r="AZ192" s="824"/>
      <c r="BA192" s="824"/>
      <c r="BB192" s="616"/>
      <c r="BC192" s="581"/>
      <c r="BD192" s="581"/>
      <c r="BE192" s="581"/>
      <c r="BF192" s="581"/>
    </row>
    <row r="193" spans="2:58" x14ac:dyDescent="0.25">
      <c r="B193" s="395" t="s">
        <v>83</v>
      </c>
      <c r="C193" s="16">
        <v>18.600000000000001</v>
      </c>
      <c r="D193" s="16" t="s">
        <v>102</v>
      </c>
      <c r="E193" s="315">
        <v>9</v>
      </c>
      <c r="F193" s="18">
        <v>3</v>
      </c>
      <c r="G193" s="353">
        <v>1190</v>
      </c>
      <c r="H193" s="383">
        <v>1190</v>
      </c>
      <c r="I193" s="16">
        <v>0</v>
      </c>
      <c r="J193" s="438">
        <v>1</v>
      </c>
      <c r="K193" s="607">
        <f>ROUND(H193*(1+'29_01_H_2020'!$F$14),2)</f>
        <v>1309</v>
      </c>
      <c r="L193" s="608">
        <f t="shared" si="173"/>
        <v>1190</v>
      </c>
      <c r="M193" s="608">
        <f t="shared" si="174"/>
        <v>0</v>
      </c>
      <c r="N193" s="608">
        <f t="shared" si="175"/>
        <v>119</v>
      </c>
      <c r="O193" s="608">
        <f t="shared" si="176"/>
        <v>0</v>
      </c>
      <c r="P193" s="608">
        <f t="shared" si="177"/>
        <v>0</v>
      </c>
      <c r="Q193" s="609">
        <f t="shared" si="168"/>
        <v>119</v>
      </c>
      <c r="R193" s="609">
        <f t="shared" si="169"/>
        <v>119</v>
      </c>
      <c r="S193" s="609">
        <f t="shared" si="170"/>
        <v>1428</v>
      </c>
      <c r="T193" s="609">
        <f t="shared" si="171"/>
        <v>344.01</v>
      </c>
      <c r="U193" s="610">
        <f t="shared" si="178"/>
        <v>1772.01</v>
      </c>
      <c r="V193" s="611"/>
      <c r="W193" s="611"/>
      <c r="X193" s="611"/>
      <c r="Y193" s="616"/>
      <c r="Z193" s="805"/>
      <c r="AA193" s="806"/>
      <c r="AB193" s="806"/>
      <c r="AC193" s="581"/>
      <c r="AD193" s="581"/>
      <c r="AE193" s="824"/>
      <c r="AF193" s="824"/>
      <c r="AG193" s="824"/>
      <c r="AH193" s="824"/>
      <c r="AI193" s="824"/>
      <c r="AJ193" s="824"/>
      <c r="AK193" s="824"/>
      <c r="AL193" s="824"/>
      <c r="AM193" s="824"/>
      <c r="AN193" s="824"/>
      <c r="AO193" s="616"/>
      <c r="AP193" s="581"/>
      <c r="AQ193" s="581"/>
      <c r="AR193" s="824"/>
      <c r="AS193" s="824"/>
      <c r="AT193" s="824"/>
      <c r="AU193" s="824"/>
      <c r="AV193" s="824"/>
      <c r="AW193" s="824"/>
      <c r="AX193" s="824"/>
      <c r="AY193" s="824"/>
      <c r="AZ193" s="824"/>
      <c r="BA193" s="824"/>
      <c r="BB193" s="616"/>
      <c r="BC193" s="581"/>
      <c r="BD193" s="581"/>
      <c r="BE193" s="581"/>
      <c r="BF193" s="581"/>
    </row>
    <row r="194" spans="2:58" x14ac:dyDescent="0.25">
      <c r="B194" s="395" t="s">
        <v>83</v>
      </c>
      <c r="C194" s="16">
        <v>18.600000000000001</v>
      </c>
      <c r="D194" s="16" t="s">
        <v>102</v>
      </c>
      <c r="E194" s="315">
        <v>9</v>
      </c>
      <c r="F194" s="18">
        <v>3</v>
      </c>
      <c r="G194" s="353">
        <v>1190</v>
      </c>
      <c r="H194" s="383">
        <v>1190</v>
      </c>
      <c r="I194" s="16">
        <v>0</v>
      </c>
      <c r="J194" s="438">
        <v>1</v>
      </c>
      <c r="K194" s="607">
        <f>ROUND(H194*(1+'29_01_H_2020'!$F$14),2)</f>
        <v>1309</v>
      </c>
      <c r="L194" s="608">
        <f t="shared" si="173"/>
        <v>1190</v>
      </c>
      <c r="M194" s="608">
        <f t="shared" si="174"/>
        <v>0</v>
      </c>
      <c r="N194" s="608">
        <f t="shared" si="175"/>
        <v>119</v>
      </c>
      <c r="O194" s="608">
        <f t="shared" si="176"/>
        <v>0</v>
      </c>
      <c r="P194" s="608">
        <f t="shared" si="177"/>
        <v>0</v>
      </c>
      <c r="Q194" s="609">
        <f t="shared" si="168"/>
        <v>119</v>
      </c>
      <c r="R194" s="609">
        <f t="shared" si="169"/>
        <v>119</v>
      </c>
      <c r="S194" s="609">
        <f t="shared" si="170"/>
        <v>1428</v>
      </c>
      <c r="T194" s="609">
        <f t="shared" si="171"/>
        <v>344.01</v>
      </c>
      <c r="U194" s="610">
        <f t="shared" si="178"/>
        <v>1772.01</v>
      </c>
      <c r="V194" s="611"/>
      <c r="W194" s="611"/>
      <c r="X194" s="611"/>
      <c r="Y194" s="616"/>
      <c r="Z194" s="805"/>
      <c r="AA194" s="806"/>
      <c r="AB194" s="806"/>
      <c r="AC194" s="581"/>
      <c r="AD194" s="581"/>
      <c r="AE194" s="824"/>
      <c r="AF194" s="824"/>
      <c r="AG194" s="824"/>
      <c r="AH194" s="824"/>
      <c r="AI194" s="824"/>
      <c r="AJ194" s="824"/>
      <c r="AK194" s="824"/>
      <c r="AL194" s="824"/>
      <c r="AM194" s="824"/>
      <c r="AN194" s="824"/>
      <c r="AO194" s="616"/>
      <c r="AP194" s="581"/>
      <c r="AQ194" s="581"/>
      <c r="AR194" s="824"/>
      <c r="AS194" s="824"/>
      <c r="AT194" s="824"/>
      <c r="AU194" s="824"/>
      <c r="AV194" s="824"/>
      <c r="AW194" s="824"/>
      <c r="AX194" s="824"/>
      <c r="AY194" s="824"/>
      <c r="AZ194" s="824"/>
      <c r="BA194" s="824"/>
      <c r="BB194" s="616"/>
      <c r="BC194" s="581"/>
      <c r="BD194" s="581"/>
      <c r="BE194" s="581"/>
      <c r="BF194" s="581"/>
    </row>
    <row r="195" spans="2:58" x14ac:dyDescent="0.25">
      <c r="B195" s="395" t="s">
        <v>83</v>
      </c>
      <c r="C195" s="16">
        <v>18.600000000000001</v>
      </c>
      <c r="D195" s="16" t="s">
        <v>102</v>
      </c>
      <c r="E195" s="315">
        <v>9</v>
      </c>
      <c r="F195" s="18">
        <v>2</v>
      </c>
      <c r="G195" s="353">
        <v>1015</v>
      </c>
      <c r="H195" s="383">
        <v>835</v>
      </c>
      <c r="I195" s="16">
        <v>0</v>
      </c>
      <c r="J195" s="438">
        <v>1</v>
      </c>
      <c r="K195" s="607">
        <f>ROUND(H195*(1+'29_01_H_2020'!$F$14),2)</f>
        <v>918.5</v>
      </c>
      <c r="L195" s="608">
        <f t="shared" si="173"/>
        <v>918.5</v>
      </c>
      <c r="M195" s="608">
        <f t="shared" si="174"/>
        <v>83.5</v>
      </c>
      <c r="N195" s="608">
        <f t="shared" si="175"/>
        <v>0</v>
      </c>
      <c r="O195" s="608">
        <f t="shared" si="176"/>
        <v>0</v>
      </c>
      <c r="P195" s="608">
        <f t="shared" si="177"/>
        <v>0</v>
      </c>
      <c r="Q195" s="609">
        <f t="shared" si="168"/>
        <v>83.5</v>
      </c>
      <c r="R195" s="609">
        <f t="shared" si="169"/>
        <v>83.5</v>
      </c>
      <c r="S195" s="609">
        <f t="shared" si="170"/>
        <v>1002</v>
      </c>
      <c r="T195" s="609">
        <f t="shared" si="171"/>
        <v>241.38</v>
      </c>
      <c r="U195" s="610">
        <f t="shared" si="178"/>
        <v>1243.3800000000001</v>
      </c>
      <c r="V195" s="611"/>
      <c r="W195" s="611"/>
      <c r="X195" s="611"/>
      <c r="Y195" s="616"/>
      <c r="Z195" s="805"/>
      <c r="AA195" s="806"/>
      <c r="AB195" s="806"/>
      <c r="AC195" s="581"/>
      <c r="AD195" s="581"/>
      <c r="AE195" s="824"/>
      <c r="AF195" s="824"/>
      <c r="AG195" s="824"/>
      <c r="AH195" s="824"/>
      <c r="AI195" s="824"/>
      <c r="AJ195" s="824"/>
      <c r="AK195" s="824"/>
      <c r="AL195" s="824"/>
      <c r="AM195" s="824"/>
      <c r="AN195" s="824"/>
      <c r="AO195" s="616"/>
      <c r="AP195" s="581"/>
      <c r="AQ195" s="581"/>
      <c r="AR195" s="824"/>
      <c r="AS195" s="824"/>
      <c r="AT195" s="824"/>
      <c r="AU195" s="824"/>
      <c r="AV195" s="824"/>
      <c r="AW195" s="824"/>
      <c r="AX195" s="824"/>
      <c r="AY195" s="824"/>
      <c r="AZ195" s="824"/>
      <c r="BA195" s="824"/>
      <c r="BB195" s="616"/>
      <c r="BC195" s="581"/>
      <c r="BD195" s="581"/>
      <c r="BE195" s="581"/>
      <c r="BF195" s="581"/>
    </row>
    <row r="196" spans="2:58" x14ac:dyDescent="0.25">
      <c r="B196" s="395" t="s">
        <v>103</v>
      </c>
      <c r="C196" s="16">
        <v>35</v>
      </c>
      <c r="D196" s="16" t="s">
        <v>41</v>
      </c>
      <c r="E196" s="315">
        <v>9</v>
      </c>
      <c r="F196" s="18">
        <v>3</v>
      </c>
      <c r="G196" s="353">
        <v>1190</v>
      </c>
      <c r="H196" s="383">
        <v>991</v>
      </c>
      <c r="I196" s="16">
        <v>0</v>
      </c>
      <c r="J196" s="438">
        <v>1</v>
      </c>
      <c r="K196" s="607">
        <f>ROUND(H196*(1+'29_01_H_2020'!$F$14),2)</f>
        <v>1090.0999999999999</v>
      </c>
      <c r="L196" s="608">
        <f t="shared" si="173"/>
        <v>1090.0999999999999</v>
      </c>
      <c r="M196" s="608">
        <f t="shared" si="174"/>
        <v>99.099999999999909</v>
      </c>
      <c r="N196" s="608">
        <f t="shared" si="175"/>
        <v>0</v>
      </c>
      <c r="O196" s="608">
        <f t="shared" si="176"/>
        <v>0</v>
      </c>
      <c r="P196" s="608">
        <f t="shared" si="177"/>
        <v>0</v>
      </c>
      <c r="Q196" s="609">
        <f t="shared" si="168"/>
        <v>99.099999999999909</v>
      </c>
      <c r="R196" s="609">
        <f t="shared" si="169"/>
        <v>99.099999999999909</v>
      </c>
      <c r="S196" s="609">
        <f t="shared" si="170"/>
        <v>1189.1999999999989</v>
      </c>
      <c r="T196" s="609">
        <f t="shared" si="171"/>
        <v>286.48</v>
      </c>
      <c r="U196" s="610">
        <f t="shared" si="178"/>
        <v>1475.6799999999989</v>
      </c>
      <c r="V196" s="611"/>
      <c r="W196" s="611"/>
      <c r="X196" s="611"/>
      <c r="Y196" s="616"/>
      <c r="Z196" s="805"/>
      <c r="AA196" s="806"/>
      <c r="AB196" s="806"/>
      <c r="AC196" s="581"/>
      <c r="AD196" s="581"/>
      <c r="AE196" s="824"/>
      <c r="AF196" s="824"/>
      <c r="AG196" s="824"/>
      <c r="AH196" s="824"/>
      <c r="AI196" s="824"/>
      <c r="AJ196" s="824"/>
      <c r="AK196" s="824"/>
      <c r="AL196" s="824"/>
      <c r="AM196" s="824"/>
      <c r="AN196" s="824"/>
      <c r="AO196" s="616"/>
      <c r="AP196" s="581"/>
      <c r="AQ196" s="581"/>
      <c r="AR196" s="824"/>
      <c r="AS196" s="824"/>
      <c r="AT196" s="824"/>
      <c r="AU196" s="824"/>
      <c r="AV196" s="824"/>
      <c r="AW196" s="824"/>
      <c r="AX196" s="824"/>
      <c r="AY196" s="824"/>
      <c r="AZ196" s="824"/>
      <c r="BA196" s="824"/>
      <c r="BB196" s="616"/>
      <c r="BC196" s="581"/>
      <c r="BD196" s="581"/>
      <c r="BE196" s="581"/>
      <c r="BF196" s="581"/>
    </row>
    <row r="197" spans="2:58" x14ac:dyDescent="0.25">
      <c r="B197" s="395" t="s">
        <v>103</v>
      </c>
      <c r="C197" s="16">
        <v>35</v>
      </c>
      <c r="D197" s="16" t="s">
        <v>34</v>
      </c>
      <c r="E197" s="315">
        <v>7</v>
      </c>
      <c r="F197" s="18">
        <v>3</v>
      </c>
      <c r="G197" s="353">
        <v>996</v>
      </c>
      <c r="H197" s="383">
        <v>816</v>
      </c>
      <c r="I197" s="16">
        <v>0</v>
      </c>
      <c r="J197" s="438">
        <v>0.75</v>
      </c>
      <c r="K197" s="607">
        <f>ROUND(H197*(1+'29_01_H_2020'!$F$14),2)</f>
        <v>897.6</v>
      </c>
      <c r="L197" s="608">
        <f t="shared" si="173"/>
        <v>897.6</v>
      </c>
      <c r="M197" s="608">
        <f t="shared" si="174"/>
        <v>81.600000000000023</v>
      </c>
      <c r="N197" s="608">
        <f t="shared" si="175"/>
        <v>0</v>
      </c>
      <c r="O197" s="608">
        <f t="shared" si="176"/>
        <v>0</v>
      </c>
      <c r="P197" s="608">
        <f t="shared" si="177"/>
        <v>0</v>
      </c>
      <c r="Q197" s="609">
        <f t="shared" si="168"/>
        <v>81.600000000000023</v>
      </c>
      <c r="R197" s="609">
        <f t="shared" si="169"/>
        <v>61.200000000000017</v>
      </c>
      <c r="S197" s="609">
        <f t="shared" si="170"/>
        <v>734.4000000000002</v>
      </c>
      <c r="T197" s="609">
        <f t="shared" si="171"/>
        <v>176.92</v>
      </c>
      <c r="U197" s="610">
        <f t="shared" si="178"/>
        <v>911.32000000000016</v>
      </c>
      <c r="V197" s="611"/>
      <c r="W197" s="611"/>
      <c r="X197" s="611"/>
      <c r="Y197" s="616"/>
      <c r="Z197" s="805"/>
      <c r="AA197" s="806"/>
      <c r="AB197" s="806"/>
      <c r="AC197" s="581"/>
      <c r="AD197" s="581"/>
      <c r="AE197" s="824"/>
      <c r="AF197" s="824"/>
      <c r="AG197" s="824"/>
      <c r="AH197" s="824"/>
      <c r="AI197" s="824"/>
      <c r="AJ197" s="824"/>
      <c r="AK197" s="824"/>
      <c r="AL197" s="824"/>
      <c r="AM197" s="824"/>
      <c r="AN197" s="824"/>
      <c r="AO197" s="616"/>
      <c r="AP197" s="581"/>
      <c r="AQ197" s="581"/>
      <c r="AR197" s="824"/>
      <c r="AS197" s="824"/>
      <c r="AT197" s="824"/>
      <c r="AU197" s="824"/>
      <c r="AV197" s="824"/>
      <c r="AW197" s="824"/>
      <c r="AX197" s="824"/>
      <c r="AY197" s="824"/>
      <c r="AZ197" s="824"/>
      <c r="BA197" s="824"/>
      <c r="BB197" s="616"/>
      <c r="BC197" s="581"/>
      <c r="BD197" s="581"/>
      <c r="BE197" s="581"/>
      <c r="BF197" s="581"/>
    </row>
    <row r="198" spans="2:58" x14ac:dyDescent="0.25">
      <c r="B198" s="395" t="s">
        <v>104</v>
      </c>
      <c r="C198" s="16">
        <v>18.600000000000001</v>
      </c>
      <c r="D198" s="16" t="s">
        <v>48</v>
      </c>
      <c r="E198" s="315">
        <v>6</v>
      </c>
      <c r="F198" s="18">
        <v>3</v>
      </c>
      <c r="G198" s="353">
        <v>899</v>
      </c>
      <c r="H198" s="383">
        <v>864</v>
      </c>
      <c r="I198" s="16">
        <v>0</v>
      </c>
      <c r="J198" s="438">
        <v>1</v>
      </c>
      <c r="K198" s="607">
        <f>ROUND(H198*(1+'29_01_H_2020'!$F$14),2)</f>
        <v>950.4</v>
      </c>
      <c r="L198" s="608">
        <f t="shared" si="173"/>
        <v>899</v>
      </c>
      <c r="M198" s="608">
        <f t="shared" si="174"/>
        <v>35</v>
      </c>
      <c r="N198" s="608">
        <f t="shared" si="175"/>
        <v>51.399999999999977</v>
      </c>
      <c r="O198" s="608">
        <f t="shared" si="176"/>
        <v>0</v>
      </c>
      <c r="P198" s="608">
        <f t="shared" si="177"/>
        <v>0</v>
      </c>
      <c r="Q198" s="609">
        <f t="shared" si="168"/>
        <v>86.399999999999977</v>
      </c>
      <c r="R198" s="609">
        <f t="shared" si="169"/>
        <v>86.399999999999977</v>
      </c>
      <c r="S198" s="609">
        <f t="shared" si="170"/>
        <v>1036.7999999999997</v>
      </c>
      <c r="T198" s="609">
        <f t="shared" si="171"/>
        <v>249.77</v>
      </c>
      <c r="U198" s="610">
        <f t="shared" si="178"/>
        <v>1286.5699999999997</v>
      </c>
      <c r="V198" s="611"/>
      <c r="W198" s="611"/>
      <c r="X198" s="611"/>
      <c r="Y198" s="616"/>
      <c r="Z198" s="805"/>
      <c r="AA198" s="806"/>
      <c r="AB198" s="806"/>
      <c r="AC198" s="581"/>
      <c r="AD198" s="581"/>
      <c r="AE198" s="824"/>
      <c r="AF198" s="824"/>
      <c r="AG198" s="824"/>
      <c r="AH198" s="824"/>
      <c r="AI198" s="824"/>
      <c r="AJ198" s="824"/>
      <c r="AK198" s="824"/>
      <c r="AL198" s="824"/>
      <c r="AM198" s="824"/>
      <c r="AN198" s="824"/>
      <c r="AO198" s="616"/>
      <c r="AP198" s="581"/>
      <c r="AQ198" s="581"/>
      <c r="AR198" s="824"/>
      <c r="AS198" s="824"/>
      <c r="AT198" s="824"/>
      <c r="AU198" s="824"/>
      <c r="AV198" s="824"/>
      <c r="AW198" s="824"/>
      <c r="AX198" s="824"/>
      <c r="AY198" s="824"/>
      <c r="AZ198" s="824"/>
      <c r="BA198" s="824"/>
      <c r="BB198" s="616"/>
      <c r="BC198" s="581"/>
      <c r="BD198" s="581"/>
      <c r="BE198" s="581"/>
      <c r="BF198" s="581"/>
    </row>
    <row r="199" spans="2:58" ht="25.5" x14ac:dyDescent="0.25">
      <c r="B199" s="395" t="s">
        <v>105</v>
      </c>
      <c r="C199" s="16">
        <v>35</v>
      </c>
      <c r="D199" s="16" t="s">
        <v>20</v>
      </c>
      <c r="E199" s="315">
        <v>11</v>
      </c>
      <c r="F199" s="18">
        <v>3</v>
      </c>
      <c r="G199" s="353">
        <v>1382</v>
      </c>
      <c r="H199" s="383">
        <v>1382</v>
      </c>
      <c r="I199" s="16">
        <v>0</v>
      </c>
      <c r="J199" s="438">
        <v>1</v>
      </c>
      <c r="K199" s="607">
        <f>ROUND(H199*(1+'29_01_H_2020'!$F$14),2)</f>
        <v>1520.2</v>
      </c>
      <c r="L199" s="608">
        <f t="shared" si="173"/>
        <v>1382</v>
      </c>
      <c r="M199" s="608">
        <f t="shared" si="174"/>
        <v>0</v>
      </c>
      <c r="N199" s="608">
        <f t="shared" si="175"/>
        <v>138.20000000000005</v>
      </c>
      <c r="O199" s="608">
        <f t="shared" si="176"/>
        <v>0</v>
      </c>
      <c r="P199" s="608">
        <f t="shared" si="177"/>
        <v>0</v>
      </c>
      <c r="Q199" s="609">
        <f t="shared" si="168"/>
        <v>138.20000000000005</v>
      </c>
      <c r="R199" s="609">
        <f t="shared" si="169"/>
        <v>138.20000000000005</v>
      </c>
      <c r="S199" s="609">
        <f t="shared" si="170"/>
        <v>1658.4000000000005</v>
      </c>
      <c r="T199" s="609">
        <f t="shared" si="171"/>
        <v>399.51</v>
      </c>
      <c r="U199" s="610">
        <f t="shared" si="178"/>
        <v>2057.9100000000008</v>
      </c>
      <c r="V199" s="611"/>
      <c r="W199" s="611"/>
      <c r="X199" s="611"/>
      <c r="Y199" s="616"/>
      <c r="Z199" s="805"/>
      <c r="AA199" s="806"/>
      <c r="AB199" s="806"/>
      <c r="AC199" s="581"/>
      <c r="AD199" s="581"/>
      <c r="AE199" s="824"/>
      <c r="AF199" s="824"/>
      <c r="AG199" s="824"/>
      <c r="AH199" s="824"/>
      <c r="AI199" s="824"/>
      <c r="AJ199" s="824"/>
      <c r="AK199" s="824"/>
      <c r="AL199" s="824"/>
      <c r="AM199" s="824"/>
      <c r="AN199" s="824"/>
      <c r="AO199" s="616"/>
      <c r="AP199" s="581"/>
      <c r="AQ199" s="581"/>
      <c r="AR199" s="824"/>
      <c r="AS199" s="824"/>
      <c r="AT199" s="824"/>
      <c r="AU199" s="824"/>
      <c r="AV199" s="824"/>
      <c r="AW199" s="824"/>
      <c r="AX199" s="824"/>
      <c r="AY199" s="824"/>
      <c r="AZ199" s="824"/>
      <c r="BA199" s="824"/>
      <c r="BB199" s="616"/>
      <c r="BC199" s="581"/>
      <c r="BD199" s="581"/>
      <c r="BE199" s="581"/>
      <c r="BF199" s="581"/>
    </row>
    <row r="200" spans="2:58" x14ac:dyDescent="0.25">
      <c r="B200" s="395" t="s">
        <v>100</v>
      </c>
      <c r="C200" s="16">
        <v>35</v>
      </c>
      <c r="D200" s="16" t="s">
        <v>25</v>
      </c>
      <c r="E200" s="315">
        <v>10</v>
      </c>
      <c r="F200" s="18">
        <v>3</v>
      </c>
      <c r="G200" s="353">
        <v>1287</v>
      </c>
      <c r="H200" s="383">
        <v>1193</v>
      </c>
      <c r="I200" s="16">
        <v>0</v>
      </c>
      <c r="J200" s="438">
        <v>1</v>
      </c>
      <c r="K200" s="607">
        <f>ROUND(H200*(1+'29_01_H_2020'!$F$14),2)</f>
        <v>1312.3</v>
      </c>
      <c r="L200" s="608">
        <f t="shared" si="173"/>
        <v>1287</v>
      </c>
      <c r="M200" s="608">
        <f t="shared" si="174"/>
        <v>94</v>
      </c>
      <c r="N200" s="608">
        <f t="shared" si="175"/>
        <v>25.299999999999955</v>
      </c>
      <c r="O200" s="608">
        <f t="shared" si="176"/>
        <v>0</v>
      </c>
      <c r="P200" s="608">
        <f t="shared" si="177"/>
        <v>0</v>
      </c>
      <c r="Q200" s="609">
        <f t="shared" si="168"/>
        <v>119.29999999999995</v>
      </c>
      <c r="R200" s="609">
        <f t="shared" si="169"/>
        <v>119.29999999999995</v>
      </c>
      <c r="S200" s="609">
        <f t="shared" si="170"/>
        <v>1431.5999999999995</v>
      </c>
      <c r="T200" s="609">
        <f t="shared" si="171"/>
        <v>344.87</v>
      </c>
      <c r="U200" s="610">
        <f t="shared" si="178"/>
        <v>1776.4699999999993</v>
      </c>
      <c r="V200" s="611"/>
      <c r="W200" s="611"/>
      <c r="X200" s="611"/>
      <c r="Y200" s="616"/>
      <c r="Z200" s="805"/>
      <c r="AA200" s="806"/>
      <c r="AB200" s="806"/>
      <c r="AC200" s="581"/>
      <c r="AD200" s="581"/>
      <c r="AE200" s="824"/>
      <c r="AF200" s="824"/>
      <c r="AG200" s="824"/>
      <c r="AH200" s="824"/>
      <c r="AI200" s="824"/>
      <c r="AJ200" s="824"/>
      <c r="AK200" s="824"/>
      <c r="AL200" s="824"/>
      <c r="AM200" s="824"/>
      <c r="AN200" s="824"/>
      <c r="AO200" s="616"/>
      <c r="AP200" s="581"/>
      <c r="AQ200" s="581"/>
      <c r="AR200" s="824"/>
      <c r="AS200" s="824"/>
      <c r="AT200" s="824"/>
      <c r="AU200" s="824"/>
      <c r="AV200" s="824"/>
      <c r="AW200" s="824"/>
      <c r="AX200" s="824"/>
      <c r="AY200" s="824"/>
      <c r="AZ200" s="824"/>
      <c r="BA200" s="824"/>
      <c r="BB200" s="616"/>
      <c r="BC200" s="581"/>
      <c r="BD200" s="581"/>
      <c r="BE200" s="581"/>
      <c r="BF200" s="581"/>
    </row>
    <row r="201" spans="2:58" x14ac:dyDescent="0.25">
      <c r="B201" s="395" t="s">
        <v>101</v>
      </c>
      <c r="C201" s="16">
        <v>35</v>
      </c>
      <c r="D201" s="16" t="s">
        <v>41</v>
      </c>
      <c r="E201" s="315">
        <v>9</v>
      </c>
      <c r="F201" s="18">
        <v>3</v>
      </c>
      <c r="G201" s="353">
        <v>1190</v>
      </c>
      <c r="H201" s="383">
        <v>1140</v>
      </c>
      <c r="I201" s="16">
        <v>0</v>
      </c>
      <c r="J201" s="438">
        <v>1</v>
      </c>
      <c r="K201" s="607">
        <f>ROUND(H201*(1+'29_01_H_2020'!$F$14),2)</f>
        <v>1254</v>
      </c>
      <c r="L201" s="608">
        <f t="shared" si="173"/>
        <v>1190</v>
      </c>
      <c r="M201" s="608">
        <f t="shared" si="174"/>
        <v>50</v>
      </c>
      <c r="N201" s="608">
        <f t="shared" si="175"/>
        <v>64</v>
      </c>
      <c r="O201" s="608">
        <f t="shared" si="176"/>
        <v>0</v>
      </c>
      <c r="P201" s="608">
        <f t="shared" si="177"/>
        <v>0</v>
      </c>
      <c r="Q201" s="609">
        <f t="shared" si="168"/>
        <v>114</v>
      </c>
      <c r="R201" s="609">
        <f t="shared" si="169"/>
        <v>114</v>
      </c>
      <c r="S201" s="609">
        <f t="shared" si="170"/>
        <v>1368</v>
      </c>
      <c r="T201" s="609">
        <f t="shared" si="171"/>
        <v>329.55</v>
      </c>
      <c r="U201" s="610">
        <f t="shared" si="178"/>
        <v>1697.55</v>
      </c>
      <c r="V201" s="611"/>
      <c r="W201" s="611"/>
      <c r="X201" s="611"/>
      <c r="Y201" s="616"/>
      <c r="Z201" s="805"/>
      <c r="AA201" s="806"/>
      <c r="AB201" s="806"/>
      <c r="AC201" s="581"/>
      <c r="AD201" s="581"/>
      <c r="AE201" s="824"/>
      <c r="AF201" s="824"/>
      <c r="AG201" s="824"/>
      <c r="AH201" s="824"/>
      <c r="AI201" s="824"/>
      <c r="AJ201" s="824"/>
      <c r="AK201" s="824"/>
      <c r="AL201" s="824"/>
      <c r="AM201" s="824"/>
      <c r="AN201" s="824"/>
      <c r="AO201" s="616"/>
      <c r="AP201" s="581"/>
      <c r="AQ201" s="581"/>
      <c r="AR201" s="824"/>
      <c r="AS201" s="824"/>
      <c r="AT201" s="824"/>
      <c r="AU201" s="824"/>
      <c r="AV201" s="824"/>
      <c r="AW201" s="824"/>
      <c r="AX201" s="824"/>
      <c r="AY201" s="824"/>
      <c r="AZ201" s="824"/>
      <c r="BA201" s="824"/>
      <c r="BB201" s="616"/>
      <c r="BC201" s="581"/>
      <c r="BD201" s="581"/>
      <c r="BE201" s="581"/>
      <c r="BF201" s="581"/>
    </row>
    <row r="202" spans="2:58" x14ac:dyDescent="0.25">
      <c r="B202" s="395" t="s">
        <v>101</v>
      </c>
      <c r="C202" s="16">
        <v>35</v>
      </c>
      <c r="D202" s="16" t="s">
        <v>41</v>
      </c>
      <c r="E202" s="315">
        <v>9</v>
      </c>
      <c r="F202" s="18">
        <v>3</v>
      </c>
      <c r="G202" s="353">
        <v>1190</v>
      </c>
      <c r="H202" s="383">
        <v>1140</v>
      </c>
      <c r="I202" s="16">
        <v>0</v>
      </c>
      <c r="J202" s="438">
        <v>1</v>
      </c>
      <c r="K202" s="607">
        <f>ROUND(H202*(1+'29_01_H_2020'!$F$14),2)</f>
        <v>1254</v>
      </c>
      <c r="L202" s="608">
        <f t="shared" si="173"/>
        <v>1190</v>
      </c>
      <c r="M202" s="608">
        <f t="shared" si="174"/>
        <v>50</v>
      </c>
      <c r="N202" s="608">
        <f t="shared" si="175"/>
        <v>64</v>
      </c>
      <c r="O202" s="608">
        <f t="shared" si="176"/>
        <v>0</v>
      </c>
      <c r="P202" s="608">
        <f t="shared" si="177"/>
        <v>0</v>
      </c>
      <c r="Q202" s="609">
        <f t="shared" si="168"/>
        <v>114</v>
      </c>
      <c r="R202" s="609">
        <f t="shared" si="169"/>
        <v>114</v>
      </c>
      <c r="S202" s="609">
        <f t="shared" si="170"/>
        <v>1368</v>
      </c>
      <c r="T202" s="609">
        <f t="shared" si="171"/>
        <v>329.55</v>
      </c>
      <c r="U202" s="610">
        <f t="shared" si="178"/>
        <v>1697.55</v>
      </c>
      <c r="V202" s="611"/>
      <c r="W202" s="611"/>
      <c r="X202" s="611"/>
      <c r="Y202" s="616"/>
      <c r="Z202" s="805"/>
      <c r="AA202" s="806"/>
      <c r="AB202" s="806"/>
      <c r="AC202" s="581"/>
      <c r="AD202" s="581"/>
      <c r="AE202" s="824"/>
      <c r="AF202" s="824"/>
      <c r="AG202" s="824"/>
      <c r="AH202" s="824"/>
      <c r="AI202" s="824"/>
      <c r="AJ202" s="824"/>
      <c r="AK202" s="824"/>
      <c r="AL202" s="824"/>
      <c r="AM202" s="824"/>
      <c r="AN202" s="824"/>
      <c r="AO202" s="616"/>
      <c r="AP202" s="581"/>
      <c r="AQ202" s="581"/>
      <c r="AR202" s="824"/>
      <c r="AS202" s="824"/>
      <c r="AT202" s="824"/>
      <c r="AU202" s="824"/>
      <c r="AV202" s="824"/>
      <c r="AW202" s="824"/>
      <c r="AX202" s="824"/>
      <c r="AY202" s="824"/>
      <c r="AZ202" s="824"/>
      <c r="BA202" s="824"/>
      <c r="BB202" s="616"/>
      <c r="BC202" s="581"/>
      <c r="BD202" s="581"/>
      <c r="BE202" s="581"/>
      <c r="BF202" s="581"/>
    </row>
    <row r="203" spans="2:58" x14ac:dyDescent="0.25">
      <c r="B203" s="395" t="s">
        <v>101</v>
      </c>
      <c r="C203" s="16">
        <v>35</v>
      </c>
      <c r="D203" s="16" t="s">
        <v>41</v>
      </c>
      <c r="E203" s="315">
        <v>9</v>
      </c>
      <c r="F203" s="18">
        <v>3</v>
      </c>
      <c r="G203" s="353">
        <v>1190</v>
      </c>
      <c r="H203" s="383">
        <v>1140</v>
      </c>
      <c r="I203" s="16">
        <v>0</v>
      </c>
      <c r="J203" s="438">
        <v>1</v>
      </c>
      <c r="K203" s="607">
        <f>ROUND(H203*(1+'29_01_H_2020'!$F$14),2)</f>
        <v>1254</v>
      </c>
      <c r="L203" s="608">
        <f t="shared" si="173"/>
        <v>1190</v>
      </c>
      <c r="M203" s="608">
        <f t="shared" si="174"/>
        <v>50</v>
      </c>
      <c r="N203" s="608">
        <f t="shared" si="175"/>
        <v>64</v>
      </c>
      <c r="O203" s="608">
        <f t="shared" si="176"/>
        <v>0</v>
      </c>
      <c r="P203" s="608">
        <f t="shared" si="177"/>
        <v>0</v>
      </c>
      <c r="Q203" s="609">
        <f t="shared" si="168"/>
        <v>114</v>
      </c>
      <c r="R203" s="609">
        <f t="shared" si="169"/>
        <v>114</v>
      </c>
      <c r="S203" s="609">
        <f t="shared" si="170"/>
        <v>1368</v>
      </c>
      <c r="T203" s="609">
        <f t="shared" si="171"/>
        <v>329.55</v>
      </c>
      <c r="U203" s="610">
        <f t="shared" si="178"/>
        <v>1697.55</v>
      </c>
      <c r="V203" s="611"/>
      <c r="W203" s="611"/>
      <c r="X203" s="611"/>
      <c r="Y203" s="616"/>
      <c r="Z203" s="805"/>
      <c r="AA203" s="806"/>
      <c r="AB203" s="806"/>
      <c r="AC203" s="581"/>
      <c r="AD203" s="581"/>
      <c r="AE203" s="824"/>
      <c r="AF203" s="824"/>
      <c r="AG203" s="824"/>
      <c r="AH203" s="824"/>
      <c r="AI203" s="824"/>
      <c r="AJ203" s="824"/>
      <c r="AK203" s="824"/>
      <c r="AL203" s="824"/>
      <c r="AM203" s="824"/>
      <c r="AN203" s="824"/>
      <c r="AO203" s="616"/>
      <c r="AP203" s="581"/>
      <c r="AQ203" s="581"/>
      <c r="AR203" s="824"/>
      <c r="AS203" s="824"/>
      <c r="AT203" s="824"/>
      <c r="AU203" s="824"/>
      <c r="AV203" s="824"/>
      <c r="AW203" s="824"/>
      <c r="AX203" s="824"/>
      <c r="AY203" s="824"/>
      <c r="AZ203" s="824"/>
      <c r="BA203" s="824"/>
      <c r="BB203" s="616"/>
      <c r="BC203" s="581"/>
      <c r="BD203" s="581"/>
      <c r="BE203" s="581"/>
      <c r="BF203" s="581"/>
    </row>
    <row r="204" spans="2:58" x14ac:dyDescent="0.25">
      <c r="B204" s="395" t="s">
        <v>101</v>
      </c>
      <c r="C204" s="16">
        <v>35</v>
      </c>
      <c r="D204" s="16" t="s">
        <v>41</v>
      </c>
      <c r="E204" s="315">
        <v>9</v>
      </c>
      <c r="F204" s="18">
        <v>3</v>
      </c>
      <c r="G204" s="353">
        <v>1190</v>
      </c>
      <c r="H204" s="383">
        <v>1140</v>
      </c>
      <c r="I204" s="16">
        <v>0</v>
      </c>
      <c r="J204" s="438">
        <v>1</v>
      </c>
      <c r="K204" s="607">
        <f>ROUND(H204*(1+'29_01_H_2020'!$F$14),2)</f>
        <v>1254</v>
      </c>
      <c r="L204" s="608">
        <f t="shared" si="173"/>
        <v>1190</v>
      </c>
      <c r="M204" s="608">
        <f t="shared" si="174"/>
        <v>50</v>
      </c>
      <c r="N204" s="608">
        <f t="shared" si="175"/>
        <v>64</v>
      </c>
      <c r="O204" s="608">
        <f t="shared" si="176"/>
        <v>0</v>
      </c>
      <c r="P204" s="608">
        <f t="shared" si="177"/>
        <v>0</v>
      </c>
      <c r="Q204" s="609">
        <f t="shared" si="168"/>
        <v>114</v>
      </c>
      <c r="R204" s="609">
        <f t="shared" si="169"/>
        <v>114</v>
      </c>
      <c r="S204" s="609">
        <f t="shared" si="170"/>
        <v>1368</v>
      </c>
      <c r="T204" s="609">
        <f t="shared" si="171"/>
        <v>329.55</v>
      </c>
      <c r="U204" s="610">
        <f t="shared" si="178"/>
        <v>1697.55</v>
      </c>
      <c r="V204" s="611"/>
      <c r="W204" s="611"/>
      <c r="X204" s="611"/>
      <c r="Y204" s="616"/>
      <c r="Z204" s="805"/>
      <c r="AA204" s="806"/>
      <c r="AB204" s="806"/>
      <c r="AC204" s="581"/>
      <c r="AD204" s="581"/>
      <c r="AE204" s="824"/>
      <c r="AF204" s="824"/>
      <c r="AG204" s="824"/>
      <c r="AH204" s="824"/>
      <c r="AI204" s="824"/>
      <c r="AJ204" s="824"/>
      <c r="AK204" s="824"/>
      <c r="AL204" s="824"/>
      <c r="AM204" s="824"/>
      <c r="AN204" s="824"/>
      <c r="AO204" s="616"/>
      <c r="AP204" s="581"/>
      <c r="AQ204" s="581"/>
      <c r="AR204" s="824"/>
      <c r="AS204" s="824"/>
      <c r="AT204" s="824"/>
      <c r="AU204" s="824"/>
      <c r="AV204" s="824"/>
      <c r="AW204" s="824"/>
      <c r="AX204" s="824"/>
      <c r="AY204" s="824"/>
      <c r="AZ204" s="824"/>
      <c r="BA204" s="824"/>
      <c r="BB204" s="616"/>
      <c r="BC204" s="581"/>
      <c r="BD204" s="581"/>
      <c r="BE204" s="581"/>
      <c r="BF204" s="581"/>
    </row>
    <row r="205" spans="2:58" x14ac:dyDescent="0.25">
      <c r="B205" s="395" t="s">
        <v>101</v>
      </c>
      <c r="C205" s="16">
        <v>35</v>
      </c>
      <c r="D205" s="16" t="s">
        <v>41</v>
      </c>
      <c r="E205" s="315">
        <v>9</v>
      </c>
      <c r="F205" s="18">
        <v>3</v>
      </c>
      <c r="G205" s="353">
        <v>1190</v>
      </c>
      <c r="H205" s="383">
        <v>1140</v>
      </c>
      <c r="I205" s="16">
        <v>0</v>
      </c>
      <c r="J205" s="438">
        <v>1</v>
      </c>
      <c r="K205" s="607">
        <f>ROUND(H205*(1+'29_01_H_2020'!$F$14),2)</f>
        <v>1254</v>
      </c>
      <c r="L205" s="608">
        <f t="shared" si="173"/>
        <v>1190</v>
      </c>
      <c r="M205" s="608">
        <f t="shared" si="174"/>
        <v>50</v>
      </c>
      <c r="N205" s="608">
        <f t="shared" si="175"/>
        <v>64</v>
      </c>
      <c r="O205" s="608">
        <f t="shared" si="176"/>
        <v>0</v>
      </c>
      <c r="P205" s="608">
        <f t="shared" si="177"/>
        <v>0</v>
      </c>
      <c r="Q205" s="609">
        <f t="shared" si="168"/>
        <v>114</v>
      </c>
      <c r="R205" s="609">
        <f t="shared" si="169"/>
        <v>114</v>
      </c>
      <c r="S205" s="609">
        <f t="shared" si="170"/>
        <v>1368</v>
      </c>
      <c r="T205" s="609">
        <f t="shared" si="171"/>
        <v>329.55</v>
      </c>
      <c r="U205" s="610">
        <f t="shared" si="178"/>
        <v>1697.55</v>
      </c>
      <c r="V205" s="611"/>
      <c r="W205" s="611"/>
      <c r="X205" s="611"/>
      <c r="Y205" s="616"/>
      <c r="Z205" s="805"/>
      <c r="AA205" s="806"/>
      <c r="AB205" s="806"/>
      <c r="AC205" s="581"/>
      <c r="AD205" s="581"/>
      <c r="AE205" s="824"/>
      <c r="AF205" s="824"/>
      <c r="AG205" s="824"/>
      <c r="AH205" s="824"/>
      <c r="AI205" s="824"/>
      <c r="AJ205" s="824"/>
      <c r="AK205" s="824"/>
      <c r="AL205" s="824"/>
      <c r="AM205" s="824"/>
      <c r="AN205" s="824"/>
      <c r="AO205" s="616"/>
      <c r="AP205" s="581"/>
      <c r="AQ205" s="581"/>
      <c r="AR205" s="824"/>
      <c r="AS205" s="824"/>
      <c r="AT205" s="824"/>
      <c r="AU205" s="824"/>
      <c r="AV205" s="824"/>
      <c r="AW205" s="824"/>
      <c r="AX205" s="824"/>
      <c r="AY205" s="824"/>
      <c r="AZ205" s="824"/>
      <c r="BA205" s="824"/>
      <c r="BB205" s="616"/>
      <c r="BC205" s="581"/>
      <c r="BD205" s="581"/>
      <c r="BE205" s="581"/>
      <c r="BF205" s="581"/>
    </row>
    <row r="206" spans="2:58" x14ac:dyDescent="0.25">
      <c r="B206" s="395" t="s">
        <v>101</v>
      </c>
      <c r="C206" s="16">
        <v>35</v>
      </c>
      <c r="D206" s="16" t="s">
        <v>41</v>
      </c>
      <c r="E206" s="315">
        <v>9</v>
      </c>
      <c r="F206" s="18">
        <v>3</v>
      </c>
      <c r="G206" s="353">
        <v>1190</v>
      </c>
      <c r="H206" s="383">
        <v>1140</v>
      </c>
      <c r="I206" s="16">
        <v>0</v>
      </c>
      <c r="J206" s="438">
        <v>1</v>
      </c>
      <c r="K206" s="607">
        <f>ROUND(H206*(1+'29_01_H_2020'!$F$14),2)</f>
        <v>1254</v>
      </c>
      <c r="L206" s="608">
        <f t="shared" si="173"/>
        <v>1190</v>
      </c>
      <c r="M206" s="608">
        <f t="shared" si="174"/>
        <v>50</v>
      </c>
      <c r="N206" s="608">
        <f t="shared" si="175"/>
        <v>64</v>
      </c>
      <c r="O206" s="608">
        <f t="shared" si="176"/>
        <v>0</v>
      </c>
      <c r="P206" s="608">
        <f t="shared" si="177"/>
        <v>0</v>
      </c>
      <c r="Q206" s="609">
        <f t="shared" si="168"/>
        <v>114</v>
      </c>
      <c r="R206" s="609">
        <f t="shared" si="169"/>
        <v>114</v>
      </c>
      <c r="S206" s="609">
        <f t="shared" si="170"/>
        <v>1368</v>
      </c>
      <c r="T206" s="609">
        <f t="shared" si="171"/>
        <v>329.55</v>
      </c>
      <c r="U206" s="610">
        <f t="shared" si="178"/>
        <v>1697.55</v>
      </c>
      <c r="V206" s="611"/>
      <c r="W206" s="611"/>
      <c r="X206" s="611"/>
      <c r="Y206" s="616"/>
      <c r="Z206" s="805"/>
      <c r="AA206" s="806"/>
      <c r="AB206" s="806"/>
      <c r="AC206" s="581"/>
      <c r="AD206" s="581"/>
      <c r="AE206" s="824"/>
      <c r="AF206" s="824"/>
      <c r="AG206" s="824"/>
      <c r="AH206" s="824"/>
      <c r="AI206" s="824"/>
      <c r="AJ206" s="824"/>
      <c r="AK206" s="824"/>
      <c r="AL206" s="824"/>
      <c r="AM206" s="824"/>
      <c r="AN206" s="824"/>
      <c r="AO206" s="616"/>
      <c r="AP206" s="581"/>
      <c r="AQ206" s="581"/>
      <c r="AR206" s="824"/>
      <c r="AS206" s="824"/>
      <c r="AT206" s="824"/>
      <c r="AU206" s="824"/>
      <c r="AV206" s="824"/>
      <c r="AW206" s="824"/>
      <c r="AX206" s="824"/>
      <c r="AY206" s="824"/>
      <c r="AZ206" s="824"/>
      <c r="BA206" s="824"/>
      <c r="BB206" s="616"/>
      <c r="BC206" s="581"/>
      <c r="BD206" s="581"/>
      <c r="BE206" s="581"/>
      <c r="BF206" s="581"/>
    </row>
    <row r="207" spans="2:58" x14ac:dyDescent="0.25">
      <c r="B207" s="395" t="s">
        <v>101</v>
      </c>
      <c r="C207" s="16">
        <v>35</v>
      </c>
      <c r="D207" s="16" t="s">
        <v>41</v>
      </c>
      <c r="E207" s="315">
        <v>9</v>
      </c>
      <c r="F207" s="18">
        <v>3</v>
      </c>
      <c r="G207" s="353">
        <v>1190</v>
      </c>
      <c r="H207" s="383">
        <v>1140</v>
      </c>
      <c r="I207" s="16">
        <v>0</v>
      </c>
      <c r="J207" s="438">
        <v>1</v>
      </c>
      <c r="K207" s="607">
        <f>ROUND(H207*(1+'29_01_H_2020'!$F$14),2)</f>
        <v>1254</v>
      </c>
      <c r="L207" s="608">
        <f t="shared" si="173"/>
        <v>1190</v>
      </c>
      <c r="M207" s="608">
        <f t="shared" si="174"/>
        <v>50</v>
      </c>
      <c r="N207" s="608">
        <f t="shared" si="175"/>
        <v>64</v>
      </c>
      <c r="O207" s="608">
        <f t="shared" si="176"/>
        <v>0</v>
      </c>
      <c r="P207" s="608">
        <f t="shared" si="177"/>
        <v>0</v>
      </c>
      <c r="Q207" s="609">
        <f t="shared" si="168"/>
        <v>114</v>
      </c>
      <c r="R207" s="609">
        <f t="shared" si="169"/>
        <v>114</v>
      </c>
      <c r="S207" s="609">
        <f t="shared" si="170"/>
        <v>1368</v>
      </c>
      <c r="T207" s="609">
        <f t="shared" si="171"/>
        <v>329.55</v>
      </c>
      <c r="U207" s="610">
        <f t="shared" si="178"/>
        <v>1697.55</v>
      </c>
      <c r="V207" s="611"/>
      <c r="W207" s="611"/>
      <c r="X207" s="611"/>
      <c r="Y207" s="616"/>
      <c r="Z207" s="805"/>
      <c r="AA207" s="806"/>
      <c r="AB207" s="806"/>
      <c r="AC207" s="581"/>
      <c r="AD207" s="581"/>
      <c r="AE207" s="824"/>
      <c r="AF207" s="824"/>
      <c r="AG207" s="824"/>
      <c r="AH207" s="824"/>
      <c r="AI207" s="824"/>
      <c r="AJ207" s="824"/>
      <c r="AK207" s="824"/>
      <c r="AL207" s="824"/>
      <c r="AM207" s="824"/>
      <c r="AN207" s="824"/>
      <c r="AO207" s="616"/>
      <c r="AP207" s="581"/>
      <c r="AQ207" s="581"/>
      <c r="AR207" s="824"/>
      <c r="AS207" s="824"/>
      <c r="AT207" s="824"/>
      <c r="AU207" s="824"/>
      <c r="AV207" s="824"/>
      <c r="AW207" s="824"/>
      <c r="AX207" s="824"/>
      <c r="AY207" s="824"/>
      <c r="AZ207" s="824"/>
      <c r="BA207" s="824"/>
      <c r="BB207" s="616"/>
      <c r="BC207" s="581"/>
      <c r="BD207" s="581"/>
      <c r="BE207" s="581"/>
      <c r="BF207" s="581"/>
    </row>
    <row r="208" spans="2:58" x14ac:dyDescent="0.25">
      <c r="B208" s="395" t="s">
        <v>101</v>
      </c>
      <c r="C208" s="16">
        <v>35</v>
      </c>
      <c r="D208" s="16" t="s">
        <v>41</v>
      </c>
      <c r="E208" s="315">
        <v>9</v>
      </c>
      <c r="F208" s="18">
        <v>3</v>
      </c>
      <c r="G208" s="353">
        <v>1190</v>
      </c>
      <c r="H208" s="383">
        <v>1140</v>
      </c>
      <c r="I208" s="16">
        <v>0</v>
      </c>
      <c r="J208" s="438">
        <v>1</v>
      </c>
      <c r="K208" s="607">
        <f>ROUND(H208*(1+'29_01_H_2020'!$F$14),2)</f>
        <v>1254</v>
      </c>
      <c r="L208" s="608">
        <f t="shared" si="173"/>
        <v>1190</v>
      </c>
      <c r="M208" s="608">
        <f t="shared" si="174"/>
        <v>50</v>
      </c>
      <c r="N208" s="608">
        <f t="shared" si="175"/>
        <v>64</v>
      </c>
      <c r="O208" s="608">
        <f t="shared" si="176"/>
        <v>0</v>
      </c>
      <c r="P208" s="608">
        <f t="shared" si="177"/>
        <v>0</v>
      </c>
      <c r="Q208" s="609">
        <f t="shared" si="168"/>
        <v>114</v>
      </c>
      <c r="R208" s="609">
        <f t="shared" si="169"/>
        <v>114</v>
      </c>
      <c r="S208" s="609">
        <f t="shared" si="170"/>
        <v>1368</v>
      </c>
      <c r="T208" s="609">
        <f t="shared" si="171"/>
        <v>329.55</v>
      </c>
      <c r="U208" s="610">
        <f t="shared" si="178"/>
        <v>1697.55</v>
      </c>
      <c r="V208" s="611"/>
      <c r="W208" s="611"/>
      <c r="X208" s="611"/>
      <c r="Y208" s="616"/>
      <c r="Z208" s="805"/>
      <c r="AA208" s="806"/>
      <c r="AB208" s="806"/>
      <c r="AC208" s="581"/>
      <c r="AD208" s="581"/>
      <c r="AE208" s="824"/>
      <c r="AF208" s="824"/>
      <c r="AG208" s="824"/>
      <c r="AH208" s="824"/>
      <c r="AI208" s="824"/>
      <c r="AJ208" s="824"/>
      <c r="AK208" s="824"/>
      <c r="AL208" s="824"/>
      <c r="AM208" s="824"/>
      <c r="AN208" s="824"/>
      <c r="AO208" s="616"/>
      <c r="AP208" s="581"/>
      <c r="AQ208" s="581"/>
      <c r="AR208" s="824"/>
      <c r="AS208" s="824"/>
      <c r="AT208" s="824"/>
      <c r="AU208" s="824"/>
      <c r="AV208" s="824"/>
      <c r="AW208" s="824"/>
      <c r="AX208" s="824"/>
      <c r="AY208" s="824"/>
      <c r="AZ208" s="824"/>
      <c r="BA208" s="824"/>
      <c r="BB208" s="616"/>
      <c r="BC208" s="581"/>
      <c r="BD208" s="581"/>
      <c r="BE208" s="581"/>
      <c r="BF208" s="581"/>
    </row>
    <row r="209" spans="2:58" x14ac:dyDescent="0.25">
      <c r="B209" s="395" t="s">
        <v>101</v>
      </c>
      <c r="C209" s="16">
        <v>35</v>
      </c>
      <c r="D209" s="16" t="s">
        <v>41</v>
      </c>
      <c r="E209" s="315">
        <v>9</v>
      </c>
      <c r="F209" s="18">
        <v>3</v>
      </c>
      <c r="G209" s="353">
        <v>1190</v>
      </c>
      <c r="H209" s="383">
        <v>1140</v>
      </c>
      <c r="I209" s="16">
        <v>0</v>
      </c>
      <c r="J209" s="438">
        <v>1</v>
      </c>
      <c r="K209" s="607">
        <f>ROUND(H209*(1+'29_01_H_2020'!$F$14),2)</f>
        <v>1254</v>
      </c>
      <c r="L209" s="608">
        <f t="shared" si="173"/>
        <v>1190</v>
      </c>
      <c r="M209" s="608">
        <f t="shared" si="174"/>
        <v>50</v>
      </c>
      <c r="N209" s="608">
        <f t="shared" si="175"/>
        <v>64</v>
      </c>
      <c r="O209" s="608">
        <f t="shared" si="176"/>
        <v>0</v>
      </c>
      <c r="P209" s="608">
        <f t="shared" si="177"/>
        <v>0</v>
      </c>
      <c r="Q209" s="609">
        <f t="shared" si="168"/>
        <v>114</v>
      </c>
      <c r="R209" s="609">
        <f t="shared" si="169"/>
        <v>114</v>
      </c>
      <c r="S209" s="609">
        <f t="shared" si="170"/>
        <v>1368</v>
      </c>
      <c r="T209" s="609">
        <f t="shared" si="171"/>
        <v>329.55</v>
      </c>
      <c r="U209" s="610">
        <f t="shared" si="178"/>
        <v>1697.55</v>
      </c>
      <c r="V209" s="611"/>
      <c r="W209" s="611"/>
      <c r="X209" s="611"/>
      <c r="Y209" s="616"/>
      <c r="Z209" s="805"/>
      <c r="AA209" s="806"/>
      <c r="AB209" s="806"/>
      <c r="AC209" s="581"/>
      <c r="AD209" s="581"/>
      <c r="AE209" s="824"/>
      <c r="AF209" s="824"/>
      <c r="AG209" s="824"/>
      <c r="AH209" s="824"/>
      <c r="AI209" s="824"/>
      <c r="AJ209" s="824"/>
      <c r="AK209" s="824"/>
      <c r="AL209" s="824"/>
      <c r="AM209" s="824"/>
      <c r="AN209" s="824"/>
      <c r="AO209" s="616"/>
      <c r="AP209" s="581"/>
      <c r="AQ209" s="581"/>
      <c r="AR209" s="824"/>
      <c r="AS209" s="824"/>
      <c r="AT209" s="824"/>
      <c r="AU209" s="824"/>
      <c r="AV209" s="824"/>
      <c r="AW209" s="824"/>
      <c r="AX209" s="824"/>
      <c r="AY209" s="824"/>
      <c r="AZ209" s="824"/>
      <c r="BA209" s="824"/>
      <c r="BB209" s="616"/>
      <c r="BC209" s="581"/>
      <c r="BD209" s="581"/>
      <c r="BE209" s="581"/>
      <c r="BF209" s="581"/>
    </row>
    <row r="210" spans="2:58" x14ac:dyDescent="0.25">
      <c r="B210" s="395" t="s">
        <v>101</v>
      </c>
      <c r="C210" s="16">
        <v>35</v>
      </c>
      <c r="D210" s="16" t="s">
        <v>41</v>
      </c>
      <c r="E210" s="315">
        <v>9</v>
      </c>
      <c r="F210" s="18">
        <v>3</v>
      </c>
      <c r="G210" s="353">
        <v>1190</v>
      </c>
      <c r="H210" s="383">
        <v>1140</v>
      </c>
      <c r="I210" s="16">
        <v>0</v>
      </c>
      <c r="J210" s="438">
        <v>1</v>
      </c>
      <c r="K210" s="607">
        <f>ROUND(H210*(1+'29_01_H_2020'!$F$14),2)</f>
        <v>1254</v>
      </c>
      <c r="L210" s="608">
        <f t="shared" si="173"/>
        <v>1190</v>
      </c>
      <c r="M210" s="608">
        <f t="shared" si="174"/>
        <v>50</v>
      </c>
      <c r="N210" s="608">
        <f t="shared" si="175"/>
        <v>64</v>
      </c>
      <c r="O210" s="608">
        <f t="shared" si="176"/>
        <v>0</v>
      </c>
      <c r="P210" s="608">
        <f t="shared" si="177"/>
        <v>0</v>
      </c>
      <c r="Q210" s="609">
        <f t="shared" si="168"/>
        <v>114</v>
      </c>
      <c r="R210" s="609">
        <f t="shared" si="169"/>
        <v>114</v>
      </c>
      <c r="S210" s="609">
        <f t="shared" si="170"/>
        <v>1368</v>
      </c>
      <c r="T210" s="609">
        <f t="shared" si="171"/>
        <v>329.55</v>
      </c>
      <c r="U210" s="610">
        <f t="shared" si="178"/>
        <v>1697.55</v>
      </c>
      <c r="V210" s="611"/>
      <c r="W210" s="611"/>
      <c r="X210" s="611"/>
      <c r="Y210" s="616"/>
      <c r="Z210" s="805"/>
      <c r="AA210" s="806"/>
      <c r="AB210" s="806"/>
      <c r="AC210" s="581"/>
      <c r="AD210" s="581"/>
      <c r="AE210" s="824"/>
      <c r="AF210" s="824"/>
      <c r="AG210" s="824"/>
      <c r="AH210" s="824"/>
      <c r="AI210" s="824"/>
      <c r="AJ210" s="824"/>
      <c r="AK210" s="824"/>
      <c r="AL210" s="824"/>
      <c r="AM210" s="824"/>
      <c r="AN210" s="824"/>
      <c r="AO210" s="616"/>
      <c r="AP210" s="581"/>
      <c r="AQ210" s="581"/>
      <c r="AR210" s="824"/>
      <c r="AS210" s="824"/>
      <c r="AT210" s="824"/>
      <c r="AU210" s="824"/>
      <c r="AV210" s="824"/>
      <c r="AW210" s="824"/>
      <c r="AX210" s="824"/>
      <c r="AY210" s="824"/>
      <c r="AZ210" s="824"/>
      <c r="BA210" s="824"/>
      <c r="BB210" s="616"/>
      <c r="BC210" s="581"/>
      <c r="BD210" s="581"/>
      <c r="BE210" s="581"/>
      <c r="BF210" s="581"/>
    </row>
    <row r="211" spans="2:58" x14ac:dyDescent="0.25">
      <c r="B211" s="395" t="s">
        <v>101</v>
      </c>
      <c r="C211" s="16">
        <v>35</v>
      </c>
      <c r="D211" s="16" t="s">
        <v>41</v>
      </c>
      <c r="E211" s="315">
        <v>9</v>
      </c>
      <c r="F211" s="18">
        <v>3</v>
      </c>
      <c r="G211" s="353">
        <v>1190</v>
      </c>
      <c r="H211" s="383">
        <v>1140</v>
      </c>
      <c r="I211" s="16">
        <v>0</v>
      </c>
      <c r="J211" s="438">
        <v>1</v>
      </c>
      <c r="K211" s="607">
        <f>ROUND(H211*(1+'29_01_H_2020'!$F$14),2)</f>
        <v>1254</v>
      </c>
      <c r="L211" s="608">
        <f t="shared" si="173"/>
        <v>1190</v>
      </c>
      <c r="M211" s="608">
        <f t="shared" si="174"/>
        <v>50</v>
      </c>
      <c r="N211" s="608">
        <f t="shared" si="175"/>
        <v>64</v>
      </c>
      <c r="O211" s="608">
        <f t="shared" si="176"/>
        <v>0</v>
      </c>
      <c r="P211" s="608">
        <f t="shared" si="177"/>
        <v>0</v>
      </c>
      <c r="Q211" s="609">
        <f t="shared" si="168"/>
        <v>114</v>
      </c>
      <c r="R211" s="609">
        <f t="shared" ref="R211:R242" si="179">Q211*J211</f>
        <v>114</v>
      </c>
      <c r="S211" s="609">
        <f t="shared" si="170"/>
        <v>1368</v>
      </c>
      <c r="T211" s="609">
        <f t="shared" si="171"/>
        <v>329.55</v>
      </c>
      <c r="U211" s="610">
        <f t="shared" si="178"/>
        <v>1697.55</v>
      </c>
      <c r="V211" s="611"/>
      <c r="W211" s="611"/>
      <c r="X211" s="611"/>
      <c r="Y211" s="616"/>
      <c r="Z211" s="805"/>
      <c r="AA211" s="806"/>
      <c r="AB211" s="806"/>
      <c r="AC211" s="841"/>
      <c r="AD211" s="581"/>
      <c r="AE211" s="824"/>
      <c r="AF211" s="824"/>
      <c r="AG211" s="824"/>
      <c r="AH211" s="824"/>
      <c r="AI211" s="824"/>
      <c r="AJ211" s="824"/>
      <c r="AK211" s="824"/>
      <c r="AL211" s="824"/>
      <c r="AM211" s="824"/>
      <c r="AN211" s="824"/>
      <c r="AO211" s="616"/>
      <c r="AP211" s="581"/>
      <c r="AQ211" s="581"/>
      <c r="AR211" s="824"/>
      <c r="AS211" s="824"/>
      <c r="AT211" s="824"/>
      <c r="AU211" s="824"/>
      <c r="AV211" s="824"/>
      <c r="AW211" s="824"/>
      <c r="AX211" s="824"/>
      <c r="AY211" s="824"/>
      <c r="AZ211" s="824"/>
      <c r="BA211" s="824"/>
      <c r="BB211" s="616"/>
      <c r="BC211" s="581"/>
      <c r="BD211" s="581"/>
      <c r="BE211" s="581"/>
      <c r="BF211" s="581"/>
    </row>
    <row r="212" spans="2:58" x14ac:dyDescent="0.25">
      <c r="B212" s="395" t="s">
        <v>101</v>
      </c>
      <c r="C212" s="16">
        <v>35</v>
      </c>
      <c r="D212" s="16" t="s">
        <v>41</v>
      </c>
      <c r="E212" s="315">
        <v>9</v>
      </c>
      <c r="F212" s="18">
        <v>3</v>
      </c>
      <c r="G212" s="353">
        <v>1190</v>
      </c>
      <c r="H212" s="383">
        <v>1015</v>
      </c>
      <c r="I212" s="16">
        <v>0</v>
      </c>
      <c r="J212" s="438">
        <v>1</v>
      </c>
      <c r="K212" s="607">
        <f>ROUND(H212*(1+'29_01_H_2020'!$F$14),2)</f>
        <v>1116.5</v>
      </c>
      <c r="L212" s="608">
        <f t="shared" si="173"/>
        <v>1116.5</v>
      </c>
      <c r="M212" s="608">
        <f t="shared" si="174"/>
        <v>101.5</v>
      </c>
      <c r="N212" s="608">
        <f t="shared" si="175"/>
        <v>0</v>
      </c>
      <c r="O212" s="608">
        <f t="shared" si="176"/>
        <v>0</v>
      </c>
      <c r="P212" s="608">
        <f t="shared" si="177"/>
        <v>0</v>
      </c>
      <c r="Q212" s="609">
        <f t="shared" si="168"/>
        <v>101.5</v>
      </c>
      <c r="R212" s="609">
        <f t="shared" si="179"/>
        <v>101.5</v>
      </c>
      <c r="S212" s="609">
        <f t="shared" si="170"/>
        <v>1218</v>
      </c>
      <c r="T212" s="609">
        <f t="shared" si="171"/>
        <v>293.42</v>
      </c>
      <c r="U212" s="610">
        <f t="shared" si="178"/>
        <v>1511.42</v>
      </c>
      <c r="V212" s="611"/>
      <c r="W212" s="611"/>
      <c r="X212" s="611"/>
      <c r="Y212" s="616"/>
      <c r="Z212" s="805"/>
      <c r="AA212" s="806"/>
      <c r="AB212" s="806"/>
      <c r="AC212" s="581"/>
      <c r="AD212" s="581"/>
      <c r="AE212" s="824"/>
      <c r="AF212" s="824"/>
      <c r="AG212" s="824"/>
      <c r="AH212" s="824"/>
      <c r="AI212" s="824"/>
      <c r="AJ212" s="824"/>
      <c r="AK212" s="824"/>
      <c r="AL212" s="824"/>
      <c r="AM212" s="824"/>
      <c r="AN212" s="824"/>
      <c r="AO212" s="616"/>
      <c r="AP212" s="581"/>
      <c r="AQ212" s="581"/>
      <c r="AR212" s="824"/>
      <c r="AS212" s="824"/>
      <c r="AT212" s="824"/>
      <c r="AU212" s="824"/>
      <c r="AV212" s="824"/>
      <c r="AW212" s="824"/>
      <c r="AX212" s="824"/>
      <c r="AY212" s="824"/>
      <c r="AZ212" s="824"/>
      <c r="BA212" s="824"/>
      <c r="BB212" s="616"/>
      <c r="BC212" s="581"/>
      <c r="BD212" s="581"/>
      <c r="BE212" s="581"/>
      <c r="BF212" s="581"/>
    </row>
    <row r="213" spans="2:58" x14ac:dyDescent="0.25">
      <c r="B213" s="395" t="s">
        <v>101</v>
      </c>
      <c r="C213" s="16">
        <v>35</v>
      </c>
      <c r="D213" s="16" t="s">
        <v>41</v>
      </c>
      <c r="E213" s="315">
        <v>9</v>
      </c>
      <c r="F213" s="18">
        <v>3</v>
      </c>
      <c r="G213" s="353">
        <v>1190</v>
      </c>
      <c r="H213" s="383">
        <v>1015</v>
      </c>
      <c r="I213" s="16">
        <v>0</v>
      </c>
      <c r="J213" s="438">
        <v>1</v>
      </c>
      <c r="K213" s="607">
        <f>ROUND(H213*(1+'29_01_H_2020'!$F$14),2)</f>
        <v>1116.5</v>
      </c>
      <c r="L213" s="608">
        <f t="shared" si="173"/>
        <v>1116.5</v>
      </c>
      <c r="M213" s="608">
        <f t="shared" si="174"/>
        <v>101.5</v>
      </c>
      <c r="N213" s="608">
        <f t="shared" si="175"/>
        <v>0</v>
      </c>
      <c r="O213" s="608">
        <f t="shared" si="176"/>
        <v>0</v>
      </c>
      <c r="P213" s="608">
        <f t="shared" si="177"/>
        <v>0</v>
      </c>
      <c r="Q213" s="609">
        <f t="shared" si="168"/>
        <v>101.5</v>
      </c>
      <c r="R213" s="609">
        <f t="shared" si="179"/>
        <v>101.5</v>
      </c>
      <c r="S213" s="609">
        <f t="shared" si="170"/>
        <v>1218</v>
      </c>
      <c r="T213" s="609">
        <f t="shared" si="171"/>
        <v>293.42</v>
      </c>
      <c r="U213" s="610">
        <f t="shared" si="178"/>
        <v>1511.42</v>
      </c>
      <c r="V213" s="611"/>
      <c r="W213" s="611"/>
      <c r="X213" s="611"/>
      <c r="Y213" s="616"/>
      <c r="Z213" s="805"/>
      <c r="AA213" s="806"/>
      <c r="AB213" s="806"/>
      <c r="AC213" s="581"/>
      <c r="AD213" s="581"/>
      <c r="AE213" s="824"/>
      <c r="AF213" s="824"/>
      <c r="AG213" s="824"/>
      <c r="AH213" s="824"/>
      <c r="AI213" s="824"/>
      <c r="AJ213" s="824"/>
      <c r="AK213" s="824"/>
      <c r="AL213" s="824"/>
      <c r="AM213" s="824"/>
      <c r="AN213" s="824"/>
      <c r="AO213" s="616"/>
      <c r="AP213" s="581"/>
      <c r="AQ213" s="581"/>
      <c r="AR213" s="824"/>
      <c r="AS213" s="824"/>
      <c r="AT213" s="824"/>
      <c r="AU213" s="824"/>
      <c r="AV213" s="824"/>
      <c r="AW213" s="824"/>
      <c r="AX213" s="824"/>
      <c r="AY213" s="824"/>
      <c r="AZ213" s="824"/>
      <c r="BA213" s="824"/>
      <c r="BB213" s="616"/>
      <c r="BC213" s="581"/>
      <c r="BD213" s="581"/>
      <c r="BE213" s="581"/>
      <c r="BF213" s="581"/>
    </row>
    <row r="214" spans="2:58" x14ac:dyDescent="0.25">
      <c r="B214" s="395" t="s">
        <v>103</v>
      </c>
      <c r="C214" s="16">
        <v>35</v>
      </c>
      <c r="D214" s="16" t="s">
        <v>34</v>
      </c>
      <c r="E214" s="315">
        <v>7</v>
      </c>
      <c r="F214" s="18">
        <v>3</v>
      </c>
      <c r="G214" s="353">
        <v>996</v>
      </c>
      <c r="H214" s="383">
        <v>864</v>
      </c>
      <c r="I214" s="16">
        <v>0</v>
      </c>
      <c r="J214" s="438">
        <v>1</v>
      </c>
      <c r="K214" s="607">
        <f>ROUND(H214*(1+'29_01_H_2020'!$F$14),2)</f>
        <v>950.4</v>
      </c>
      <c r="L214" s="608">
        <f t="shared" si="173"/>
        <v>950.4</v>
      </c>
      <c r="M214" s="608">
        <f t="shared" si="174"/>
        <v>86.399999999999977</v>
      </c>
      <c r="N214" s="608">
        <f t="shared" si="175"/>
        <v>0</v>
      </c>
      <c r="O214" s="608">
        <f t="shared" si="176"/>
        <v>0</v>
      </c>
      <c r="P214" s="608">
        <f t="shared" si="177"/>
        <v>0</v>
      </c>
      <c r="Q214" s="609">
        <f t="shared" si="168"/>
        <v>86.399999999999977</v>
      </c>
      <c r="R214" s="609">
        <f t="shared" si="179"/>
        <v>86.399999999999977</v>
      </c>
      <c r="S214" s="609">
        <f t="shared" si="170"/>
        <v>1036.7999999999997</v>
      </c>
      <c r="T214" s="609">
        <f t="shared" si="171"/>
        <v>249.77</v>
      </c>
      <c r="U214" s="610">
        <f t="shared" si="178"/>
        <v>1286.5699999999997</v>
      </c>
      <c r="V214" s="611"/>
      <c r="W214" s="611"/>
      <c r="X214" s="611"/>
      <c r="Y214" s="616"/>
      <c r="Z214" s="805"/>
      <c r="AA214" s="806"/>
      <c r="AB214" s="806"/>
      <c r="AC214" s="581"/>
      <c r="AD214" s="581"/>
      <c r="AE214" s="824"/>
      <c r="AF214" s="824"/>
      <c r="AG214" s="824"/>
      <c r="AH214" s="824"/>
      <c r="AI214" s="824"/>
      <c r="AJ214" s="824"/>
      <c r="AK214" s="824"/>
      <c r="AL214" s="824"/>
      <c r="AM214" s="824"/>
      <c r="AN214" s="824"/>
      <c r="AO214" s="616"/>
      <c r="AP214" s="581"/>
      <c r="AQ214" s="581"/>
      <c r="AR214" s="824"/>
      <c r="AS214" s="824"/>
      <c r="AT214" s="824"/>
      <c r="AU214" s="824"/>
      <c r="AV214" s="824"/>
      <c r="AW214" s="824"/>
      <c r="AX214" s="824"/>
      <c r="AY214" s="824"/>
      <c r="AZ214" s="824"/>
      <c r="BA214" s="824"/>
      <c r="BB214" s="616"/>
      <c r="BC214" s="581"/>
      <c r="BD214" s="581"/>
      <c r="BE214" s="581"/>
      <c r="BF214" s="581"/>
    </row>
    <row r="215" spans="2:58" x14ac:dyDescent="0.25">
      <c r="B215" s="395" t="s">
        <v>103</v>
      </c>
      <c r="C215" s="16">
        <v>35</v>
      </c>
      <c r="D215" s="16" t="s">
        <v>34</v>
      </c>
      <c r="E215" s="315">
        <v>7</v>
      </c>
      <c r="F215" s="18">
        <v>3</v>
      </c>
      <c r="G215" s="353">
        <v>996</v>
      </c>
      <c r="H215" s="383">
        <v>864</v>
      </c>
      <c r="I215" s="16">
        <v>0</v>
      </c>
      <c r="J215" s="438">
        <v>1</v>
      </c>
      <c r="K215" s="607">
        <f>ROUND(H215*(1+'29_01_H_2020'!$F$14),2)</f>
        <v>950.4</v>
      </c>
      <c r="L215" s="608">
        <f t="shared" si="173"/>
        <v>950.4</v>
      </c>
      <c r="M215" s="608">
        <f t="shared" si="174"/>
        <v>86.399999999999977</v>
      </c>
      <c r="N215" s="608">
        <f t="shared" si="175"/>
        <v>0</v>
      </c>
      <c r="O215" s="608">
        <f t="shared" si="176"/>
        <v>0</v>
      </c>
      <c r="P215" s="608">
        <f t="shared" si="177"/>
        <v>0</v>
      </c>
      <c r="Q215" s="609">
        <f t="shared" si="168"/>
        <v>86.399999999999977</v>
      </c>
      <c r="R215" s="609">
        <f t="shared" si="179"/>
        <v>86.399999999999977</v>
      </c>
      <c r="S215" s="609">
        <f t="shared" si="170"/>
        <v>1036.7999999999997</v>
      </c>
      <c r="T215" s="609">
        <f t="shared" si="171"/>
        <v>249.77</v>
      </c>
      <c r="U215" s="610">
        <f t="shared" si="178"/>
        <v>1286.5699999999997</v>
      </c>
      <c r="V215" s="611"/>
      <c r="W215" s="611"/>
      <c r="X215" s="611"/>
      <c r="Y215" s="616"/>
      <c r="Z215" s="805"/>
      <c r="AA215" s="806"/>
      <c r="AB215" s="806"/>
      <c r="AC215" s="581"/>
      <c r="AD215" s="581"/>
      <c r="AE215" s="824"/>
      <c r="AF215" s="824"/>
      <c r="AG215" s="824"/>
      <c r="AH215" s="824"/>
      <c r="AI215" s="824"/>
      <c r="AJ215" s="824"/>
      <c r="AK215" s="824"/>
      <c r="AL215" s="824"/>
      <c r="AM215" s="824"/>
      <c r="AN215" s="824"/>
      <c r="AO215" s="616"/>
      <c r="AP215" s="581"/>
      <c r="AQ215" s="581"/>
      <c r="AR215" s="824"/>
      <c r="AS215" s="824"/>
      <c r="AT215" s="824"/>
      <c r="AU215" s="824"/>
      <c r="AV215" s="824"/>
      <c r="AW215" s="824"/>
      <c r="AX215" s="824"/>
      <c r="AY215" s="824"/>
      <c r="AZ215" s="824"/>
      <c r="BA215" s="824"/>
      <c r="BB215" s="616"/>
      <c r="BC215" s="581"/>
      <c r="BD215" s="581"/>
      <c r="BE215" s="581"/>
      <c r="BF215" s="581"/>
    </row>
    <row r="216" spans="2:58" x14ac:dyDescent="0.25">
      <c r="B216" s="395" t="s">
        <v>103</v>
      </c>
      <c r="C216" s="16">
        <v>35</v>
      </c>
      <c r="D216" s="16" t="s">
        <v>34</v>
      </c>
      <c r="E216" s="315">
        <v>7</v>
      </c>
      <c r="F216" s="18">
        <v>3</v>
      </c>
      <c r="G216" s="353">
        <v>996</v>
      </c>
      <c r="H216" s="383">
        <v>864</v>
      </c>
      <c r="I216" s="16">
        <v>0</v>
      </c>
      <c r="J216" s="438">
        <v>1</v>
      </c>
      <c r="K216" s="607">
        <f>ROUND(H216*(1+'29_01_H_2020'!$F$14),2)</f>
        <v>950.4</v>
      </c>
      <c r="L216" s="608">
        <f t="shared" si="173"/>
        <v>950.4</v>
      </c>
      <c r="M216" s="608">
        <f t="shared" si="174"/>
        <v>86.399999999999977</v>
      </c>
      <c r="N216" s="608">
        <f t="shared" si="175"/>
        <v>0</v>
      </c>
      <c r="O216" s="608">
        <f t="shared" si="176"/>
        <v>0</v>
      </c>
      <c r="P216" s="608">
        <f t="shared" si="177"/>
        <v>0</v>
      </c>
      <c r="Q216" s="609">
        <f t="shared" si="168"/>
        <v>86.399999999999977</v>
      </c>
      <c r="R216" s="609">
        <f t="shared" si="179"/>
        <v>86.399999999999977</v>
      </c>
      <c r="S216" s="609">
        <f t="shared" si="170"/>
        <v>1036.7999999999997</v>
      </c>
      <c r="T216" s="609">
        <f t="shared" si="171"/>
        <v>249.77</v>
      </c>
      <c r="U216" s="610">
        <f t="shared" si="178"/>
        <v>1286.5699999999997</v>
      </c>
      <c r="V216" s="611"/>
      <c r="W216" s="611"/>
      <c r="X216" s="611"/>
      <c r="Y216" s="616"/>
      <c r="Z216" s="805"/>
      <c r="AA216" s="806"/>
      <c r="AB216" s="806"/>
      <c r="AC216" s="581"/>
      <c r="AD216" s="581"/>
      <c r="AE216" s="824"/>
      <c r="AF216" s="824"/>
      <c r="AG216" s="824"/>
      <c r="AH216" s="824"/>
      <c r="AI216" s="824"/>
      <c r="AJ216" s="824"/>
      <c r="AK216" s="824"/>
      <c r="AL216" s="824"/>
      <c r="AM216" s="824"/>
      <c r="AN216" s="824"/>
      <c r="AO216" s="616"/>
      <c r="AP216" s="581"/>
      <c r="AQ216" s="581"/>
      <c r="AR216" s="824"/>
      <c r="AS216" s="824"/>
      <c r="AT216" s="824"/>
      <c r="AU216" s="824"/>
      <c r="AV216" s="824"/>
      <c r="AW216" s="824"/>
      <c r="AX216" s="824"/>
      <c r="AY216" s="824"/>
      <c r="AZ216" s="824"/>
      <c r="BA216" s="824"/>
      <c r="BB216" s="616"/>
      <c r="BC216" s="581"/>
      <c r="BD216" s="581"/>
      <c r="BE216" s="581"/>
      <c r="BF216" s="581"/>
    </row>
    <row r="217" spans="2:58" x14ac:dyDescent="0.25">
      <c r="B217" s="395" t="s">
        <v>103</v>
      </c>
      <c r="C217" s="16">
        <v>35</v>
      </c>
      <c r="D217" s="16" t="s">
        <v>34</v>
      </c>
      <c r="E217" s="315">
        <v>7</v>
      </c>
      <c r="F217" s="18">
        <v>3</v>
      </c>
      <c r="G217" s="353">
        <v>996</v>
      </c>
      <c r="H217" s="383">
        <v>864</v>
      </c>
      <c r="I217" s="16">
        <v>0</v>
      </c>
      <c r="J217" s="438">
        <v>1</v>
      </c>
      <c r="K217" s="607">
        <f>ROUND(H217*(1+'29_01_H_2020'!$F$14),2)</f>
        <v>950.4</v>
      </c>
      <c r="L217" s="608">
        <f t="shared" si="173"/>
        <v>950.4</v>
      </c>
      <c r="M217" s="608">
        <f t="shared" si="174"/>
        <v>86.399999999999977</v>
      </c>
      <c r="N217" s="608">
        <f t="shared" si="175"/>
        <v>0</v>
      </c>
      <c r="O217" s="608">
        <f t="shared" si="176"/>
        <v>0</v>
      </c>
      <c r="P217" s="608">
        <f t="shared" si="177"/>
        <v>0</v>
      </c>
      <c r="Q217" s="609">
        <f t="shared" si="168"/>
        <v>86.399999999999977</v>
      </c>
      <c r="R217" s="609">
        <f t="shared" si="179"/>
        <v>86.399999999999977</v>
      </c>
      <c r="S217" s="609">
        <f t="shared" si="170"/>
        <v>1036.7999999999997</v>
      </c>
      <c r="T217" s="609">
        <f t="shared" si="171"/>
        <v>249.77</v>
      </c>
      <c r="U217" s="610">
        <f t="shared" si="178"/>
        <v>1286.5699999999997</v>
      </c>
      <c r="V217" s="611"/>
      <c r="W217" s="611"/>
      <c r="X217" s="611"/>
      <c r="Y217" s="616"/>
      <c r="Z217" s="805"/>
      <c r="AA217" s="806"/>
      <c r="AB217" s="806"/>
      <c r="AC217" s="581"/>
      <c r="AD217" s="581"/>
      <c r="AE217" s="824"/>
      <c r="AF217" s="824"/>
      <c r="AG217" s="824"/>
      <c r="AH217" s="824"/>
      <c r="AI217" s="824"/>
      <c r="AJ217" s="824"/>
      <c r="AK217" s="824"/>
      <c r="AL217" s="824"/>
      <c r="AM217" s="824"/>
      <c r="AN217" s="824"/>
      <c r="AO217" s="616"/>
      <c r="AP217" s="581"/>
      <c r="AQ217" s="581"/>
      <c r="AR217" s="824"/>
      <c r="AS217" s="824"/>
      <c r="AT217" s="824"/>
      <c r="AU217" s="824"/>
      <c r="AV217" s="824"/>
      <c r="AW217" s="824"/>
      <c r="AX217" s="824"/>
      <c r="AY217" s="824"/>
      <c r="AZ217" s="824"/>
      <c r="BA217" s="824"/>
      <c r="BB217" s="616"/>
      <c r="BC217" s="581"/>
      <c r="BD217" s="581"/>
      <c r="BE217" s="581"/>
      <c r="BF217" s="581"/>
    </row>
    <row r="218" spans="2:58" x14ac:dyDescent="0.25">
      <c r="B218" s="395" t="s">
        <v>103</v>
      </c>
      <c r="C218" s="16">
        <v>35</v>
      </c>
      <c r="D218" s="16" t="s">
        <v>34</v>
      </c>
      <c r="E218" s="315">
        <v>7</v>
      </c>
      <c r="F218" s="18">
        <v>3</v>
      </c>
      <c r="G218" s="353">
        <v>996</v>
      </c>
      <c r="H218" s="383">
        <v>864</v>
      </c>
      <c r="I218" s="16">
        <v>0</v>
      </c>
      <c r="J218" s="438">
        <v>1</v>
      </c>
      <c r="K218" s="607">
        <f>ROUND(H218*(1+'29_01_H_2020'!$F$14),2)</f>
        <v>950.4</v>
      </c>
      <c r="L218" s="608">
        <f t="shared" si="173"/>
        <v>950.4</v>
      </c>
      <c r="M218" s="608">
        <f t="shared" si="174"/>
        <v>86.399999999999977</v>
      </c>
      <c r="N218" s="608">
        <f t="shared" si="175"/>
        <v>0</v>
      </c>
      <c r="O218" s="608">
        <f t="shared" si="176"/>
        <v>0</v>
      </c>
      <c r="P218" s="608">
        <f t="shared" si="177"/>
        <v>0</v>
      </c>
      <c r="Q218" s="609">
        <f t="shared" si="168"/>
        <v>86.399999999999977</v>
      </c>
      <c r="R218" s="609">
        <f t="shared" si="179"/>
        <v>86.399999999999977</v>
      </c>
      <c r="S218" s="609">
        <f t="shared" si="170"/>
        <v>1036.7999999999997</v>
      </c>
      <c r="T218" s="609">
        <f t="shared" si="171"/>
        <v>249.77</v>
      </c>
      <c r="U218" s="610">
        <f t="shared" si="178"/>
        <v>1286.5699999999997</v>
      </c>
      <c r="V218" s="611"/>
      <c r="W218" s="611"/>
      <c r="X218" s="611"/>
      <c r="Y218" s="616"/>
      <c r="Z218" s="805"/>
      <c r="AA218" s="806"/>
      <c r="AB218" s="806"/>
      <c r="AC218" s="581"/>
      <c r="AD218" s="581"/>
      <c r="AE218" s="824"/>
      <c r="AF218" s="824"/>
      <c r="AG218" s="824"/>
      <c r="AH218" s="824"/>
      <c r="AI218" s="824"/>
      <c r="AJ218" s="824"/>
      <c r="AK218" s="824"/>
      <c r="AL218" s="824"/>
      <c r="AM218" s="824"/>
      <c r="AN218" s="824"/>
      <c r="AO218" s="616"/>
      <c r="AP218" s="581"/>
      <c r="AQ218" s="581"/>
      <c r="AR218" s="824"/>
      <c r="AS218" s="824"/>
      <c r="AT218" s="824"/>
      <c r="AU218" s="824"/>
      <c r="AV218" s="824"/>
      <c r="AW218" s="824"/>
      <c r="AX218" s="824"/>
      <c r="AY218" s="824"/>
      <c r="AZ218" s="824"/>
      <c r="BA218" s="824"/>
      <c r="BB218" s="616"/>
      <c r="BC218" s="581"/>
      <c r="BD218" s="581"/>
      <c r="BE218" s="581"/>
      <c r="BF218" s="581"/>
    </row>
    <row r="219" spans="2:58" x14ac:dyDescent="0.25">
      <c r="B219" s="395" t="s">
        <v>103</v>
      </c>
      <c r="C219" s="16">
        <v>35</v>
      </c>
      <c r="D219" s="16" t="s">
        <v>34</v>
      </c>
      <c r="E219" s="315">
        <v>7</v>
      </c>
      <c r="F219" s="18">
        <v>3</v>
      </c>
      <c r="G219" s="353">
        <v>996</v>
      </c>
      <c r="H219" s="383">
        <v>864</v>
      </c>
      <c r="I219" s="16">
        <v>0</v>
      </c>
      <c r="J219" s="438">
        <v>1</v>
      </c>
      <c r="K219" s="607">
        <f>ROUND(H219*(1+'29_01_H_2020'!$F$14),2)</f>
        <v>950.4</v>
      </c>
      <c r="L219" s="608">
        <f t="shared" si="173"/>
        <v>950.4</v>
      </c>
      <c r="M219" s="608">
        <f t="shared" si="174"/>
        <v>86.399999999999977</v>
      </c>
      <c r="N219" s="608">
        <f t="shared" si="175"/>
        <v>0</v>
      </c>
      <c r="O219" s="608">
        <f t="shared" si="176"/>
        <v>0</v>
      </c>
      <c r="P219" s="608">
        <f t="shared" si="177"/>
        <v>0</v>
      </c>
      <c r="Q219" s="609">
        <f t="shared" si="168"/>
        <v>86.399999999999977</v>
      </c>
      <c r="R219" s="609">
        <f t="shared" si="179"/>
        <v>86.399999999999977</v>
      </c>
      <c r="S219" s="609">
        <f t="shared" si="170"/>
        <v>1036.7999999999997</v>
      </c>
      <c r="T219" s="609">
        <f t="shared" si="171"/>
        <v>249.77</v>
      </c>
      <c r="U219" s="610">
        <f t="shared" si="178"/>
        <v>1286.5699999999997</v>
      </c>
      <c r="V219" s="611"/>
      <c r="W219" s="611"/>
      <c r="X219" s="611"/>
      <c r="Y219" s="616"/>
      <c r="Z219" s="805"/>
      <c r="AA219" s="806"/>
      <c r="AB219" s="806"/>
      <c r="AC219" s="581"/>
      <c r="AD219" s="581"/>
      <c r="AE219" s="824"/>
      <c r="AF219" s="824"/>
      <c r="AG219" s="824"/>
      <c r="AH219" s="824"/>
      <c r="AI219" s="824"/>
      <c r="AJ219" s="824"/>
      <c r="AK219" s="824"/>
      <c r="AL219" s="824"/>
      <c r="AM219" s="824"/>
      <c r="AN219" s="824"/>
      <c r="AO219" s="616"/>
      <c r="AP219" s="581"/>
      <c r="AQ219" s="581"/>
      <c r="AR219" s="824"/>
      <c r="AS219" s="824"/>
      <c r="AT219" s="824"/>
      <c r="AU219" s="824"/>
      <c r="AV219" s="824"/>
      <c r="AW219" s="824"/>
      <c r="AX219" s="824"/>
      <c r="AY219" s="824"/>
      <c r="AZ219" s="824"/>
      <c r="BA219" s="824"/>
      <c r="BB219" s="616"/>
      <c r="BC219" s="581"/>
      <c r="BD219" s="581"/>
      <c r="BE219" s="581"/>
      <c r="BF219" s="581"/>
    </row>
    <row r="220" spans="2:58" x14ac:dyDescent="0.25">
      <c r="B220" s="395" t="s">
        <v>103</v>
      </c>
      <c r="C220" s="16">
        <v>35</v>
      </c>
      <c r="D220" s="16" t="s">
        <v>34</v>
      </c>
      <c r="E220" s="315">
        <v>7</v>
      </c>
      <c r="F220" s="18">
        <v>3</v>
      </c>
      <c r="G220" s="353">
        <v>996</v>
      </c>
      <c r="H220" s="383">
        <v>864</v>
      </c>
      <c r="I220" s="16">
        <v>0</v>
      </c>
      <c r="J220" s="438">
        <v>1</v>
      </c>
      <c r="K220" s="607">
        <f>ROUND(H220*(1+'29_01_H_2020'!$F$14),2)</f>
        <v>950.4</v>
      </c>
      <c r="L220" s="608">
        <f t="shared" si="173"/>
        <v>950.4</v>
      </c>
      <c r="M220" s="608">
        <f t="shared" si="174"/>
        <v>86.399999999999977</v>
      </c>
      <c r="N220" s="608">
        <f t="shared" si="175"/>
        <v>0</v>
      </c>
      <c r="O220" s="608">
        <f t="shared" si="176"/>
        <v>0</v>
      </c>
      <c r="P220" s="608">
        <f t="shared" si="177"/>
        <v>0</v>
      </c>
      <c r="Q220" s="609">
        <f t="shared" si="168"/>
        <v>86.399999999999977</v>
      </c>
      <c r="R220" s="609">
        <f t="shared" si="179"/>
        <v>86.399999999999977</v>
      </c>
      <c r="S220" s="609">
        <f t="shared" si="170"/>
        <v>1036.7999999999997</v>
      </c>
      <c r="T220" s="609">
        <f t="shared" si="171"/>
        <v>249.77</v>
      </c>
      <c r="U220" s="610">
        <f t="shared" si="178"/>
        <v>1286.5699999999997</v>
      </c>
      <c r="V220" s="611"/>
      <c r="W220" s="611"/>
      <c r="X220" s="611"/>
      <c r="Y220" s="616"/>
      <c r="Z220" s="805"/>
      <c r="AA220" s="806"/>
      <c r="AB220" s="806"/>
      <c r="AC220" s="581"/>
      <c r="AD220" s="581"/>
      <c r="AE220" s="824"/>
      <c r="AF220" s="824"/>
      <c r="AG220" s="824"/>
      <c r="AH220" s="824"/>
      <c r="AI220" s="824"/>
      <c r="AJ220" s="824"/>
      <c r="AK220" s="824"/>
      <c r="AL220" s="824"/>
      <c r="AM220" s="824"/>
      <c r="AN220" s="824"/>
      <c r="AO220" s="616"/>
      <c r="AP220" s="581"/>
      <c r="AQ220" s="581"/>
      <c r="AR220" s="824"/>
      <c r="AS220" s="824"/>
      <c r="AT220" s="824"/>
      <c r="AU220" s="824"/>
      <c r="AV220" s="824"/>
      <c r="AW220" s="824"/>
      <c r="AX220" s="824"/>
      <c r="AY220" s="824"/>
      <c r="AZ220" s="824"/>
      <c r="BA220" s="824"/>
      <c r="BB220" s="616"/>
      <c r="BC220" s="581"/>
      <c r="BD220" s="581"/>
      <c r="BE220" s="581"/>
      <c r="BF220" s="581"/>
    </row>
    <row r="221" spans="2:58" x14ac:dyDescent="0.25">
      <c r="B221" s="395" t="s">
        <v>103</v>
      </c>
      <c r="C221" s="16">
        <v>35</v>
      </c>
      <c r="D221" s="16" t="s">
        <v>34</v>
      </c>
      <c r="E221" s="315">
        <v>7</v>
      </c>
      <c r="F221" s="18">
        <v>3</v>
      </c>
      <c r="G221" s="353">
        <v>996</v>
      </c>
      <c r="H221" s="383">
        <v>864</v>
      </c>
      <c r="I221" s="16">
        <v>0</v>
      </c>
      <c r="J221" s="438">
        <v>1</v>
      </c>
      <c r="K221" s="607">
        <f>ROUND(H221*(1+'29_01_H_2020'!$F$14),2)</f>
        <v>950.4</v>
      </c>
      <c r="L221" s="608">
        <f t="shared" si="173"/>
        <v>950.4</v>
      </c>
      <c r="M221" s="608">
        <f t="shared" si="174"/>
        <v>86.399999999999977</v>
      </c>
      <c r="N221" s="608">
        <f t="shared" si="175"/>
        <v>0</v>
      </c>
      <c r="O221" s="608">
        <f t="shared" si="176"/>
        <v>0</v>
      </c>
      <c r="P221" s="608">
        <f t="shared" si="177"/>
        <v>0</v>
      </c>
      <c r="Q221" s="609">
        <f t="shared" si="168"/>
        <v>86.399999999999977</v>
      </c>
      <c r="R221" s="609">
        <f t="shared" si="179"/>
        <v>86.399999999999977</v>
      </c>
      <c r="S221" s="609">
        <f t="shared" si="170"/>
        <v>1036.7999999999997</v>
      </c>
      <c r="T221" s="609">
        <f t="shared" si="171"/>
        <v>249.77</v>
      </c>
      <c r="U221" s="610">
        <f t="shared" si="178"/>
        <v>1286.5699999999997</v>
      </c>
      <c r="V221" s="611"/>
      <c r="W221" s="611"/>
      <c r="X221" s="611"/>
      <c r="Y221" s="616"/>
      <c r="Z221" s="805"/>
      <c r="AA221" s="806"/>
      <c r="AB221" s="806"/>
      <c r="AC221" s="581"/>
      <c r="AD221" s="581"/>
      <c r="AE221" s="824"/>
      <c r="AF221" s="824"/>
      <c r="AG221" s="824"/>
      <c r="AH221" s="824"/>
      <c r="AI221" s="824"/>
      <c r="AJ221" s="824"/>
      <c r="AK221" s="824"/>
      <c r="AL221" s="824"/>
      <c r="AM221" s="824"/>
      <c r="AN221" s="824"/>
      <c r="AO221" s="616"/>
      <c r="AP221" s="581"/>
      <c r="AQ221" s="581"/>
      <c r="AR221" s="824"/>
      <c r="AS221" s="824"/>
      <c r="AT221" s="824"/>
      <c r="AU221" s="824"/>
      <c r="AV221" s="824"/>
      <c r="AW221" s="824"/>
      <c r="AX221" s="824"/>
      <c r="AY221" s="824"/>
      <c r="AZ221" s="824"/>
      <c r="BA221" s="824"/>
      <c r="BB221" s="616"/>
      <c r="BC221" s="581"/>
      <c r="BD221" s="581"/>
      <c r="BE221" s="581"/>
      <c r="BF221" s="581"/>
    </row>
    <row r="222" spans="2:58" x14ac:dyDescent="0.25">
      <c r="B222" s="395" t="s">
        <v>103</v>
      </c>
      <c r="C222" s="16">
        <v>35</v>
      </c>
      <c r="D222" s="16" t="s">
        <v>34</v>
      </c>
      <c r="E222" s="315">
        <v>7</v>
      </c>
      <c r="F222" s="18">
        <v>3</v>
      </c>
      <c r="G222" s="353">
        <v>996</v>
      </c>
      <c r="H222" s="383">
        <v>864</v>
      </c>
      <c r="I222" s="16">
        <v>0</v>
      </c>
      <c r="J222" s="438">
        <v>1</v>
      </c>
      <c r="K222" s="607">
        <f>ROUND(H222*(1+'29_01_H_2020'!$F$14),2)</f>
        <v>950.4</v>
      </c>
      <c r="L222" s="608">
        <f t="shared" si="173"/>
        <v>950.4</v>
      </c>
      <c r="M222" s="608">
        <f t="shared" si="174"/>
        <v>86.399999999999977</v>
      </c>
      <c r="N222" s="608">
        <f t="shared" si="175"/>
        <v>0</v>
      </c>
      <c r="O222" s="608">
        <f t="shared" si="176"/>
        <v>0</v>
      </c>
      <c r="P222" s="608">
        <f t="shared" si="177"/>
        <v>0</v>
      </c>
      <c r="Q222" s="609">
        <f t="shared" si="168"/>
        <v>86.399999999999977</v>
      </c>
      <c r="R222" s="609">
        <f t="shared" si="179"/>
        <v>86.399999999999977</v>
      </c>
      <c r="S222" s="609">
        <f t="shared" si="170"/>
        <v>1036.7999999999997</v>
      </c>
      <c r="T222" s="609">
        <f t="shared" si="171"/>
        <v>249.77</v>
      </c>
      <c r="U222" s="610">
        <f t="shared" si="178"/>
        <v>1286.5699999999997</v>
      </c>
      <c r="V222" s="611"/>
      <c r="W222" s="611"/>
      <c r="X222" s="611"/>
      <c r="Y222" s="616"/>
      <c r="Z222" s="805"/>
      <c r="AA222" s="806"/>
      <c r="AB222" s="806"/>
      <c r="AC222" s="581"/>
      <c r="AD222" s="581"/>
      <c r="AE222" s="824"/>
      <c r="AF222" s="824"/>
      <c r="AG222" s="824"/>
      <c r="AH222" s="824"/>
      <c r="AI222" s="824"/>
      <c r="AJ222" s="824"/>
      <c r="AK222" s="824"/>
      <c r="AL222" s="824"/>
      <c r="AM222" s="824"/>
      <c r="AN222" s="824"/>
      <c r="AO222" s="616"/>
      <c r="AP222" s="581"/>
      <c r="AQ222" s="581"/>
      <c r="AR222" s="824"/>
      <c r="AS222" s="824"/>
      <c r="AT222" s="824"/>
      <c r="AU222" s="824"/>
      <c r="AV222" s="824"/>
      <c r="AW222" s="824"/>
      <c r="AX222" s="824"/>
      <c r="AY222" s="824"/>
      <c r="AZ222" s="824"/>
      <c r="BA222" s="824"/>
      <c r="BB222" s="616"/>
      <c r="BC222" s="581"/>
      <c r="BD222" s="581"/>
      <c r="BE222" s="581"/>
      <c r="BF222" s="581"/>
    </row>
    <row r="223" spans="2:58" x14ac:dyDescent="0.25">
      <c r="B223" s="395" t="s">
        <v>103</v>
      </c>
      <c r="C223" s="16">
        <v>35</v>
      </c>
      <c r="D223" s="16" t="s">
        <v>34</v>
      </c>
      <c r="E223" s="315">
        <v>7</v>
      </c>
      <c r="F223" s="18">
        <v>3</v>
      </c>
      <c r="G223" s="353">
        <v>996</v>
      </c>
      <c r="H223" s="383">
        <v>864</v>
      </c>
      <c r="I223" s="16">
        <v>0</v>
      </c>
      <c r="J223" s="438">
        <v>1</v>
      </c>
      <c r="K223" s="607">
        <f>ROUND(H223*(1+'29_01_H_2020'!$F$14),2)</f>
        <v>950.4</v>
      </c>
      <c r="L223" s="608">
        <f t="shared" si="173"/>
        <v>950.4</v>
      </c>
      <c r="M223" s="608">
        <f t="shared" si="174"/>
        <v>86.399999999999977</v>
      </c>
      <c r="N223" s="608">
        <f t="shared" si="175"/>
        <v>0</v>
      </c>
      <c r="O223" s="608">
        <f t="shared" si="176"/>
        <v>0</v>
      </c>
      <c r="P223" s="608">
        <f t="shared" si="177"/>
        <v>0</v>
      </c>
      <c r="Q223" s="609">
        <f t="shared" si="168"/>
        <v>86.399999999999977</v>
      </c>
      <c r="R223" s="609">
        <f t="shared" si="179"/>
        <v>86.399999999999977</v>
      </c>
      <c r="S223" s="609">
        <f t="shared" si="170"/>
        <v>1036.7999999999997</v>
      </c>
      <c r="T223" s="609">
        <f t="shared" si="171"/>
        <v>249.77</v>
      </c>
      <c r="U223" s="610">
        <f t="shared" si="178"/>
        <v>1286.5699999999997</v>
      </c>
      <c r="V223" s="611"/>
      <c r="W223" s="611"/>
      <c r="X223" s="611"/>
      <c r="Y223" s="616"/>
      <c r="Z223" s="805"/>
      <c r="AA223" s="806"/>
      <c r="AB223" s="806"/>
      <c r="AC223" s="581"/>
      <c r="AD223" s="581"/>
      <c r="AE223" s="824"/>
      <c r="AF223" s="824"/>
      <c r="AG223" s="824"/>
      <c r="AH223" s="824"/>
      <c r="AI223" s="824"/>
      <c r="AJ223" s="824"/>
      <c r="AK223" s="824"/>
      <c r="AL223" s="824"/>
      <c r="AM223" s="824"/>
      <c r="AN223" s="824"/>
      <c r="AO223" s="616"/>
      <c r="AP223" s="581"/>
      <c r="AQ223" s="581"/>
      <c r="AR223" s="824"/>
      <c r="AS223" s="824"/>
      <c r="AT223" s="824"/>
      <c r="AU223" s="824"/>
      <c r="AV223" s="824"/>
      <c r="AW223" s="824"/>
      <c r="AX223" s="824"/>
      <c r="AY223" s="824"/>
      <c r="AZ223" s="824"/>
      <c r="BA223" s="824"/>
      <c r="BB223" s="616"/>
      <c r="BC223" s="581"/>
      <c r="BD223" s="581"/>
      <c r="BE223" s="581"/>
      <c r="BF223" s="581"/>
    </row>
    <row r="224" spans="2:58" x14ac:dyDescent="0.25">
      <c r="B224" s="395" t="s">
        <v>103</v>
      </c>
      <c r="C224" s="16">
        <v>35</v>
      </c>
      <c r="D224" s="16" t="s">
        <v>34</v>
      </c>
      <c r="E224" s="315">
        <v>7</v>
      </c>
      <c r="F224" s="18">
        <v>3</v>
      </c>
      <c r="G224" s="353">
        <v>996</v>
      </c>
      <c r="H224" s="383">
        <v>864</v>
      </c>
      <c r="I224" s="16">
        <v>0</v>
      </c>
      <c r="J224" s="438">
        <v>1</v>
      </c>
      <c r="K224" s="607">
        <f>ROUND(H224*(1+'29_01_H_2020'!$F$14),2)</f>
        <v>950.4</v>
      </c>
      <c r="L224" s="608">
        <f t="shared" si="173"/>
        <v>950.4</v>
      </c>
      <c r="M224" s="608">
        <f t="shared" si="174"/>
        <v>86.399999999999977</v>
      </c>
      <c r="N224" s="608">
        <f t="shared" si="175"/>
        <v>0</v>
      </c>
      <c r="O224" s="608">
        <f t="shared" si="176"/>
        <v>0</v>
      </c>
      <c r="P224" s="608">
        <f t="shared" si="177"/>
        <v>0</v>
      </c>
      <c r="Q224" s="609">
        <f t="shared" si="168"/>
        <v>86.399999999999977</v>
      </c>
      <c r="R224" s="609">
        <f t="shared" si="179"/>
        <v>86.399999999999977</v>
      </c>
      <c r="S224" s="609">
        <f t="shared" si="170"/>
        <v>1036.7999999999997</v>
      </c>
      <c r="T224" s="609">
        <f t="shared" si="171"/>
        <v>249.77</v>
      </c>
      <c r="U224" s="610">
        <f t="shared" si="178"/>
        <v>1286.5699999999997</v>
      </c>
      <c r="V224" s="611"/>
      <c r="W224" s="611"/>
      <c r="X224" s="611"/>
      <c r="Y224" s="616"/>
      <c r="Z224" s="805"/>
      <c r="AA224" s="806"/>
      <c r="AB224" s="806"/>
      <c r="AC224" s="581"/>
      <c r="AD224" s="581"/>
      <c r="AE224" s="824"/>
      <c r="AF224" s="824"/>
      <c r="AG224" s="824"/>
      <c r="AH224" s="824"/>
      <c r="AI224" s="824"/>
      <c r="AJ224" s="824"/>
      <c r="AK224" s="824"/>
      <c r="AL224" s="824"/>
      <c r="AM224" s="824"/>
      <c r="AN224" s="824"/>
      <c r="AO224" s="616"/>
      <c r="AP224" s="581"/>
      <c r="AQ224" s="581"/>
      <c r="AR224" s="824"/>
      <c r="AS224" s="824"/>
      <c r="AT224" s="824"/>
      <c r="AU224" s="824"/>
      <c r="AV224" s="824"/>
      <c r="AW224" s="824"/>
      <c r="AX224" s="824"/>
      <c r="AY224" s="824"/>
      <c r="AZ224" s="824"/>
      <c r="BA224" s="824"/>
      <c r="BB224" s="616"/>
      <c r="BC224" s="581"/>
      <c r="BD224" s="581"/>
      <c r="BE224" s="581"/>
      <c r="BF224" s="581"/>
    </row>
    <row r="225" spans="2:58" x14ac:dyDescent="0.25">
      <c r="B225" s="395" t="s">
        <v>103</v>
      </c>
      <c r="C225" s="16">
        <v>35</v>
      </c>
      <c r="D225" s="16" t="s">
        <v>34</v>
      </c>
      <c r="E225" s="315">
        <v>7</v>
      </c>
      <c r="F225" s="18">
        <v>3</v>
      </c>
      <c r="G225" s="353">
        <v>835</v>
      </c>
      <c r="H225" s="383">
        <v>810</v>
      </c>
      <c r="I225" s="16">
        <v>0</v>
      </c>
      <c r="J225" s="438">
        <v>1</v>
      </c>
      <c r="K225" s="607">
        <f>ROUND(H225*(1+'29_01_H_2020'!$F$14),2)</f>
        <v>891</v>
      </c>
      <c r="L225" s="608">
        <f t="shared" si="173"/>
        <v>835</v>
      </c>
      <c r="M225" s="608">
        <f t="shared" si="174"/>
        <v>25</v>
      </c>
      <c r="N225" s="608">
        <f t="shared" si="175"/>
        <v>56</v>
      </c>
      <c r="O225" s="608">
        <f t="shared" si="176"/>
        <v>0</v>
      </c>
      <c r="P225" s="608">
        <f t="shared" si="177"/>
        <v>0</v>
      </c>
      <c r="Q225" s="609">
        <f t="shared" si="168"/>
        <v>81</v>
      </c>
      <c r="R225" s="609">
        <f t="shared" si="179"/>
        <v>81</v>
      </c>
      <c r="S225" s="609">
        <f t="shared" si="170"/>
        <v>972</v>
      </c>
      <c r="T225" s="609">
        <f t="shared" si="171"/>
        <v>234.15</v>
      </c>
      <c r="U225" s="610">
        <f t="shared" si="178"/>
        <v>1206.1500000000001</v>
      </c>
      <c r="V225" s="611"/>
      <c r="W225" s="611"/>
      <c r="X225" s="611"/>
      <c r="Y225" s="616"/>
      <c r="Z225" s="805"/>
      <c r="AA225" s="806"/>
      <c r="AB225" s="806"/>
      <c r="AC225" s="581"/>
      <c r="AD225" s="581"/>
      <c r="AE225" s="824"/>
      <c r="AF225" s="824"/>
      <c r="AG225" s="824"/>
      <c r="AH225" s="824"/>
      <c r="AI225" s="824"/>
      <c r="AJ225" s="824"/>
      <c r="AK225" s="824"/>
      <c r="AL225" s="824"/>
      <c r="AM225" s="824"/>
      <c r="AN225" s="824"/>
      <c r="AO225" s="616"/>
      <c r="AP225" s="581"/>
      <c r="AQ225" s="581"/>
      <c r="AR225" s="824"/>
      <c r="AS225" s="824"/>
      <c r="AT225" s="824"/>
      <c r="AU225" s="824"/>
      <c r="AV225" s="824"/>
      <c r="AW225" s="824"/>
      <c r="AX225" s="824"/>
      <c r="AY225" s="824"/>
      <c r="AZ225" s="824"/>
      <c r="BA225" s="824"/>
      <c r="BB225" s="616"/>
      <c r="BC225" s="581"/>
      <c r="BD225" s="581"/>
      <c r="BE225" s="581"/>
      <c r="BF225" s="581"/>
    </row>
    <row r="226" spans="2:58" x14ac:dyDescent="0.25">
      <c r="B226" s="395" t="s">
        <v>106</v>
      </c>
      <c r="C226" s="16">
        <v>35</v>
      </c>
      <c r="D226" s="16" t="s">
        <v>41</v>
      </c>
      <c r="E226" s="315">
        <v>9</v>
      </c>
      <c r="F226" s="18">
        <v>3</v>
      </c>
      <c r="G226" s="353">
        <v>1190</v>
      </c>
      <c r="H226" s="383">
        <v>1068</v>
      </c>
      <c r="I226" s="16">
        <v>0</v>
      </c>
      <c r="J226" s="438">
        <v>1</v>
      </c>
      <c r="K226" s="607">
        <f>ROUND(H226*(1+'29_01_H_2020'!$F$14),2)</f>
        <v>1174.8</v>
      </c>
      <c r="L226" s="608">
        <f t="shared" si="173"/>
        <v>1174.8</v>
      </c>
      <c r="M226" s="608">
        <f t="shared" si="174"/>
        <v>106.79999999999995</v>
      </c>
      <c r="N226" s="608">
        <f t="shared" si="175"/>
        <v>0</v>
      </c>
      <c r="O226" s="608">
        <f t="shared" si="176"/>
        <v>0</v>
      </c>
      <c r="P226" s="608">
        <f t="shared" si="177"/>
        <v>0</v>
      </c>
      <c r="Q226" s="609">
        <f t="shared" si="168"/>
        <v>106.79999999999995</v>
      </c>
      <c r="R226" s="609">
        <f t="shared" si="179"/>
        <v>106.79999999999995</v>
      </c>
      <c r="S226" s="609">
        <f t="shared" si="170"/>
        <v>1281.5999999999995</v>
      </c>
      <c r="T226" s="609">
        <f t="shared" si="171"/>
        <v>308.74</v>
      </c>
      <c r="U226" s="610">
        <f t="shared" si="178"/>
        <v>1590.3399999999995</v>
      </c>
      <c r="V226" s="611"/>
      <c r="W226" s="611"/>
      <c r="X226" s="611"/>
      <c r="Y226" s="616"/>
      <c r="Z226" s="805"/>
      <c r="AA226" s="806"/>
      <c r="AB226" s="806"/>
      <c r="AC226" s="581"/>
      <c r="AD226" s="581"/>
      <c r="AE226" s="824"/>
      <c r="AF226" s="824"/>
      <c r="AG226" s="824"/>
      <c r="AH226" s="824"/>
      <c r="AI226" s="824"/>
      <c r="AJ226" s="824"/>
      <c r="AK226" s="824"/>
      <c r="AL226" s="824"/>
      <c r="AM226" s="824"/>
      <c r="AN226" s="824"/>
      <c r="AO226" s="616"/>
      <c r="AP226" s="581"/>
      <c r="AQ226" s="581"/>
      <c r="AR226" s="824"/>
      <c r="AS226" s="824"/>
      <c r="AT226" s="824"/>
      <c r="AU226" s="824"/>
      <c r="AV226" s="824"/>
      <c r="AW226" s="824"/>
      <c r="AX226" s="824"/>
      <c r="AY226" s="824"/>
      <c r="AZ226" s="824"/>
      <c r="BA226" s="824"/>
      <c r="BB226" s="616"/>
      <c r="BC226" s="581"/>
      <c r="BD226" s="581"/>
      <c r="BE226" s="581"/>
      <c r="BF226" s="581"/>
    </row>
    <row r="227" spans="2:58" x14ac:dyDescent="0.25">
      <c r="B227" s="395" t="s">
        <v>106</v>
      </c>
      <c r="C227" s="16">
        <v>35</v>
      </c>
      <c r="D227" s="16" t="s">
        <v>41</v>
      </c>
      <c r="E227" s="315">
        <v>9</v>
      </c>
      <c r="F227" s="18">
        <v>3</v>
      </c>
      <c r="G227" s="353">
        <v>1190</v>
      </c>
      <c r="H227" s="383">
        <v>1068</v>
      </c>
      <c r="I227" s="16">
        <v>0</v>
      </c>
      <c r="J227" s="438">
        <v>1</v>
      </c>
      <c r="K227" s="607">
        <f>ROUND(H227*(1+'29_01_H_2020'!$F$14),2)</f>
        <v>1174.8</v>
      </c>
      <c r="L227" s="608">
        <f t="shared" si="173"/>
        <v>1174.8</v>
      </c>
      <c r="M227" s="608">
        <f t="shared" si="174"/>
        <v>106.79999999999995</v>
      </c>
      <c r="N227" s="608">
        <f t="shared" si="175"/>
        <v>0</v>
      </c>
      <c r="O227" s="608">
        <f t="shared" si="176"/>
        <v>0</v>
      </c>
      <c r="P227" s="608">
        <f t="shared" si="177"/>
        <v>0</v>
      </c>
      <c r="Q227" s="609">
        <f t="shared" si="168"/>
        <v>106.79999999999995</v>
      </c>
      <c r="R227" s="609">
        <f t="shared" si="179"/>
        <v>106.79999999999995</v>
      </c>
      <c r="S227" s="609">
        <f t="shared" si="170"/>
        <v>1281.5999999999995</v>
      </c>
      <c r="T227" s="609">
        <f t="shared" si="171"/>
        <v>308.74</v>
      </c>
      <c r="U227" s="610">
        <f t="shared" si="178"/>
        <v>1590.3399999999995</v>
      </c>
      <c r="V227" s="611"/>
      <c r="W227" s="611"/>
      <c r="X227" s="611"/>
      <c r="Y227" s="616"/>
      <c r="Z227" s="805"/>
      <c r="AA227" s="806"/>
      <c r="AB227" s="806"/>
      <c r="AC227" s="581"/>
      <c r="AD227" s="581"/>
      <c r="AE227" s="824"/>
      <c r="AF227" s="824"/>
      <c r="AG227" s="824"/>
      <c r="AH227" s="824"/>
      <c r="AI227" s="824"/>
      <c r="AJ227" s="824"/>
      <c r="AK227" s="824"/>
      <c r="AL227" s="824"/>
      <c r="AM227" s="824"/>
      <c r="AN227" s="824"/>
      <c r="AO227" s="616"/>
      <c r="AP227" s="581"/>
      <c r="AQ227" s="581"/>
      <c r="AR227" s="824"/>
      <c r="AS227" s="824"/>
      <c r="AT227" s="824"/>
      <c r="AU227" s="824"/>
      <c r="AV227" s="824"/>
      <c r="AW227" s="824"/>
      <c r="AX227" s="824"/>
      <c r="AY227" s="824"/>
      <c r="AZ227" s="824"/>
      <c r="BA227" s="824"/>
      <c r="BB227" s="616"/>
      <c r="BC227" s="581"/>
      <c r="BD227" s="581"/>
      <c r="BE227" s="581"/>
      <c r="BF227" s="581"/>
    </row>
    <row r="228" spans="2:58" x14ac:dyDescent="0.25">
      <c r="B228" s="395" t="s">
        <v>106</v>
      </c>
      <c r="C228" s="16">
        <v>35</v>
      </c>
      <c r="D228" s="16" t="s">
        <v>41</v>
      </c>
      <c r="E228" s="315">
        <v>9</v>
      </c>
      <c r="F228" s="18">
        <v>3</v>
      </c>
      <c r="G228" s="353">
        <v>1190</v>
      </c>
      <c r="H228" s="383">
        <v>1068</v>
      </c>
      <c r="I228" s="16">
        <v>0</v>
      </c>
      <c r="J228" s="438">
        <v>1</v>
      </c>
      <c r="K228" s="607">
        <f>ROUND(H228*(1+'29_01_H_2020'!$F$14),2)</f>
        <v>1174.8</v>
      </c>
      <c r="L228" s="608">
        <f t="shared" si="173"/>
        <v>1174.8</v>
      </c>
      <c r="M228" s="608">
        <f t="shared" si="174"/>
        <v>106.79999999999995</v>
      </c>
      <c r="N228" s="608">
        <f t="shared" si="175"/>
        <v>0</v>
      </c>
      <c r="O228" s="608">
        <f t="shared" si="176"/>
        <v>0</v>
      </c>
      <c r="P228" s="608">
        <f t="shared" si="177"/>
        <v>0</v>
      </c>
      <c r="Q228" s="609">
        <f t="shared" si="168"/>
        <v>106.79999999999995</v>
      </c>
      <c r="R228" s="609">
        <f t="shared" si="179"/>
        <v>106.79999999999995</v>
      </c>
      <c r="S228" s="609">
        <f t="shared" si="170"/>
        <v>1281.5999999999995</v>
      </c>
      <c r="T228" s="609">
        <f t="shared" si="171"/>
        <v>308.74</v>
      </c>
      <c r="U228" s="610">
        <f t="shared" si="178"/>
        <v>1590.3399999999995</v>
      </c>
      <c r="V228" s="611"/>
      <c r="W228" s="611"/>
      <c r="X228" s="611"/>
      <c r="Y228" s="616"/>
      <c r="Z228" s="805"/>
      <c r="AA228" s="806"/>
      <c r="AB228" s="806"/>
      <c r="AC228" s="581"/>
      <c r="AD228" s="581"/>
      <c r="AE228" s="824"/>
      <c r="AF228" s="824"/>
      <c r="AG228" s="824"/>
      <c r="AH228" s="824"/>
      <c r="AI228" s="824"/>
      <c r="AJ228" s="824"/>
      <c r="AK228" s="824"/>
      <c r="AL228" s="824"/>
      <c r="AM228" s="824"/>
      <c r="AN228" s="824"/>
      <c r="AO228" s="616"/>
      <c r="AP228" s="581"/>
      <c r="AQ228" s="581"/>
      <c r="AR228" s="824"/>
      <c r="AS228" s="824"/>
      <c r="AT228" s="824"/>
      <c r="AU228" s="824"/>
      <c r="AV228" s="824"/>
      <c r="AW228" s="824"/>
      <c r="AX228" s="824"/>
      <c r="AY228" s="824"/>
      <c r="AZ228" s="824"/>
      <c r="BA228" s="824"/>
      <c r="BB228" s="616"/>
      <c r="BC228" s="581"/>
      <c r="BD228" s="581"/>
      <c r="BE228" s="581"/>
      <c r="BF228" s="581"/>
    </row>
    <row r="229" spans="2:58" x14ac:dyDescent="0.25">
      <c r="B229" s="395" t="s">
        <v>106</v>
      </c>
      <c r="C229" s="16">
        <v>35</v>
      </c>
      <c r="D229" s="16" t="s">
        <v>41</v>
      </c>
      <c r="E229" s="315">
        <v>9</v>
      </c>
      <c r="F229" s="18">
        <v>3</v>
      </c>
      <c r="G229" s="353">
        <v>1190</v>
      </c>
      <c r="H229" s="383">
        <v>1068</v>
      </c>
      <c r="I229" s="16">
        <v>0</v>
      </c>
      <c r="J229" s="438">
        <v>1</v>
      </c>
      <c r="K229" s="607">
        <f>ROUND(H229*(1+'29_01_H_2020'!$F$14),2)</f>
        <v>1174.8</v>
      </c>
      <c r="L229" s="608">
        <f t="shared" si="173"/>
        <v>1174.8</v>
      </c>
      <c r="M229" s="608">
        <f t="shared" si="174"/>
        <v>106.79999999999995</v>
      </c>
      <c r="N229" s="608">
        <f t="shared" si="175"/>
        <v>0</v>
      </c>
      <c r="O229" s="608">
        <f t="shared" si="176"/>
        <v>0</v>
      </c>
      <c r="P229" s="608">
        <f t="shared" si="177"/>
        <v>0</v>
      </c>
      <c r="Q229" s="609">
        <f t="shared" si="168"/>
        <v>106.79999999999995</v>
      </c>
      <c r="R229" s="609">
        <f t="shared" si="179"/>
        <v>106.79999999999995</v>
      </c>
      <c r="S229" s="609">
        <f t="shared" si="170"/>
        <v>1281.5999999999995</v>
      </c>
      <c r="T229" s="609">
        <f t="shared" si="171"/>
        <v>308.74</v>
      </c>
      <c r="U229" s="610">
        <f t="shared" si="178"/>
        <v>1590.3399999999995</v>
      </c>
      <c r="V229" s="611"/>
      <c r="W229" s="611"/>
      <c r="X229" s="611"/>
      <c r="Y229" s="616"/>
      <c r="Z229" s="805"/>
      <c r="AA229" s="806"/>
      <c r="AB229" s="806"/>
      <c r="AC229" s="581"/>
      <c r="AD229" s="581"/>
      <c r="AE229" s="824"/>
      <c r="AF229" s="824"/>
      <c r="AG229" s="824"/>
      <c r="AH229" s="824"/>
      <c r="AI229" s="824"/>
      <c r="AJ229" s="824"/>
      <c r="AK229" s="824"/>
      <c r="AL229" s="824"/>
      <c r="AM229" s="824"/>
      <c r="AN229" s="824"/>
      <c r="AO229" s="616"/>
      <c r="AP229" s="581"/>
      <c r="AQ229" s="581"/>
      <c r="AR229" s="824"/>
      <c r="AS229" s="824"/>
      <c r="AT229" s="824"/>
      <c r="AU229" s="824"/>
      <c r="AV229" s="824"/>
      <c r="AW229" s="824"/>
      <c r="AX229" s="824"/>
      <c r="AY229" s="824"/>
      <c r="AZ229" s="824"/>
      <c r="BA229" s="824"/>
      <c r="BB229" s="616"/>
      <c r="BC229" s="581"/>
      <c r="BD229" s="581"/>
      <c r="BE229" s="581"/>
      <c r="BF229" s="581"/>
    </row>
    <row r="230" spans="2:58" x14ac:dyDescent="0.25">
      <c r="B230" s="395" t="s">
        <v>106</v>
      </c>
      <c r="C230" s="16">
        <v>35</v>
      </c>
      <c r="D230" s="16" t="s">
        <v>41</v>
      </c>
      <c r="E230" s="315">
        <v>9</v>
      </c>
      <c r="F230" s="18">
        <v>3</v>
      </c>
      <c r="G230" s="353">
        <v>1190</v>
      </c>
      <c r="H230" s="383">
        <v>1068</v>
      </c>
      <c r="I230" s="16">
        <v>0</v>
      </c>
      <c r="J230" s="438">
        <v>1</v>
      </c>
      <c r="K230" s="607">
        <f>ROUND(H230*(1+'29_01_H_2020'!$F$14),2)</f>
        <v>1174.8</v>
      </c>
      <c r="L230" s="608">
        <f t="shared" si="173"/>
        <v>1174.8</v>
      </c>
      <c r="M230" s="608">
        <f t="shared" si="174"/>
        <v>106.79999999999995</v>
      </c>
      <c r="N230" s="608">
        <f t="shared" si="175"/>
        <v>0</v>
      </c>
      <c r="O230" s="608">
        <f t="shared" si="176"/>
        <v>0</v>
      </c>
      <c r="P230" s="608">
        <f t="shared" si="177"/>
        <v>0</v>
      </c>
      <c r="Q230" s="609">
        <f t="shared" si="168"/>
        <v>106.79999999999995</v>
      </c>
      <c r="R230" s="609">
        <f t="shared" si="179"/>
        <v>106.79999999999995</v>
      </c>
      <c r="S230" s="609">
        <f t="shared" si="170"/>
        <v>1281.5999999999995</v>
      </c>
      <c r="T230" s="609">
        <f t="shared" si="171"/>
        <v>308.74</v>
      </c>
      <c r="U230" s="610">
        <f t="shared" si="178"/>
        <v>1590.3399999999995</v>
      </c>
      <c r="V230" s="611"/>
      <c r="W230" s="611"/>
      <c r="X230" s="611"/>
      <c r="Y230" s="616"/>
      <c r="Z230" s="805"/>
      <c r="AA230" s="806"/>
      <c r="AB230" s="806"/>
      <c r="AC230" s="581"/>
      <c r="AD230" s="581"/>
      <c r="AE230" s="824"/>
      <c r="AF230" s="824"/>
      <c r="AG230" s="824"/>
      <c r="AH230" s="824"/>
      <c r="AI230" s="824"/>
      <c r="AJ230" s="824"/>
      <c r="AK230" s="824"/>
      <c r="AL230" s="824"/>
      <c r="AM230" s="824"/>
      <c r="AN230" s="824"/>
      <c r="AO230" s="616"/>
      <c r="AP230" s="581"/>
      <c r="AQ230" s="581"/>
      <c r="AR230" s="824"/>
      <c r="AS230" s="824"/>
      <c r="AT230" s="824"/>
      <c r="AU230" s="824"/>
      <c r="AV230" s="824"/>
      <c r="AW230" s="824"/>
      <c r="AX230" s="824"/>
      <c r="AY230" s="824"/>
      <c r="AZ230" s="824"/>
      <c r="BA230" s="824"/>
      <c r="BB230" s="616"/>
      <c r="BC230" s="581"/>
      <c r="BD230" s="581"/>
      <c r="BE230" s="581"/>
      <c r="BF230" s="581"/>
    </row>
    <row r="231" spans="2:58" x14ac:dyDescent="0.25">
      <c r="B231" s="395" t="s">
        <v>106</v>
      </c>
      <c r="C231" s="16">
        <v>35</v>
      </c>
      <c r="D231" s="16" t="s">
        <v>41</v>
      </c>
      <c r="E231" s="315">
        <v>9</v>
      </c>
      <c r="F231" s="18">
        <v>3</v>
      </c>
      <c r="G231" s="353">
        <v>1190</v>
      </c>
      <c r="H231" s="383">
        <v>1068</v>
      </c>
      <c r="I231" s="16">
        <v>0</v>
      </c>
      <c r="J231" s="438">
        <v>1</v>
      </c>
      <c r="K231" s="607">
        <f>ROUND(H231*(1+'29_01_H_2020'!$F$14),2)</f>
        <v>1174.8</v>
      </c>
      <c r="L231" s="608">
        <f t="shared" si="173"/>
        <v>1174.8</v>
      </c>
      <c r="M231" s="608">
        <f t="shared" si="174"/>
        <v>106.79999999999995</v>
      </c>
      <c r="N231" s="608">
        <f t="shared" si="175"/>
        <v>0</v>
      </c>
      <c r="O231" s="608">
        <f t="shared" si="176"/>
        <v>0</v>
      </c>
      <c r="P231" s="608">
        <f t="shared" si="177"/>
        <v>0</v>
      </c>
      <c r="Q231" s="609">
        <f t="shared" si="168"/>
        <v>106.79999999999995</v>
      </c>
      <c r="R231" s="609">
        <f t="shared" si="179"/>
        <v>106.79999999999995</v>
      </c>
      <c r="S231" s="609">
        <f t="shared" si="170"/>
        <v>1281.5999999999995</v>
      </c>
      <c r="T231" s="609">
        <f t="shared" si="171"/>
        <v>308.74</v>
      </c>
      <c r="U231" s="610">
        <f t="shared" si="178"/>
        <v>1590.3399999999995</v>
      </c>
      <c r="V231" s="611"/>
      <c r="W231" s="611"/>
      <c r="X231" s="611"/>
      <c r="Y231" s="616"/>
      <c r="Z231" s="805"/>
      <c r="AA231" s="806"/>
      <c r="AB231" s="806"/>
      <c r="AC231" s="581"/>
      <c r="AD231" s="581"/>
      <c r="AE231" s="824"/>
      <c r="AF231" s="824"/>
      <c r="AG231" s="824"/>
      <c r="AH231" s="824"/>
      <c r="AI231" s="824"/>
      <c r="AJ231" s="824"/>
      <c r="AK231" s="824"/>
      <c r="AL231" s="824"/>
      <c r="AM231" s="824"/>
      <c r="AN231" s="824"/>
      <c r="AO231" s="616"/>
      <c r="AP231" s="581"/>
      <c r="AQ231" s="581"/>
      <c r="AR231" s="824"/>
      <c r="AS231" s="824"/>
      <c r="AT231" s="824"/>
      <c r="AU231" s="824"/>
      <c r="AV231" s="824"/>
      <c r="AW231" s="824"/>
      <c r="AX231" s="824"/>
      <c r="AY231" s="824"/>
      <c r="AZ231" s="824"/>
      <c r="BA231" s="824"/>
      <c r="BB231" s="616"/>
      <c r="BC231" s="581"/>
      <c r="BD231" s="581"/>
      <c r="BE231" s="581"/>
      <c r="BF231" s="581"/>
    </row>
    <row r="232" spans="2:58" x14ac:dyDescent="0.25">
      <c r="B232" s="395" t="s">
        <v>106</v>
      </c>
      <c r="C232" s="16">
        <v>35</v>
      </c>
      <c r="D232" s="16" t="s">
        <v>41</v>
      </c>
      <c r="E232" s="315">
        <v>9</v>
      </c>
      <c r="F232" s="18">
        <v>3</v>
      </c>
      <c r="G232" s="353">
        <v>1190</v>
      </c>
      <c r="H232" s="383">
        <v>1068</v>
      </c>
      <c r="I232" s="16">
        <v>0</v>
      </c>
      <c r="J232" s="438">
        <v>1</v>
      </c>
      <c r="K232" s="607">
        <f>ROUND(H232*(1+'29_01_H_2020'!$F$14),2)</f>
        <v>1174.8</v>
      </c>
      <c r="L232" s="608">
        <f t="shared" si="173"/>
        <v>1174.8</v>
      </c>
      <c r="M232" s="608">
        <f t="shared" si="174"/>
        <v>106.79999999999995</v>
      </c>
      <c r="N232" s="608">
        <f t="shared" si="175"/>
        <v>0</v>
      </c>
      <c r="O232" s="608">
        <f t="shared" si="176"/>
        <v>0</v>
      </c>
      <c r="P232" s="608">
        <f t="shared" si="177"/>
        <v>0</v>
      </c>
      <c r="Q232" s="609">
        <f t="shared" si="168"/>
        <v>106.79999999999995</v>
      </c>
      <c r="R232" s="609">
        <f t="shared" si="179"/>
        <v>106.79999999999995</v>
      </c>
      <c r="S232" s="609">
        <f t="shared" si="170"/>
        <v>1281.5999999999995</v>
      </c>
      <c r="T232" s="609">
        <f t="shared" si="171"/>
        <v>308.74</v>
      </c>
      <c r="U232" s="610">
        <f t="shared" si="178"/>
        <v>1590.3399999999995</v>
      </c>
      <c r="V232" s="611"/>
      <c r="W232" s="611"/>
      <c r="X232" s="611"/>
      <c r="Y232" s="616"/>
      <c r="Z232" s="805"/>
      <c r="AA232" s="806"/>
      <c r="AB232" s="806"/>
      <c r="AC232" s="581"/>
      <c r="AD232" s="581"/>
      <c r="AE232" s="824"/>
      <c r="AF232" s="824"/>
      <c r="AG232" s="824"/>
      <c r="AH232" s="824"/>
      <c r="AI232" s="824"/>
      <c r="AJ232" s="824"/>
      <c r="AK232" s="824"/>
      <c r="AL232" s="824"/>
      <c r="AM232" s="824"/>
      <c r="AN232" s="824"/>
      <c r="AO232" s="616"/>
      <c r="AP232" s="581"/>
      <c r="AQ232" s="581"/>
      <c r="AR232" s="824"/>
      <c r="AS232" s="824"/>
      <c r="AT232" s="824"/>
      <c r="AU232" s="824"/>
      <c r="AV232" s="824"/>
      <c r="AW232" s="824"/>
      <c r="AX232" s="824"/>
      <c r="AY232" s="824"/>
      <c r="AZ232" s="824"/>
      <c r="BA232" s="824"/>
      <c r="BB232" s="616"/>
      <c r="BC232" s="581"/>
      <c r="BD232" s="581"/>
      <c r="BE232" s="581"/>
      <c r="BF232" s="581"/>
    </row>
    <row r="233" spans="2:58" x14ac:dyDescent="0.25">
      <c r="B233" s="395" t="s">
        <v>107</v>
      </c>
      <c r="C233" s="16">
        <v>35</v>
      </c>
      <c r="D233" s="16" t="s">
        <v>41</v>
      </c>
      <c r="E233" s="315">
        <v>9</v>
      </c>
      <c r="F233" s="18">
        <v>3</v>
      </c>
      <c r="G233" s="353">
        <v>1190</v>
      </c>
      <c r="H233" s="383">
        <v>996</v>
      </c>
      <c r="I233" s="16">
        <v>0</v>
      </c>
      <c r="J233" s="438">
        <v>1</v>
      </c>
      <c r="K233" s="607">
        <f>ROUND(H233*(1+'29_01_H_2020'!$F$14),2)</f>
        <v>1095.5999999999999</v>
      </c>
      <c r="L233" s="608">
        <f t="shared" si="173"/>
        <v>1095.5999999999999</v>
      </c>
      <c r="M233" s="608">
        <f t="shared" si="174"/>
        <v>99.599999999999909</v>
      </c>
      <c r="N233" s="608">
        <f t="shared" si="175"/>
        <v>0</v>
      </c>
      <c r="O233" s="608">
        <f t="shared" si="176"/>
        <v>0</v>
      </c>
      <c r="P233" s="608">
        <f t="shared" si="177"/>
        <v>0</v>
      </c>
      <c r="Q233" s="609">
        <f t="shared" si="168"/>
        <v>99.599999999999909</v>
      </c>
      <c r="R233" s="609">
        <f t="shared" si="179"/>
        <v>99.599999999999909</v>
      </c>
      <c r="S233" s="609">
        <f t="shared" si="170"/>
        <v>1195.1999999999989</v>
      </c>
      <c r="T233" s="609">
        <f t="shared" si="171"/>
        <v>287.92</v>
      </c>
      <c r="U233" s="610">
        <f t="shared" si="178"/>
        <v>1483.119999999999</v>
      </c>
      <c r="V233" s="611"/>
      <c r="W233" s="611"/>
      <c r="X233" s="611"/>
      <c r="Y233" s="616"/>
      <c r="Z233" s="805"/>
      <c r="AA233" s="806"/>
      <c r="AB233" s="806"/>
      <c r="AC233" s="581"/>
      <c r="AD233" s="581"/>
      <c r="AE233" s="824"/>
      <c r="AF233" s="824"/>
      <c r="AG233" s="824"/>
      <c r="AH233" s="824"/>
      <c r="AI233" s="824"/>
      <c r="AJ233" s="824"/>
      <c r="AK233" s="824"/>
      <c r="AL233" s="824"/>
      <c r="AM233" s="824"/>
      <c r="AN233" s="824"/>
      <c r="AO233" s="616"/>
      <c r="AP233" s="581"/>
      <c r="AQ233" s="581"/>
      <c r="AR233" s="824"/>
      <c r="AS233" s="824"/>
      <c r="AT233" s="824"/>
      <c r="AU233" s="824"/>
      <c r="AV233" s="824"/>
      <c r="AW233" s="824"/>
      <c r="AX233" s="824"/>
      <c r="AY233" s="824"/>
      <c r="AZ233" s="824"/>
      <c r="BA233" s="824"/>
      <c r="BB233" s="616"/>
      <c r="BC233" s="581"/>
      <c r="BD233" s="581"/>
      <c r="BE233" s="581"/>
      <c r="BF233" s="581"/>
    </row>
    <row r="234" spans="2:58" x14ac:dyDescent="0.25">
      <c r="B234" s="395" t="s">
        <v>107</v>
      </c>
      <c r="C234" s="16">
        <v>35</v>
      </c>
      <c r="D234" s="16" t="s">
        <v>41</v>
      </c>
      <c r="E234" s="315">
        <v>9</v>
      </c>
      <c r="F234" s="18">
        <v>3</v>
      </c>
      <c r="G234" s="353">
        <v>1190</v>
      </c>
      <c r="H234" s="383">
        <v>996</v>
      </c>
      <c r="I234" s="16">
        <v>0</v>
      </c>
      <c r="J234" s="438">
        <v>1</v>
      </c>
      <c r="K234" s="607">
        <f>ROUND(H234*(1+'29_01_H_2020'!$F$14),2)</f>
        <v>1095.5999999999999</v>
      </c>
      <c r="L234" s="608">
        <f t="shared" si="173"/>
        <v>1095.5999999999999</v>
      </c>
      <c r="M234" s="608">
        <f t="shared" si="174"/>
        <v>99.599999999999909</v>
      </c>
      <c r="N234" s="608">
        <f t="shared" si="175"/>
        <v>0</v>
      </c>
      <c r="O234" s="608">
        <f t="shared" si="176"/>
        <v>0</v>
      </c>
      <c r="P234" s="608">
        <f t="shared" si="177"/>
        <v>0</v>
      </c>
      <c r="Q234" s="609">
        <f t="shared" si="168"/>
        <v>99.599999999999909</v>
      </c>
      <c r="R234" s="609">
        <f t="shared" si="179"/>
        <v>99.599999999999909</v>
      </c>
      <c r="S234" s="609">
        <f t="shared" si="170"/>
        <v>1195.1999999999989</v>
      </c>
      <c r="T234" s="609">
        <f t="shared" si="171"/>
        <v>287.92</v>
      </c>
      <c r="U234" s="610">
        <f t="shared" si="178"/>
        <v>1483.119999999999</v>
      </c>
      <c r="V234" s="611"/>
      <c r="W234" s="611"/>
      <c r="X234" s="611"/>
      <c r="Y234" s="616"/>
      <c r="Z234" s="805"/>
      <c r="AA234" s="806"/>
      <c r="AB234" s="806"/>
      <c r="AC234" s="581"/>
      <c r="AD234" s="581"/>
      <c r="AE234" s="824"/>
      <c r="AF234" s="824"/>
      <c r="AG234" s="824"/>
      <c r="AH234" s="824"/>
      <c r="AI234" s="824"/>
      <c r="AJ234" s="824"/>
      <c r="AK234" s="824"/>
      <c r="AL234" s="824"/>
      <c r="AM234" s="824"/>
      <c r="AN234" s="824"/>
      <c r="AO234" s="616"/>
      <c r="AP234" s="581"/>
      <c r="AQ234" s="581"/>
      <c r="AR234" s="824"/>
      <c r="AS234" s="824"/>
      <c r="AT234" s="824"/>
      <c r="AU234" s="824"/>
      <c r="AV234" s="824"/>
      <c r="AW234" s="824"/>
      <c r="AX234" s="824"/>
      <c r="AY234" s="824"/>
      <c r="AZ234" s="824"/>
      <c r="BA234" s="824"/>
      <c r="BB234" s="616"/>
      <c r="BC234" s="581"/>
      <c r="BD234" s="581"/>
      <c r="BE234" s="581"/>
      <c r="BF234" s="581"/>
    </row>
    <row r="235" spans="2:58" x14ac:dyDescent="0.25">
      <c r="B235" s="395" t="s">
        <v>107</v>
      </c>
      <c r="C235" s="16">
        <v>35</v>
      </c>
      <c r="D235" s="16" t="s">
        <v>41</v>
      </c>
      <c r="E235" s="315">
        <v>9</v>
      </c>
      <c r="F235" s="18">
        <v>3</v>
      </c>
      <c r="G235" s="353">
        <v>1190</v>
      </c>
      <c r="H235" s="383">
        <v>996</v>
      </c>
      <c r="I235" s="16">
        <v>0</v>
      </c>
      <c r="J235" s="438">
        <v>1</v>
      </c>
      <c r="K235" s="607">
        <f>ROUND(H235*(1+'29_01_H_2020'!$F$14),2)</f>
        <v>1095.5999999999999</v>
      </c>
      <c r="L235" s="608">
        <f t="shared" si="173"/>
        <v>1095.5999999999999</v>
      </c>
      <c r="M235" s="608">
        <f t="shared" si="174"/>
        <v>99.599999999999909</v>
      </c>
      <c r="N235" s="608">
        <f t="shared" si="175"/>
        <v>0</v>
      </c>
      <c r="O235" s="608">
        <f t="shared" si="176"/>
        <v>0</v>
      </c>
      <c r="P235" s="608">
        <f t="shared" si="177"/>
        <v>0</v>
      </c>
      <c r="Q235" s="609">
        <f t="shared" si="168"/>
        <v>99.599999999999909</v>
      </c>
      <c r="R235" s="609">
        <f t="shared" si="179"/>
        <v>99.599999999999909</v>
      </c>
      <c r="S235" s="609">
        <f t="shared" si="170"/>
        <v>1195.1999999999989</v>
      </c>
      <c r="T235" s="609">
        <f t="shared" si="171"/>
        <v>287.92</v>
      </c>
      <c r="U235" s="610">
        <f t="shared" si="178"/>
        <v>1483.119999999999</v>
      </c>
      <c r="V235" s="611"/>
      <c r="W235" s="611"/>
      <c r="X235" s="611"/>
      <c r="Y235" s="616"/>
      <c r="Z235" s="805"/>
      <c r="AA235" s="806"/>
      <c r="AB235" s="806"/>
      <c r="AC235" s="581"/>
      <c r="AD235" s="581"/>
      <c r="AE235" s="824"/>
      <c r="AF235" s="824"/>
      <c r="AG235" s="824"/>
      <c r="AH235" s="824"/>
      <c r="AI235" s="824"/>
      <c r="AJ235" s="824"/>
      <c r="AK235" s="824"/>
      <c r="AL235" s="824"/>
      <c r="AM235" s="824"/>
      <c r="AN235" s="824"/>
      <c r="AO235" s="616"/>
      <c r="AP235" s="581"/>
      <c r="AQ235" s="581"/>
      <c r="AR235" s="824"/>
      <c r="AS235" s="824"/>
      <c r="AT235" s="824"/>
      <c r="AU235" s="824"/>
      <c r="AV235" s="824"/>
      <c r="AW235" s="824"/>
      <c r="AX235" s="824"/>
      <c r="AY235" s="824"/>
      <c r="AZ235" s="824"/>
      <c r="BA235" s="824"/>
      <c r="BB235" s="616"/>
      <c r="BC235" s="581"/>
      <c r="BD235" s="581"/>
      <c r="BE235" s="581"/>
      <c r="BF235" s="581"/>
    </row>
    <row r="236" spans="2:58" x14ac:dyDescent="0.25">
      <c r="B236" s="395" t="s">
        <v>107</v>
      </c>
      <c r="C236" s="16">
        <v>35</v>
      </c>
      <c r="D236" s="16" t="s">
        <v>41</v>
      </c>
      <c r="E236" s="315">
        <v>9</v>
      </c>
      <c r="F236" s="18">
        <v>3</v>
      </c>
      <c r="G236" s="353">
        <v>1190</v>
      </c>
      <c r="H236" s="383">
        <v>996</v>
      </c>
      <c r="I236" s="16">
        <v>0</v>
      </c>
      <c r="J236" s="438">
        <v>1</v>
      </c>
      <c r="K236" s="607">
        <f>ROUND(H236*(1+'29_01_H_2020'!$F$14),2)</f>
        <v>1095.5999999999999</v>
      </c>
      <c r="L236" s="608">
        <f t="shared" si="173"/>
        <v>1095.5999999999999</v>
      </c>
      <c r="M236" s="608">
        <f t="shared" si="174"/>
        <v>99.599999999999909</v>
      </c>
      <c r="N236" s="608">
        <f t="shared" si="175"/>
        <v>0</v>
      </c>
      <c r="O236" s="608">
        <f t="shared" si="176"/>
        <v>0</v>
      </c>
      <c r="P236" s="608">
        <f t="shared" si="177"/>
        <v>0</v>
      </c>
      <c r="Q236" s="609">
        <f t="shared" si="168"/>
        <v>99.599999999999909</v>
      </c>
      <c r="R236" s="609">
        <f t="shared" si="179"/>
        <v>99.599999999999909</v>
      </c>
      <c r="S236" s="609">
        <f t="shared" si="170"/>
        <v>1195.1999999999989</v>
      </c>
      <c r="T236" s="609">
        <f t="shared" si="171"/>
        <v>287.92</v>
      </c>
      <c r="U236" s="610">
        <f t="shared" si="178"/>
        <v>1483.119999999999</v>
      </c>
      <c r="V236" s="611"/>
      <c r="W236" s="611"/>
      <c r="X236" s="611"/>
      <c r="Y236" s="616"/>
      <c r="Z236" s="805"/>
      <c r="AA236" s="806"/>
      <c r="AB236" s="806"/>
      <c r="AC236" s="581"/>
      <c r="AD236" s="581"/>
      <c r="AE236" s="824"/>
      <c r="AF236" s="824"/>
      <c r="AG236" s="824"/>
      <c r="AH236" s="824"/>
      <c r="AI236" s="824"/>
      <c r="AJ236" s="824"/>
      <c r="AK236" s="824"/>
      <c r="AL236" s="824"/>
      <c r="AM236" s="824"/>
      <c r="AN236" s="824"/>
      <c r="AO236" s="616"/>
      <c r="AP236" s="581"/>
      <c r="AQ236" s="581"/>
      <c r="AR236" s="824"/>
      <c r="AS236" s="824"/>
      <c r="AT236" s="824"/>
      <c r="AU236" s="824"/>
      <c r="AV236" s="824"/>
      <c r="AW236" s="824"/>
      <c r="AX236" s="824"/>
      <c r="AY236" s="824"/>
      <c r="AZ236" s="824"/>
      <c r="BA236" s="824"/>
      <c r="BB236" s="616"/>
      <c r="BC236" s="581"/>
      <c r="BD236" s="581"/>
      <c r="BE236" s="581"/>
      <c r="BF236" s="581"/>
    </row>
    <row r="237" spans="2:58" x14ac:dyDescent="0.25">
      <c r="B237" s="395" t="s">
        <v>107</v>
      </c>
      <c r="C237" s="16">
        <v>35</v>
      </c>
      <c r="D237" s="16" t="s">
        <v>41</v>
      </c>
      <c r="E237" s="315">
        <v>9</v>
      </c>
      <c r="F237" s="18">
        <v>3</v>
      </c>
      <c r="G237" s="353">
        <v>1190</v>
      </c>
      <c r="H237" s="383">
        <v>996</v>
      </c>
      <c r="I237" s="16">
        <v>0</v>
      </c>
      <c r="J237" s="438">
        <v>1</v>
      </c>
      <c r="K237" s="607">
        <f>ROUND(H237*(1+'29_01_H_2020'!$F$14),2)</f>
        <v>1095.5999999999999</v>
      </c>
      <c r="L237" s="608">
        <f t="shared" si="173"/>
        <v>1095.5999999999999</v>
      </c>
      <c r="M237" s="608">
        <f t="shared" si="174"/>
        <v>99.599999999999909</v>
      </c>
      <c r="N237" s="608">
        <f t="shared" si="175"/>
        <v>0</v>
      </c>
      <c r="O237" s="608">
        <f t="shared" si="176"/>
        <v>0</v>
      </c>
      <c r="P237" s="608">
        <f t="shared" si="177"/>
        <v>0</v>
      </c>
      <c r="Q237" s="609">
        <f t="shared" si="168"/>
        <v>99.599999999999909</v>
      </c>
      <c r="R237" s="609">
        <f t="shared" si="179"/>
        <v>99.599999999999909</v>
      </c>
      <c r="S237" s="609">
        <f t="shared" si="170"/>
        <v>1195.1999999999989</v>
      </c>
      <c r="T237" s="609">
        <f t="shared" si="171"/>
        <v>287.92</v>
      </c>
      <c r="U237" s="610">
        <f t="shared" si="178"/>
        <v>1483.119999999999</v>
      </c>
      <c r="V237" s="611"/>
      <c r="W237" s="611"/>
      <c r="X237" s="611"/>
      <c r="Y237" s="616"/>
      <c r="Z237" s="805"/>
      <c r="AA237" s="806"/>
      <c r="AB237" s="806"/>
      <c r="AC237" s="581"/>
      <c r="AD237" s="581"/>
      <c r="AE237" s="824"/>
      <c r="AF237" s="824"/>
      <c r="AG237" s="824"/>
      <c r="AH237" s="824"/>
      <c r="AI237" s="824"/>
      <c r="AJ237" s="824"/>
      <c r="AK237" s="824"/>
      <c r="AL237" s="824"/>
      <c r="AM237" s="824"/>
      <c r="AN237" s="824"/>
      <c r="AO237" s="616"/>
      <c r="AP237" s="581"/>
      <c r="AQ237" s="581"/>
      <c r="AR237" s="824"/>
      <c r="AS237" s="824"/>
      <c r="AT237" s="824"/>
      <c r="AU237" s="824"/>
      <c r="AV237" s="824"/>
      <c r="AW237" s="824"/>
      <c r="AX237" s="824"/>
      <c r="AY237" s="824"/>
      <c r="AZ237" s="824"/>
      <c r="BA237" s="824"/>
      <c r="BB237" s="616"/>
      <c r="BC237" s="581"/>
      <c r="BD237" s="581"/>
      <c r="BE237" s="581"/>
      <c r="BF237" s="581"/>
    </row>
    <row r="238" spans="2:58" x14ac:dyDescent="0.25">
      <c r="B238" s="395" t="s">
        <v>107</v>
      </c>
      <c r="C238" s="16">
        <v>35</v>
      </c>
      <c r="D238" s="16" t="s">
        <v>41</v>
      </c>
      <c r="E238" s="315">
        <v>9</v>
      </c>
      <c r="F238" s="18">
        <v>3</v>
      </c>
      <c r="G238" s="353">
        <v>1190</v>
      </c>
      <c r="H238" s="383">
        <v>996</v>
      </c>
      <c r="I238" s="16">
        <v>0</v>
      </c>
      <c r="J238" s="438">
        <v>1</v>
      </c>
      <c r="K238" s="607">
        <f>ROUND(H238*(1+'29_01_H_2020'!$F$14),2)</f>
        <v>1095.5999999999999</v>
      </c>
      <c r="L238" s="608">
        <f t="shared" si="173"/>
        <v>1095.5999999999999</v>
      </c>
      <c r="M238" s="608">
        <f t="shared" si="174"/>
        <v>99.599999999999909</v>
      </c>
      <c r="N238" s="608">
        <f t="shared" si="175"/>
        <v>0</v>
      </c>
      <c r="O238" s="608">
        <f t="shared" si="176"/>
        <v>0</v>
      </c>
      <c r="P238" s="608">
        <f t="shared" si="177"/>
        <v>0</v>
      </c>
      <c r="Q238" s="609">
        <f t="shared" si="168"/>
        <v>99.599999999999909</v>
      </c>
      <c r="R238" s="609">
        <f t="shared" si="179"/>
        <v>99.599999999999909</v>
      </c>
      <c r="S238" s="609">
        <f t="shared" si="170"/>
        <v>1195.1999999999989</v>
      </c>
      <c r="T238" s="609">
        <f t="shared" si="171"/>
        <v>287.92</v>
      </c>
      <c r="U238" s="610">
        <f t="shared" si="178"/>
        <v>1483.119999999999</v>
      </c>
      <c r="V238" s="611"/>
      <c r="W238" s="611"/>
      <c r="X238" s="611"/>
      <c r="Y238" s="616"/>
      <c r="Z238" s="805"/>
      <c r="AA238" s="806"/>
      <c r="AB238" s="806"/>
      <c r="AC238" s="581"/>
      <c r="AD238" s="581"/>
      <c r="AE238" s="824"/>
      <c r="AF238" s="824"/>
      <c r="AG238" s="824"/>
      <c r="AH238" s="824"/>
      <c r="AI238" s="824"/>
      <c r="AJ238" s="824"/>
      <c r="AK238" s="824"/>
      <c r="AL238" s="824"/>
      <c r="AM238" s="824"/>
      <c r="AN238" s="824"/>
      <c r="AO238" s="616"/>
      <c r="AP238" s="581"/>
      <c r="AQ238" s="581"/>
      <c r="AR238" s="824"/>
      <c r="AS238" s="824"/>
      <c r="AT238" s="824"/>
      <c r="AU238" s="824"/>
      <c r="AV238" s="824"/>
      <c r="AW238" s="824"/>
      <c r="AX238" s="824"/>
      <c r="AY238" s="824"/>
      <c r="AZ238" s="824"/>
      <c r="BA238" s="824"/>
      <c r="BB238" s="616"/>
      <c r="BC238" s="581"/>
      <c r="BD238" s="581"/>
      <c r="BE238" s="581"/>
      <c r="BF238" s="581"/>
    </row>
    <row r="239" spans="2:58" x14ac:dyDescent="0.25">
      <c r="B239" s="395" t="s">
        <v>107</v>
      </c>
      <c r="C239" s="16">
        <v>35</v>
      </c>
      <c r="D239" s="16" t="s">
        <v>41</v>
      </c>
      <c r="E239" s="315">
        <v>9</v>
      </c>
      <c r="F239" s="18">
        <v>3</v>
      </c>
      <c r="G239" s="353">
        <v>1190</v>
      </c>
      <c r="H239" s="383">
        <v>996</v>
      </c>
      <c r="I239" s="16">
        <v>0</v>
      </c>
      <c r="J239" s="438">
        <v>1</v>
      </c>
      <c r="K239" s="607">
        <f>ROUND(H239*(1+'29_01_H_2020'!$F$14),2)</f>
        <v>1095.5999999999999</v>
      </c>
      <c r="L239" s="608">
        <f t="shared" si="173"/>
        <v>1095.5999999999999</v>
      </c>
      <c r="M239" s="608">
        <f t="shared" si="174"/>
        <v>99.599999999999909</v>
      </c>
      <c r="N239" s="608">
        <f t="shared" si="175"/>
        <v>0</v>
      </c>
      <c r="O239" s="608">
        <f t="shared" si="176"/>
        <v>0</v>
      </c>
      <c r="P239" s="608">
        <f t="shared" si="177"/>
        <v>0</v>
      </c>
      <c r="Q239" s="609">
        <f t="shared" si="168"/>
        <v>99.599999999999909</v>
      </c>
      <c r="R239" s="609">
        <f t="shared" si="179"/>
        <v>99.599999999999909</v>
      </c>
      <c r="S239" s="609">
        <f t="shared" si="170"/>
        <v>1195.1999999999989</v>
      </c>
      <c r="T239" s="609">
        <f t="shared" si="171"/>
        <v>287.92</v>
      </c>
      <c r="U239" s="610">
        <f t="shared" si="178"/>
        <v>1483.119999999999</v>
      </c>
      <c r="V239" s="611"/>
      <c r="W239" s="611"/>
      <c r="X239" s="611"/>
      <c r="Y239" s="616"/>
      <c r="Z239" s="805"/>
      <c r="AA239" s="806"/>
      <c r="AB239" s="806"/>
      <c r="AC239" s="581"/>
      <c r="AD239" s="581"/>
      <c r="AE239" s="824"/>
      <c r="AF239" s="824"/>
      <c r="AG239" s="824"/>
      <c r="AH239" s="824"/>
      <c r="AI239" s="824"/>
      <c r="AJ239" s="824"/>
      <c r="AK239" s="824"/>
      <c r="AL239" s="824"/>
      <c r="AM239" s="824"/>
      <c r="AN239" s="824"/>
      <c r="AO239" s="616"/>
      <c r="AP239" s="581"/>
      <c r="AQ239" s="581"/>
      <c r="AR239" s="824"/>
      <c r="AS239" s="824"/>
      <c r="AT239" s="824"/>
      <c r="AU239" s="824"/>
      <c r="AV239" s="824"/>
      <c r="AW239" s="824"/>
      <c r="AX239" s="824"/>
      <c r="AY239" s="824"/>
      <c r="AZ239" s="824"/>
      <c r="BA239" s="824"/>
      <c r="BB239" s="616"/>
      <c r="BC239" s="581"/>
      <c r="BD239" s="581"/>
      <c r="BE239" s="581"/>
      <c r="BF239" s="581"/>
    </row>
    <row r="240" spans="2:58" x14ac:dyDescent="0.25">
      <c r="B240" s="395" t="s">
        <v>107</v>
      </c>
      <c r="C240" s="16">
        <v>35</v>
      </c>
      <c r="D240" s="16" t="s">
        <v>41</v>
      </c>
      <c r="E240" s="315">
        <v>9</v>
      </c>
      <c r="F240" s="18">
        <v>3</v>
      </c>
      <c r="G240" s="353">
        <v>1190</v>
      </c>
      <c r="H240" s="383">
        <v>996</v>
      </c>
      <c r="I240" s="16">
        <v>0</v>
      </c>
      <c r="J240" s="438">
        <v>1</v>
      </c>
      <c r="K240" s="607">
        <f>ROUND(H240*(1+'29_01_H_2020'!$F$14),2)</f>
        <v>1095.5999999999999</v>
      </c>
      <c r="L240" s="608">
        <f t="shared" si="173"/>
        <v>1095.5999999999999</v>
      </c>
      <c r="M240" s="608">
        <f t="shared" si="174"/>
        <v>99.599999999999909</v>
      </c>
      <c r="N240" s="608">
        <f t="shared" si="175"/>
        <v>0</v>
      </c>
      <c r="O240" s="608">
        <f t="shared" si="176"/>
        <v>0</v>
      </c>
      <c r="P240" s="608">
        <f t="shared" si="177"/>
        <v>0</v>
      </c>
      <c r="Q240" s="609">
        <f t="shared" si="168"/>
        <v>99.599999999999909</v>
      </c>
      <c r="R240" s="609">
        <f t="shared" si="179"/>
        <v>99.599999999999909</v>
      </c>
      <c r="S240" s="609">
        <f t="shared" si="170"/>
        <v>1195.1999999999989</v>
      </c>
      <c r="T240" s="609">
        <f t="shared" si="171"/>
        <v>287.92</v>
      </c>
      <c r="U240" s="610">
        <f t="shared" si="178"/>
        <v>1483.119999999999</v>
      </c>
      <c r="V240" s="611"/>
      <c r="W240" s="611"/>
      <c r="X240" s="611"/>
      <c r="Y240" s="616"/>
      <c r="Z240" s="805"/>
      <c r="AA240" s="806"/>
      <c r="AB240" s="806"/>
      <c r="AC240" s="581"/>
      <c r="AD240" s="581"/>
      <c r="AE240" s="824"/>
      <c r="AF240" s="824"/>
      <c r="AG240" s="824"/>
      <c r="AH240" s="824"/>
      <c r="AI240" s="824"/>
      <c r="AJ240" s="824"/>
      <c r="AK240" s="824"/>
      <c r="AL240" s="824"/>
      <c r="AM240" s="824"/>
      <c r="AN240" s="824"/>
      <c r="AO240" s="616"/>
      <c r="AP240" s="581"/>
      <c r="AQ240" s="581"/>
      <c r="AR240" s="824"/>
      <c r="AS240" s="824"/>
      <c r="AT240" s="824"/>
      <c r="AU240" s="824"/>
      <c r="AV240" s="824"/>
      <c r="AW240" s="824"/>
      <c r="AX240" s="824"/>
      <c r="AY240" s="824"/>
      <c r="AZ240" s="824"/>
      <c r="BA240" s="824"/>
      <c r="BB240" s="616"/>
      <c r="BC240" s="581"/>
      <c r="BD240" s="581"/>
      <c r="BE240" s="581"/>
      <c r="BF240" s="581"/>
    </row>
    <row r="241" spans="2:58" x14ac:dyDescent="0.25">
      <c r="B241" s="395" t="s">
        <v>107</v>
      </c>
      <c r="C241" s="16">
        <v>35</v>
      </c>
      <c r="D241" s="16" t="s">
        <v>41</v>
      </c>
      <c r="E241" s="315">
        <v>9</v>
      </c>
      <c r="F241" s="18">
        <v>3</v>
      </c>
      <c r="G241" s="353">
        <v>1190</v>
      </c>
      <c r="H241" s="383">
        <v>996</v>
      </c>
      <c r="I241" s="16">
        <v>0</v>
      </c>
      <c r="J241" s="438">
        <v>1</v>
      </c>
      <c r="K241" s="607">
        <f>ROUND(H241*(1+'29_01_H_2020'!$F$14),2)</f>
        <v>1095.5999999999999</v>
      </c>
      <c r="L241" s="608">
        <f t="shared" si="173"/>
        <v>1095.5999999999999</v>
      </c>
      <c r="M241" s="608">
        <f t="shared" si="174"/>
        <v>99.599999999999909</v>
      </c>
      <c r="N241" s="608">
        <f t="shared" si="175"/>
        <v>0</v>
      </c>
      <c r="O241" s="608">
        <f t="shared" si="176"/>
        <v>0</v>
      </c>
      <c r="P241" s="608">
        <f t="shared" si="177"/>
        <v>0</v>
      </c>
      <c r="Q241" s="609">
        <f t="shared" si="168"/>
        <v>99.599999999999909</v>
      </c>
      <c r="R241" s="609">
        <f t="shared" si="179"/>
        <v>99.599999999999909</v>
      </c>
      <c r="S241" s="609">
        <f t="shared" si="170"/>
        <v>1195.1999999999989</v>
      </c>
      <c r="T241" s="609">
        <f t="shared" si="171"/>
        <v>287.92</v>
      </c>
      <c r="U241" s="610">
        <f t="shared" si="178"/>
        <v>1483.119999999999</v>
      </c>
      <c r="V241" s="611"/>
      <c r="W241" s="611"/>
      <c r="X241" s="611"/>
      <c r="Y241" s="616"/>
      <c r="Z241" s="805"/>
      <c r="AA241" s="806"/>
      <c r="AB241" s="806"/>
      <c r="AC241" s="581"/>
      <c r="AD241" s="581"/>
      <c r="AE241" s="824"/>
      <c r="AF241" s="824"/>
      <c r="AG241" s="824"/>
      <c r="AH241" s="824"/>
      <c r="AI241" s="824"/>
      <c r="AJ241" s="824"/>
      <c r="AK241" s="824"/>
      <c r="AL241" s="824"/>
      <c r="AM241" s="824"/>
      <c r="AN241" s="824"/>
      <c r="AO241" s="616"/>
      <c r="AP241" s="581"/>
      <c r="AQ241" s="581"/>
      <c r="AR241" s="824"/>
      <c r="AS241" s="824"/>
      <c r="AT241" s="824"/>
      <c r="AU241" s="824"/>
      <c r="AV241" s="824"/>
      <c r="AW241" s="824"/>
      <c r="AX241" s="824"/>
      <c r="AY241" s="824"/>
      <c r="AZ241" s="824"/>
      <c r="BA241" s="824"/>
      <c r="BB241" s="616"/>
      <c r="BC241" s="581"/>
      <c r="BD241" s="581"/>
      <c r="BE241" s="581"/>
      <c r="BF241" s="581"/>
    </row>
    <row r="242" spans="2:58" x14ac:dyDescent="0.25">
      <c r="B242" s="395" t="s">
        <v>107</v>
      </c>
      <c r="C242" s="16">
        <v>35</v>
      </c>
      <c r="D242" s="16" t="s">
        <v>41</v>
      </c>
      <c r="E242" s="315">
        <v>9</v>
      </c>
      <c r="F242" s="18">
        <v>3</v>
      </c>
      <c r="G242" s="353">
        <v>1190</v>
      </c>
      <c r="H242" s="383">
        <v>996</v>
      </c>
      <c r="I242" s="16">
        <v>0</v>
      </c>
      <c r="J242" s="438">
        <v>1</v>
      </c>
      <c r="K242" s="607">
        <f>ROUND(H242*(1+'29_01_H_2020'!$F$14),2)</f>
        <v>1095.5999999999999</v>
      </c>
      <c r="L242" s="608">
        <f t="shared" si="173"/>
        <v>1095.5999999999999</v>
      </c>
      <c r="M242" s="608">
        <f t="shared" si="174"/>
        <v>99.599999999999909</v>
      </c>
      <c r="N242" s="608">
        <f t="shared" si="175"/>
        <v>0</v>
      </c>
      <c r="O242" s="608">
        <f t="shared" si="176"/>
        <v>0</v>
      </c>
      <c r="P242" s="608">
        <f t="shared" si="177"/>
        <v>0</v>
      </c>
      <c r="Q242" s="609">
        <f t="shared" si="168"/>
        <v>99.599999999999909</v>
      </c>
      <c r="R242" s="609">
        <f t="shared" si="179"/>
        <v>99.599999999999909</v>
      </c>
      <c r="S242" s="609">
        <f t="shared" si="170"/>
        <v>1195.1999999999989</v>
      </c>
      <c r="T242" s="609">
        <f t="shared" si="171"/>
        <v>287.92</v>
      </c>
      <c r="U242" s="610">
        <f t="shared" si="178"/>
        <v>1483.119999999999</v>
      </c>
      <c r="V242" s="611"/>
      <c r="W242" s="611"/>
      <c r="X242" s="611"/>
      <c r="Y242" s="616"/>
      <c r="Z242" s="805"/>
      <c r="AA242" s="806"/>
      <c r="AB242" s="806"/>
      <c r="AC242" s="581"/>
      <c r="AD242" s="581"/>
      <c r="AE242" s="824"/>
      <c r="AF242" s="824"/>
      <c r="AG242" s="824"/>
      <c r="AH242" s="824"/>
      <c r="AI242" s="824"/>
      <c r="AJ242" s="824"/>
      <c r="AK242" s="824"/>
      <c r="AL242" s="824"/>
      <c r="AM242" s="824"/>
      <c r="AN242" s="824"/>
      <c r="AO242" s="616"/>
      <c r="AP242" s="581"/>
      <c r="AQ242" s="581"/>
      <c r="AR242" s="824"/>
      <c r="AS242" s="824"/>
      <c r="AT242" s="824"/>
      <c r="AU242" s="824"/>
      <c r="AV242" s="824"/>
      <c r="AW242" s="824"/>
      <c r="AX242" s="824"/>
      <c r="AY242" s="824"/>
      <c r="AZ242" s="824"/>
      <c r="BA242" s="824"/>
      <c r="BB242" s="616"/>
      <c r="BC242" s="581"/>
      <c r="BD242" s="581"/>
      <c r="BE242" s="581"/>
      <c r="BF242" s="581"/>
    </row>
    <row r="243" spans="2:58" ht="25.5" x14ac:dyDescent="0.25">
      <c r="B243" s="395" t="s">
        <v>108</v>
      </c>
      <c r="C243" s="16">
        <v>35</v>
      </c>
      <c r="D243" s="16" t="s">
        <v>34</v>
      </c>
      <c r="E243" s="315">
        <v>7</v>
      </c>
      <c r="F243" s="18">
        <v>3</v>
      </c>
      <c r="G243" s="353">
        <v>996</v>
      </c>
      <c r="H243" s="383">
        <v>840</v>
      </c>
      <c r="I243" s="16">
        <v>0</v>
      </c>
      <c r="J243" s="438">
        <v>1</v>
      </c>
      <c r="K243" s="607">
        <f>ROUND(H243*(1+'29_01_H_2020'!$F$14),2)</f>
        <v>924</v>
      </c>
      <c r="L243" s="608">
        <f t="shared" si="173"/>
        <v>924</v>
      </c>
      <c r="M243" s="608">
        <f t="shared" si="174"/>
        <v>84</v>
      </c>
      <c r="N243" s="608">
        <f t="shared" si="175"/>
        <v>0</v>
      </c>
      <c r="O243" s="608">
        <f t="shared" si="176"/>
        <v>0</v>
      </c>
      <c r="P243" s="608">
        <f t="shared" si="177"/>
        <v>0</v>
      </c>
      <c r="Q243" s="609">
        <f t="shared" ref="Q243:Q255" si="180">M243+N243+O243+P243</f>
        <v>84</v>
      </c>
      <c r="R243" s="609">
        <f t="shared" ref="R243:R255" si="181">Q243*J243</f>
        <v>84</v>
      </c>
      <c r="S243" s="609">
        <f t="shared" ref="S243:S255" si="182">R243*12</f>
        <v>1008</v>
      </c>
      <c r="T243" s="609">
        <f t="shared" ref="T243:T255" si="183">ROUND(S243*0.2409,2)</f>
        <v>242.83</v>
      </c>
      <c r="U243" s="610">
        <f t="shared" si="178"/>
        <v>1250.83</v>
      </c>
      <c r="V243" s="611"/>
      <c r="W243" s="611"/>
      <c r="X243" s="611"/>
      <c r="Y243" s="616"/>
      <c r="Z243" s="805"/>
      <c r="AA243" s="806"/>
      <c r="AB243" s="806"/>
      <c r="AC243" s="581"/>
      <c r="AD243" s="581"/>
      <c r="AE243" s="824"/>
      <c r="AF243" s="824"/>
      <c r="AG243" s="824"/>
      <c r="AH243" s="824"/>
      <c r="AI243" s="824"/>
      <c r="AJ243" s="824"/>
      <c r="AK243" s="824"/>
      <c r="AL243" s="824"/>
      <c r="AM243" s="824"/>
      <c r="AN243" s="824"/>
      <c r="AO243" s="616"/>
      <c r="AP243" s="581"/>
      <c r="AQ243" s="581"/>
      <c r="AR243" s="824"/>
      <c r="AS243" s="824"/>
      <c r="AT243" s="824"/>
      <c r="AU243" s="824"/>
      <c r="AV243" s="824"/>
      <c r="AW243" s="824"/>
      <c r="AX243" s="824"/>
      <c r="AY243" s="824"/>
      <c r="AZ243" s="824"/>
      <c r="BA243" s="824"/>
      <c r="BB243" s="616"/>
      <c r="BC243" s="581"/>
      <c r="BD243" s="581"/>
      <c r="BE243" s="581"/>
      <c r="BF243" s="581"/>
    </row>
    <row r="244" spans="2:58" x14ac:dyDescent="0.25">
      <c r="B244" s="395" t="s">
        <v>109</v>
      </c>
      <c r="C244" s="16">
        <v>35</v>
      </c>
      <c r="D244" s="16" t="s">
        <v>34</v>
      </c>
      <c r="E244" s="315">
        <v>7</v>
      </c>
      <c r="F244" s="18">
        <v>3</v>
      </c>
      <c r="G244" s="353">
        <v>996</v>
      </c>
      <c r="H244" s="383">
        <v>840</v>
      </c>
      <c r="I244" s="16">
        <v>0</v>
      </c>
      <c r="J244" s="438">
        <v>1</v>
      </c>
      <c r="K244" s="607">
        <f>ROUND(H244*(1+'29_01_H_2020'!$F$14),2)</f>
        <v>924</v>
      </c>
      <c r="L244" s="608">
        <f t="shared" ref="L244:L255" si="184">IF(K244&lt;=G244,K244,G244)</f>
        <v>924</v>
      </c>
      <c r="M244" s="608">
        <f t="shared" ref="M244:M255" si="185">L244-H244</f>
        <v>84</v>
      </c>
      <c r="N244" s="608">
        <f t="shared" ref="N244:N255" si="186">K244-L244</f>
        <v>0</v>
      </c>
      <c r="O244" s="608">
        <f t="shared" ref="O244:O255" si="187">ROUND(I244/H244*L244-I244,2)</f>
        <v>0</v>
      </c>
      <c r="P244" s="608">
        <f t="shared" ref="P244:P255" si="188">ROUND(I244/H244*K244-I244-O244,2)</f>
        <v>0</v>
      </c>
      <c r="Q244" s="609">
        <f t="shared" si="180"/>
        <v>84</v>
      </c>
      <c r="R244" s="609">
        <f t="shared" si="181"/>
        <v>84</v>
      </c>
      <c r="S244" s="609">
        <f t="shared" si="182"/>
        <v>1008</v>
      </c>
      <c r="T244" s="609">
        <f t="shared" si="183"/>
        <v>242.83</v>
      </c>
      <c r="U244" s="610">
        <f t="shared" ref="U244:U255" si="189">SUM(S244:T244)</f>
        <v>1250.83</v>
      </c>
      <c r="V244" s="611"/>
      <c r="W244" s="611"/>
      <c r="X244" s="611"/>
      <c r="Y244" s="616"/>
      <c r="Z244" s="805"/>
      <c r="AA244" s="806"/>
      <c r="AB244" s="806"/>
      <c r="AC244" s="581"/>
      <c r="AD244" s="581"/>
      <c r="AE244" s="824"/>
      <c r="AF244" s="824"/>
      <c r="AG244" s="824"/>
      <c r="AH244" s="824"/>
      <c r="AI244" s="824"/>
      <c r="AJ244" s="824"/>
      <c r="AK244" s="824"/>
      <c r="AL244" s="824"/>
      <c r="AM244" s="824"/>
      <c r="AN244" s="824"/>
      <c r="AO244" s="616"/>
      <c r="AP244" s="581"/>
      <c r="AQ244" s="581"/>
      <c r="AR244" s="824"/>
      <c r="AS244" s="824"/>
      <c r="AT244" s="824"/>
      <c r="AU244" s="824"/>
      <c r="AV244" s="824"/>
      <c r="AW244" s="824"/>
      <c r="AX244" s="824"/>
      <c r="AY244" s="824"/>
      <c r="AZ244" s="824"/>
      <c r="BA244" s="824"/>
      <c r="BB244" s="616"/>
      <c r="BC244" s="581"/>
      <c r="BD244" s="581"/>
      <c r="BE244" s="581"/>
      <c r="BF244" s="581"/>
    </row>
    <row r="245" spans="2:58" x14ac:dyDescent="0.25">
      <c r="B245" s="395" t="s">
        <v>109</v>
      </c>
      <c r="C245" s="16">
        <v>35</v>
      </c>
      <c r="D245" s="16" t="s">
        <v>34</v>
      </c>
      <c r="E245" s="315">
        <v>7</v>
      </c>
      <c r="F245" s="18">
        <v>3</v>
      </c>
      <c r="G245" s="353">
        <v>996</v>
      </c>
      <c r="H245" s="383">
        <v>840</v>
      </c>
      <c r="I245" s="16">
        <v>0</v>
      </c>
      <c r="J245" s="438">
        <v>1</v>
      </c>
      <c r="K245" s="607">
        <f>ROUND(H245*(1+'29_01_H_2020'!$F$14),2)</f>
        <v>924</v>
      </c>
      <c r="L245" s="608">
        <f t="shared" si="184"/>
        <v>924</v>
      </c>
      <c r="M245" s="608">
        <f t="shared" si="185"/>
        <v>84</v>
      </c>
      <c r="N245" s="608">
        <f t="shared" si="186"/>
        <v>0</v>
      </c>
      <c r="O245" s="608">
        <f t="shared" si="187"/>
        <v>0</v>
      </c>
      <c r="P245" s="608">
        <f t="shared" si="188"/>
        <v>0</v>
      </c>
      <c r="Q245" s="609">
        <f t="shared" si="180"/>
        <v>84</v>
      </c>
      <c r="R245" s="609">
        <f t="shared" si="181"/>
        <v>84</v>
      </c>
      <c r="S245" s="609">
        <f t="shared" si="182"/>
        <v>1008</v>
      </c>
      <c r="T245" s="609">
        <f t="shared" si="183"/>
        <v>242.83</v>
      </c>
      <c r="U245" s="610">
        <f t="shared" si="189"/>
        <v>1250.83</v>
      </c>
      <c r="V245" s="611"/>
      <c r="W245" s="611"/>
      <c r="X245" s="611"/>
      <c r="Y245" s="616"/>
      <c r="Z245" s="805"/>
      <c r="AA245" s="806"/>
      <c r="AB245" s="806"/>
      <c r="AC245" s="581"/>
      <c r="AD245" s="581"/>
      <c r="AE245" s="824"/>
      <c r="AF245" s="824"/>
      <c r="AG245" s="824"/>
      <c r="AH245" s="824"/>
      <c r="AI245" s="824"/>
      <c r="AJ245" s="824"/>
      <c r="AK245" s="824"/>
      <c r="AL245" s="824"/>
      <c r="AM245" s="824"/>
      <c r="AN245" s="824"/>
      <c r="AO245" s="616"/>
      <c r="AP245" s="581"/>
      <c r="AQ245" s="581"/>
      <c r="AR245" s="824"/>
      <c r="AS245" s="824"/>
      <c r="AT245" s="824"/>
      <c r="AU245" s="824"/>
      <c r="AV245" s="824"/>
      <c r="AW245" s="824"/>
      <c r="AX245" s="824"/>
      <c r="AY245" s="824"/>
      <c r="AZ245" s="824"/>
      <c r="BA245" s="824"/>
      <c r="BB245" s="616"/>
      <c r="BC245" s="581"/>
      <c r="BD245" s="581"/>
      <c r="BE245" s="581"/>
      <c r="BF245" s="581"/>
    </row>
    <row r="246" spans="2:58" x14ac:dyDescent="0.25">
      <c r="B246" s="395" t="s">
        <v>109</v>
      </c>
      <c r="C246" s="16">
        <v>35</v>
      </c>
      <c r="D246" s="16" t="s">
        <v>34</v>
      </c>
      <c r="E246" s="315">
        <v>7</v>
      </c>
      <c r="F246" s="18">
        <v>3</v>
      </c>
      <c r="G246" s="353">
        <v>996</v>
      </c>
      <c r="H246" s="383">
        <v>840</v>
      </c>
      <c r="I246" s="16">
        <v>0</v>
      </c>
      <c r="J246" s="438">
        <v>1</v>
      </c>
      <c r="K246" s="607">
        <f>ROUND(H246*(1+'29_01_H_2020'!$F$14),2)</f>
        <v>924</v>
      </c>
      <c r="L246" s="608">
        <f t="shared" si="184"/>
        <v>924</v>
      </c>
      <c r="M246" s="608">
        <f t="shared" si="185"/>
        <v>84</v>
      </c>
      <c r="N246" s="608">
        <f t="shared" si="186"/>
        <v>0</v>
      </c>
      <c r="O246" s="608">
        <f t="shared" si="187"/>
        <v>0</v>
      </c>
      <c r="P246" s="608">
        <f t="shared" si="188"/>
        <v>0</v>
      </c>
      <c r="Q246" s="609">
        <f t="shared" si="180"/>
        <v>84</v>
      </c>
      <c r="R246" s="609">
        <f t="shared" si="181"/>
        <v>84</v>
      </c>
      <c r="S246" s="609">
        <f t="shared" si="182"/>
        <v>1008</v>
      </c>
      <c r="T246" s="609">
        <f t="shared" si="183"/>
        <v>242.83</v>
      </c>
      <c r="U246" s="610">
        <f t="shared" si="189"/>
        <v>1250.83</v>
      </c>
      <c r="V246" s="611"/>
      <c r="W246" s="611"/>
      <c r="X246" s="611"/>
      <c r="Y246" s="616"/>
      <c r="Z246" s="805"/>
      <c r="AA246" s="806"/>
      <c r="AB246" s="806"/>
      <c r="AC246" s="581"/>
      <c r="AD246" s="581"/>
      <c r="AE246" s="824"/>
      <c r="AF246" s="824"/>
      <c r="AG246" s="824"/>
      <c r="AH246" s="824"/>
      <c r="AI246" s="824"/>
      <c r="AJ246" s="824"/>
      <c r="AK246" s="824"/>
      <c r="AL246" s="824"/>
      <c r="AM246" s="824"/>
      <c r="AN246" s="824"/>
      <c r="AO246" s="616"/>
      <c r="AP246" s="581"/>
      <c r="AQ246" s="581"/>
      <c r="AR246" s="824"/>
      <c r="AS246" s="824"/>
      <c r="AT246" s="824"/>
      <c r="AU246" s="824"/>
      <c r="AV246" s="824"/>
      <c r="AW246" s="824"/>
      <c r="AX246" s="824"/>
      <c r="AY246" s="824"/>
      <c r="AZ246" s="824"/>
      <c r="BA246" s="824"/>
      <c r="BB246" s="616"/>
      <c r="BC246" s="581"/>
      <c r="BD246" s="581"/>
      <c r="BE246" s="581"/>
      <c r="BF246" s="581"/>
    </row>
    <row r="247" spans="2:58" x14ac:dyDescent="0.25">
      <c r="B247" s="395" t="s">
        <v>109</v>
      </c>
      <c r="C247" s="16">
        <v>35</v>
      </c>
      <c r="D247" s="16" t="s">
        <v>34</v>
      </c>
      <c r="E247" s="315">
        <v>7</v>
      </c>
      <c r="F247" s="18">
        <v>3</v>
      </c>
      <c r="G247" s="353">
        <v>996</v>
      </c>
      <c r="H247" s="383">
        <v>840</v>
      </c>
      <c r="I247" s="16">
        <v>0</v>
      </c>
      <c r="J247" s="438">
        <v>1</v>
      </c>
      <c r="K247" s="607">
        <f>ROUND(H247*(1+'29_01_H_2020'!$F$14),2)</f>
        <v>924</v>
      </c>
      <c r="L247" s="608">
        <f t="shared" si="184"/>
        <v>924</v>
      </c>
      <c r="M247" s="608">
        <f t="shared" si="185"/>
        <v>84</v>
      </c>
      <c r="N247" s="608">
        <f t="shared" si="186"/>
        <v>0</v>
      </c>
      <c r="O247" s="608">
        <f t="shared" si="187"/>
        <v>0</v>
      </c>
      <c r="P247" s="608">
        <f t="shared" si="188"/>
        <v>0</v>
      </c>
      <c r="Q247" s="609">
        <f t="shared" si="180"/>
        <v>84</v>
      </c>
      <c r="R247" s="609">
        <f t="shared" si="181"/>
        <v>84</v>
      </c>
      <c r="S247" s="609">
        <f t="shared" si="182"/>
        <v>1008</v>
      </c>
      <c r="T247" s="609">
        <f t="shared" si="183"/>
        <v>242.83</v>
      </c>
      <c r="U247" s="610">
        <f t="shared" si="189"/>
        <v>1250.83</v>
      </c>
      <c r="V247" s="611"/>
      <c r="W247" s="611"/>
      <c r="X247" s="611"/>
      <c r="Y247" s="616"/>
      <c r="Z247" s="805"/>
      <c r="AA247" s="806"/>
      <c r="AB247" s="806"/>
      <c r="AC247" s="581"/>
      <c r="AD247" s="581"/>
      <c r="AE247" s="824"/>
      <c r="AF247" s="824"/>
      <c r="AG247" s="824"/>
      <c r="AH247" s="824"/>
      <c r="AI247" s="824"/>
      <c r="AJ247" s="824"/>
      <c r="AK247" s="824"/>
      <c r="AL247" s="824"/>
      <c r="AM247" s="824"/>
      <c r="AN247" s="824"/>
      <c r="AO247" s="616"/>
      <c r="AP247" s="581"/>
      <c r="AQ247" s="581"/>
      <c r="AR247" s="824"/>
      <c r="AS247" s="824"/>
      <c r="AT247" s="824"/>
      <c r="AU247" s="824"/>
      <c r="AV247" s="824"/>
      <c r="AW247" s="824"/>
      <c r="AX247" s="824"/>
      <c r="AY247" s="824"/>
      <c r="AZ247" s="824"/>
      <c r="BA247" s="824"/>
      <c r="BB247" s="616"/>
      <c r="BC247" s="581"/>
      <c r="BD247" s="581"/>
      <c r="BE247" s="581"/>
      <c r="BF247" s="581"/>
    </row>
    <row r="248" spans="2:58" x14ac:dyDescent="0.25">
      <c r="B248" s="395" t="s">
        <v>109</v>
      </c>
      <c r="C248" s="16">
        <v>35</v>
      </c>
      <c r="D248" s="16" t="s">
        <v>34</v>
      </c>
      <c r="E248" s="315">
        <v>7</v>
      </c>
      <c r="F248" s="18">
        <v>3</v>
      </c>
      <c r="G248" s="353">
        <v>996</v>
      </c>
      <c r="H248" s="383">
        <v>840</v>
      </c>
      <c r="I248" s="16">
        <v>0</v>
      </c>
      <c r="J248" s="438">
        <v>1</v>
      </c>
      <c r="K248" s="607">
        <f>ROUND(H248*(1+'29_01_H_2020'!$F$14),2)</f>
        <v>924</v>
      </c>
      <c r="L248" s="608">
        <f t="shared" si="184"/>
        <v>924</v>
      </c>
      <c r="M248" s="608">
        <f t="shared" si="185"/>
        <v>84</v>
      </c>
      <c r="N248" s="608">
        <f t="shared" si="186"/>
        <v>0</v>
      </c>
      <c r="O248" s="608">
        <f t="shared" si="187"/>
        <v>0</v>
      </c>
      <c r="P248" s="608">
        <f t="shared" si="188"/>
        <v>0</v>
      </c>
      <c r="Q248" s="609">
        <f t="shared" si="180"/>
        <v>84</v>
      </c>
      <c r="R248" s="609">
        <f t="shared" si="181"/>
        <v>84</v>
      </c>
      <c r="S248" s="609">
        <f t="shared" si="182"/>
        <v>1008</v>
      </c>
      <c r="T248" s="609">
        <f t="shared" si="183"/>
        <v>242.83</v>
      </c>
      <c r="U248" s="610">
        <f t="shared" si="189"/>
        <v>1250.83</v>
      </c>
      <c r="V248" s="611"/>
      <c r="W248" s="611"/>
      <c r="X248" s="611"/>
      <c r="Y248" s="616"/>
      <c r="Z248" s="805"/>
      <c r="AA248" s="806"/>
      <c r="AB248" s="806"/>
      <c r="AC248" s="581"/>
      <c r="AD248" s="581"/>
      <c r="AE248" s="824"/>
      <c r="AF248" s="824"/>
      <c r="AG248" s="824"/>
      <c r="AH248" s="824"/>
      <c r="AI248" s="824"/>
      <c r="AJ248" s="824"/>
      <c r="AK248" s="824"/>
      <c r="AL248" s="824"/>
      <c r="AM248" s="824"/>
      <c r="AN248" s="824"/>
      <c r="AO248" s="616"/>
      <c r="AP248" s="581"/>
      <c r="AQ248" s="581"/>
      <c r="AR248" s="824"/>
      <c r="AS248" s="824"/>
      <c r="AT248" s="824"/>
      <c r="AU248" s="824"/>
      <c r="AV248" s="824"/>
      <c r="AW248" s="824"/>
      <c r="AX248" s="824"/>
      <c r="AY248" s="824"/>
      <c r="AZ248" s="824"/>
      <c r="BA248" s="824"/>
      <c r="BB248" s="616"/>
      <c r="BC248" s="581"/>
      <c r="BD248" s="581"/>
      <c r="BE248" s="581"/>
      <c r="BF248" s="581"/>
    </row>
    <row r="249" spans="2:58" x14ac:dyDescent="0.25">
      <c r="B249" s="395" t="s">
        <v>109</v>
      </c>
      <c r="C249" s="16">
        <v>35</v>
      </c>
      <c r="D249" s="16" t="s">
        <v>34</v>
      </c>
      <c r="E249" s="315">
        <v>7</v>
      </c>
      <c r="F249" s="18">
        <v>3</v>
      </c>
      <c r="G249" s="353">
        <v>996</v>
      </c>
      <c r="H249" s="383">
        <v>840</v>
      </c>
      <c r="I249" s="16">
        <v>0</v>
      </c>
      <c r="J249" s="438">
        <v>1</v>
      </c>
      <c r="K249" s="607">
        <f>ROUND(H249*(1+'29_01_H_2020'!$F$14),2)</f>
        <v>924</v>
      </c>
      <c r="L249" s="608">
        <f t="shared" si="184"/>
        <v>924</v>
      </c>
      <c r="M249" s="608">
        <f t="shared" si="185"/>
        <v>84</v>
      </c>
      <c r="N249" s="608">
        <f t="shared" si="186"/>
        <v>0</v>
      </c>
      <c r="O249" s="608">
        <f t="shared" si="187"/>
        <v>0</v>
      </c>
      <c r="P249" s="608">
        <f t="shared" si="188"/>
        <v>0</v>
      </c>
      <c r="Q249" s="609">
        <f t="shared" si="180"/>
        <v>84</v>
      </c>
      <c r="R249" s="609">
        <f t="shared" si="181"/>
        <v>84</v>
      </c>
      <c r="S249" s="609">
        <f t="shared" si="182"/>
        <v>1008</v>
      </c>
      <c r="T249" s="609">
        <f t="shared" si="183"/>
        <v>242.83</v>
      </c>
      <c r="U249" s="610">
        <f t="shared" si="189"/>
        <v>1250.83</v>
      </c>
      <c r="V249" s="611"/>
      <c r="W249" s="611"/>
      <c r="X249" s="611"/>
      <c r="Y249" s="616"/>
      <c r="Z249" s="805"/>
      <c r="AA249" s="806"/>
      <c r="AB249" s="806"/>
      <c r="AC249" s="581"/>
      <c r="AD249" s="581"/>
      <c r="AE249" s="824"/>
      <c r="AF249" s="824"/>
      <c r="AG249" s="824"/>
      <c r="AH249" s="824"/>
      <c r="AI249" s="824"/>
      <c r="AJ249" s="824"/>
      <c r="AK249" s="824"/>
      <c r="AL249" s="824"/>
      <c r="AM249" s="824"/>
      <c r="AN249" s="824"/>
      <c r="AO249" s="616"/>
      <c r="AP249" s="581"/>
      <c r="AQ249" s="581"/>
      <c r="AR249" s="824"/>
      <c r="AS249" s="824"/>
      <c r="AT249" s="824"/>
      <c r="AU249" s="824"/>
      <c r="AV249" s="824"/>
      <c r="AW249" s="824"/>
      <c r="AX249" s="824"/>
      <c r="AY249" s="824"/>
      <c r="AZ249" s="824"/>
      <c r="BA249" s="824"/>
      <c r="BB249" s="616"/>
      <c r="BC249" s="581"/>
      <c r="BD249" s="581"/>
      <c r="BE249" s="581"/>
      <c r="BF249" s="581"/>
    </row>
    <row r="250" spans="2:58" x14ac:dyDescent="0.25">
      <c r="B250" s="395" t="s">
        <v>109</v>
      </c>
      <c r="C250" s="16">
        <v>35</v>
      </c>
      <c r="D250" s="16" t="s">
        <v>34</v>
      </c>
      <c r="E250" s="315">
        <v>7</v>
      </c>
      <c r="F250" s="18">
        <v>3</v>
      </c>
      <c r="G250" s="353">
        <v>996</v>
      </c>
      <c r="H250" s="383">
        <v>840</v>
      </c>
      <c r="I250" s="16">
        <v>0</v>
      </c>
      <c r="J250" s="438">
        <v>1</v>
      </c>
      <c r="K250" s="607">
        <f>ROUND(H250*(1+'29_01_H_2020'!$F$14),2)</f>
        <v>924</v>
      </c>
      <c r="L250" s="608">
        <f t="shared" si="184"/>
        <v>924</v>
      </c>
      <c r="M250" s="608">
        <f t="shared" si="185"/>
        <v>84</v>
      </c>
      <c r="N250" s="608">
        <f t="shared" si="186"/>
        <v>0</v>
      </c>
      <c r="O250" s="608">
        <f t="shared" si="187"/>
        <v>0</v>
      </c>
      <c r="P250" s="608">
        <f t="shared" si="188"/>
        <v>0</v>
      </c>
      <c r="Q250" s="609">
        <f t="shared" si="180"/>
        <v>84</v>
      </c>
      <c r="R250" s="609">
        <f t="shared" si="181"/>
        <v>84</v>
      </c>
      <c r="S250" s="609">
        <f t="shared" si="182"/>
        <v>1008</v>
      </c>
      <c r="T250" s="609">
        <f t="shared" si="183"/>
        <v>242.83</v>
      </c>
      <c r="U250" s="610">
        <f t="shared" si="189"/>
        <v>1250.83</v>
      </c>
      <c r="V250" s="611"/>
      <c r="W250" s="611"/>
      <c r="X250" s="611"/>
      <c r="Y250" s="616"/>
      <c r="Z250" s="805"/>
      <c r="AA250" s="806"/>
      <c r="AB250" s="806"/>
      <c r="AC250" s="581"/>
      <c r="AD250" s="581"/>
      <c r="AE250" s="824"/>
      <c r="AF250" s="824"/>
      <c r="AG250" s="824"/>
      <c r="AH250" s="824"/>
      <c r="AI250" s="824"/>
      <c r="AJ250" s="824"/>
      <c r="AK250" s="824"/>
      <c r="AL250" s="824"/>
      <c r="AM250" s="824"/>
      <c r="AN250" s="824"/>
      <c r="AO250" s="616"/>
      <c r="AP250" s="581"/>
      <c r="AQ250" s="581"/>
      <c r="AR250" s="824"/>
      <c r="AS250" s="824"/>
      <c r="AT250" s="824"/>
      <c r="AU250" s="824"/>
      <c r="AV250" s="824"/>
      <c r="AW250" s="824"/>
      <c r="AX250" s="824"/>
      <c r="AY250" s="824"/>
      <c r="AZ250" s="824"/>
      <c r="BA250" s="824"/>
      <c r="BB250" s="616"/>
      <c r="BC250" s="581"/>
      <c r="BD250" s="581"/>
      <c r="BE250" s="581"/>
      <c r="BF250" s="581"/>
    </row>
    <row r="251" spans="2:58" x14ac:dyDescent="0.25">
      <c r="B251" s="395" t="s">
        <v>109</v>
      </c>
      <c r="C251" s="16">
        <v>35</v>
      </c>
      <c r="D251" s="16" t="s">
        <v>34</v>
      </c>
      <c r="E251" s="315">
        <v>7</v>
      </c>
      <c r="F251" s="18">
        <v>3</v>
      </c>
      <c r="G251" s="353">
        <v>996</v>
      </c>
      <c r="H251" s="383">
        <v>840</v>
      </c>
      <c r="I251" s="16">
        <v>0</v>
      </c>
      <c r="J251" s="438">
        <v>1</v>
      </c>
      <c r="K251" s="607">
        <f>ROUND(H251*(1+'29_01_H_2020'!$F$14),2)</f>
        <v>924</v>
      </c>
      <c r="L251" s="608">
        <f t="shared" si="184"/>
        <v>924</v>
      </c>
      <c r="M251" s="608">
        <f t="shared" si="185"/>
        <v>84</v>
      </c>
      <c r="N251" s="608">
        <f t="shared" si="186"/>
        <v>0</v>
      </c>
      <c r="O251" s="608">
        <f t="shared" si="187"/>
        <v>0</v>
      </c>
      <c r="P251" s="608">
        <f t="shared" si="188"/>
        <v>0</v>
      </c>
      <c r="Q251" s="609">
        <f t="shared" si="180"/>
        <v>84</v>
      </c>
      <c r="R251" s="609">
        <f t="shared" si="181"/>
        <v>84</v>
      </c>
      <c r="S251" s="609">
        <f t="shared" si="182"/>
        <v>1008</v>
      </c>
      <c r="T251" s="609">
        <f t="shared" si="183"/>
        <v>242.83</v>
      </c>
      <c r="U251" s="610">
        <f t="shared" si="189"/>
        <v>1250.83</v>
      </c>
      <c r="V251" s="611"/>
      <c r="W251" s="611"/>
      <c r="X251" s="611"/>
      <c r="Y251" s="616"/>
      <c r="Z251" s="805"/>
      <c r="AA251" s="806"/>
      <c r="AB251" s="806"/>
      <c r="AC251" s="581"/>
      <c r="AD251" s="581"/>
      <c r="AE251" s="824"/>
      <c r="AF251" s="824"/>
      <c r="AG251" s="824"/>
      <c r="AH251" s="824"/>
      <c r="AI251" s="824"/>
      <c r="AJ251" s="824"/>
      <c r="AK251" s="824"/>
      <c r="AL251" s="824"/>
      <c r="AM251" s="824"/>
      <c r="AN251" s="824"/>
      <c r="AO251" s="616"/>
      <c r="AP251" s="581"/>
      <c r="AQ251" s="581"/>
      <c r="AR251" s="824"/>
      <c r="AS251" s="824"/>
      <c r="AT251" s="824"/>
      <c r="AU251" s="824"/>
      <c r="AV251" s="824"/>
      <c r="AW251" s="824"/>
      <c r="AX251" s="824"/>
      <c r="AY251" s="824"/>
      <c r="AZ251" s="824"/>
      <c r="BA251" s="824"/>
      <c r="BB251" s="616"/>
      <c r="BC251" s="581"/>
      <c r="BD251" s="581"/>
      <c r="BE251" s="581"/>
      <c r="BF251" s="581"/>
    </row>
    <row r="252" spans="2:58" x14ac:dyDescent="0.25">
      <c r="B252" s="395" t="s">
        <v>109</v>
      </c>
      <c r="C252" s="16">
        <v>35</v>
      </c>
      <c r="D252" s="16" t="s">
        <v>34</v>
      </c>
      <c r="E252" s="315">
        <v>7</v>
      </c>
      <c r="F252" s="18">
        <v>3</v>
      </c>
      <c r="G252" s="353">
        <v>996</v>
      </c>
      <c r="H252" s="383">
        <v>840</v>
      </c>
      <c r="I252" s="16">
        <v>0</v>
      </c>
      <c r="J252" s="438">
        <v>1</v>
      </c>
      <c r="K252" s="607">
        <f>ROUND(H252*(1+'29_01_H_2020'!$F$14),2)</f>
        <v>924</v>
      </c>
      <c r="L252" s="608">
        <f t="shared" si="184"/>
        <v>924</v>
      </c>
      <c r="M252" s="608">
        <f t="shared" si="185"/>
        <v>84</v>
      </c>
      <c r="N252" s="608">
        <f t="shared" si="186"/>
        <v>0</v>
      </c>
      <c r="O252" s="608">
        <f t="shared" si="187"/>
        <v>0</v>
      </c>
      <c r="P252" s="608">
        <f t="shared" si="188"/>
        <v>0</v>
      </c>
      <c r="Q252" s="609">
        <f t="shared" si="180"/>
        <v>84</v>
      </c>
      <c r="R252" s="609">
        <f t="shared" si="181"/>
        <v>84</v>
      </c>
      <c r="S252" s="609">
        <f t="shared" si="182"/>
        <v>1008</v>
      </c>
      <c r="T252" s="609">
        <f t="shared" si="183"/>
        <v>242.83</v>
      </c>
      <c r="U252" s="610">
        <f t="shared" si="189"/>
        <v>1250.83</v>
      </c>
      <c r="V252" s="611"/>
      <c r="W252" s="611"/>
      <c r="X252" s="611"/>
      <c r="Y252" s="616"/>
      <c r="Z252" s="805"/>
      <c r="AA252" s="806"/>
      <c r="AB252" s="806"/>
      <c r="AC252" s="581"/>
      <c r="AD252" s="581"/>
      <c r="AE252" s="824"/>
      <c r="AF252" s="824"/>
      <c r="AG252" s="824"/>
      <c r="AH252" s="824"/>
      <c r="AI252" s="824"/>
      <c r="AJ252" s="824"/>
      <c r="AK252" s="824"/>
      <c r="AL252" s="824"/>
      <c r="AM252" s="824"/>
      <c r="AN252" s="824"/>
      <c r="AO252" s="616"/>
      <c r="AP252" s="581"/>
      <c r="AQ252" s="581"/>
      <c r="AR252" s="824"/>
      <c r="AS252" s="824"/>
      <c r="AT252" s="824"/>
      <c r="AU252" s="824"/>
      <c r="AV252" s="824"/>
      <c r="AW252" s="824"/>
      <c r="AX252" s="824"/>
      <c r="AY252" s="824"/>
      <c r="AZ252" s="824"/>
      <c r="BA252" s="824"/>
      <c r="BB252" s="616"/>
      <c r="BC252" s="581"/>
      <c r="BD252" s="581"/>
      <c r="BE252" s="581"/>
      <c r="BF252" s="581"/>
    </row>
    <row r="253" spans="2:58" x14ac:dyDescent="0.25">
      <c r="B253" s="395" t="s">
        <v>109</v>
      </c>
      <c r="C253" s="16">
        <v>35</v>
      </c>
      <c r="D253" s="16" t="s">
        <v>34</v>
      </c>
      <c r="E253" s="315">
        <v>7</v>
      </c>
      <c r="F253" s="18">
        <v>3</v>
      </c>
      <c r="G253" s="353">
        <v>996</v>
      </c>
      <c r="H253" s="383">
        <v>840</v>
      </c>
      <c r="I253" s="16">
        <v>0</v>
      </c>
      <c r="J253" s="438">
        <v>1</v>
      </c>
      <c r="K253" s="607">
        <f>ROUND(H253*(1+'29_01_H_2020'!$F$14),2)</f>
        <v>924</v>
      </c>
      <c r="L253" s="608">
        <f t="shared" si="184"/>
        <v>924</v>
      </c>
      <c r="M253" s="608">
        <f t="shared" si="185"/>
        <v>84</v>
      </c>
      <c r="N253" s="608">
        <f t="shared" si="186"/>
        <v>0</v>
      </c>
      <c r="O253" s="608">
        <f t="shared" si="187"/>
        <v>0</v>
      </c>
      <c r="P253" s="608">
        <f t="shared" si="188"/>
        <v>0</v>
      </c>
      <c r="Q253" s="609">
        <f t="shared" si="180"/>
        <v>84</v>
      </c>
      <c r="R253" s="609">
        <f t="shared" si="181"/>
        <v>84</v>
      </c>
      <c r="S253" s="609">
        <f t="shared" si="182"/>
        <v>1008</v>
      </c>
      <c r="T253" s="609">
        <f t="shared" si="183"/>
        <v>242.83</v>
      </c>
      <c r="U253" s="610">
        <f t="shared" si="189"/>
        <v>1250.83</v>
      </c>
      <c r="V253" s="611"/>
      <c r="W253" s="611"/>
      <c r="X253" s="611"/>
      <c r="Y253" s="616"/>
      <c r="Z253" s="805"/>
      <c r="AA253" s="806"/>
      <c r="AB253" s="806"/>
      <c r="AC253" s="581"/>
      <c r="AD253" s="581"/>
      <c r="AE253" s="824"/>
      <c r="AF253" s="824"/>
      <c r="AG253" s="824"/>
      <c r="AH253" s="824"/>
      <c r="AI253" s="824"/>
      <c r="AJ253" s="824"/>
      <c r="AK253" s="824"/>
      <c r="AL253" s="824"/>
      <c r="AM253" s="824"/>
      <c r="AN253" s="824"/>
      <c r="AO253" s="616"/>
      <c r="AP253" s="581"/>
      <c r="AQ253" s="581"/>
      <c r="AR253" s="824"/>
      <c r="AS253" s="824"/>
      <c r="AT253" s="824"/>
      <c r="AU253" s="824"/>
      <c r="AV253" s="824"/>
      <c r="AW253" s="824"/>
      <c r="AX253" s="824"/>
      <c r="AY253" s="824"/>
      <c r="AZ253" s="824"/>
      <c r="BA253" s="824"/>
      <c r="BB253" s="616"/>
      <c r="BC253" s="581"/>
      <c r="BD253" s="581"/>
      <c r="BE253" s="581"/>
      <c r="BF253" s="581"/>
    </row>
    <row r="254" spans="2:58" x14ac:dyDescent="0.25">
      <c r="B254" s="395" t="s">
        <v>109</v>
      </c>
      <c r="C254" s="16">
        <v>35</v>
      </c>
      <c r="D254" s="16" t="s">
        <v>34</v>
      </c>
      <c r="E254" s="315">
        <v>7</v>
      </c>
      <c r="F254" s="18">
        <v>3</v>
      </c>
      <c r="G254" s="353">
        <v>996</v>
      </c>
      <c r="H254" s="383">
        <v>840</v>
      </c>
      <c r="I254" s="16">
        <v>0</v>
      </c>
      <c r="J254" s="438">
        <v>1</v>
      </c>
      <c r="K254" s="607">
        <f>ROUND(H254*(1+'29_01_H_2020'!$F$14),2)</f>
        <v>924</v>
      </c>
      <c r="L254" s="608">
        <f t="shared" si="184"/>
        <v>924</v>
      </c>
      <c r="M254" s="608">
        <f t="shared" si="185"/>
        <v>84</v>
      </c>
      <c r="N254" s="608">
        <f t="shared" si="186"/>
        <v>0</v>
      </c>
      <c r="O254" s="608">
        <f t="shared" si="187"/>
        <v>0</v>
      </c>
      <c r="P254" s="608">
        <f t="shared" si="188"/>
        <v>0</v>
      </c>
      <c r="Q254" s="609">
        <f t="shared" si="180"/>
        <v>84</v>
      </c>
      <c r="R254" s="609">
        <f t="shared" si="181"/>
        <v>84</v>
      </c>
      <c r="S254" s="609">
        <f t="shared" si="182"/>
        <v>1008</v>
      </c>
      <c r="T254" s="609">
        <f t="shared" si="183"/>
        <v>242.83</v>
      </c>
      <c r="U254" s="610">
        <f t="shared" si="189"/>
        <v>1250.83</v>
      </c>
      <c r="V254" s="611"/>
      <c r="W254" s="611"/>
      <c r="X254" s="611"/>
      <c r="Y254" s="616"/>
      <c r="Z254" s="805"/>
      <c r="AA254" s="806"/>
      <c r="AB254" s="806"/>
      <c r="AC254" s="581"/>
      <c r="AD254" s="581"/>
      <c r="AE254" s="824"/>
      <c r="AF254" s="824"/>
      <c r="AG254" s="824"/>
      <c r="AH254" s="824"/>
      <c r="AI254" s="824"/>
      <c r="AJ254" s="824"/>
      <c r="AK254" s="824"/>
      <c r="AL254" s="824"/>
      <c r="AM254" s="824"/>
      <c r="AN254" s="824"/>
      <c r="AO254" s="616"/>
      <c r="AP254" s="581"/>
      <c r="AQ254" s="581"/>
      <c r="AR254" s="824"/>
      <c r="AS254" s="824"/>
      <c r="AT254" s="824"/>
      <c r="AU254" s="824"/>
      <c r="AV254" s="824"/>
      <c r="AW254" s="824"/>
      <c r="AX254" s="824"/>
      <c r="AY254" s="824"/>
      <c r="AZ254" s="824"/>
      <c r="BA254" s="824"/>
      <c r="BB254" s="616"/>
      <c r="BC254" s="581"/>
      <c r="BD254" s="581"/>
      <c r="BE254" s="581"/>
      <c r="BF254" s="581"/>
    </row>
    <row r="255" spans="2:58" ht="15.75" thickBot="1" x14ac:dyDescent="0.3">
      <c r="B255" s="432" t="s">
        <v>109</v>
      </c>
      <c r="C255" s="433">
        <v>35</v>
      </c>
      <c r="D255" s="433" t="s">
        <v>34</v>
      </c>
      <c r="E255" s="434">
        <v>7</v>
      </c>
      <c r="F255" s="435">
        <v>3</v>
      </c>
      <c r="G255" s="436">
        <v>996</v>
      </c>
      <c r="H255" s="437">
        <v>675</v>
      </c>
      <c r="I255" s="433">
        <v>0</v>
      </c>
      <c r="J255" s="439">
        <v>1</v>
      </c>
      <c r="K255" s="607">
        <f>ROUND(H255*(1+'29_01_H_2020'!$F$14),2)</f>
        <v>742.5</v>
      </c>
      <c r="L255" s="608">
        <f t="shared" si="184"/>
        <v>742.5</v>
      </c>
      <c r="M255" s="608">
        <f t="shared" si="185"/>
        <v>67.5</v>
      </c>
      <c r="N255" s="608">
        <f t="shared" si="186"/>
        <v>0</v>
      </c>
      <c r="O255" s="608">
        <f t="shared" si="187"/>
        <v>0</v>
      </c>
      <c r="P255" s="608">
        <f t="shared" si="188"/>
        <v>0</v>
      </c>
      <c r="Q255" s="609">
        <f t="shared" si="180"/>
        <v>67.5</v>
      </c>
      <c r="R255" s="741">
        <f t="shared" si="181"/>
        <v>67.5</v>
      </c>
      <c r="S255" s="741">
        <f t="shared" si="182"/>
        <v>810</v>
      </c>
      <c r="T255" s="741">
        <f t="shared" si="183"/>
        <v>195.13</v>
      </c>
      <c r="U255" s="742">
        <f t="shared" si="189"/>
        <v>1005.13</v>
      </c>
      <c r="V255" s="611"/>
      <c r="W255" s="611"/>
      <c r="X255" s="611"/>
      <c r="Y255" s="616"/>
      <c r="Z255" s="805"/>
      <c r="AA255" s="806"/>
      <c r="AB255" s="806"/>
      <c r="AC255" s="581"/>
      <c r="AD255" s="581"/>
      <c r="AE255" s="824"/>
      <c r="AF255" s="824"/>
      <c r="AG255" s="824"/>
      <c r="AH255" s="824"/>
      <c r="AI255" s="824"/>
      <c r="AJ255" s="824"/>
      <c r="AK255" s="824"/>
      <c r="AL255" s="824"/>
      <c r="AM255" s="824"/>
      <c r="AN255" s="824"/>
      <c r="AO255" s="616"/>
      <c r="AP255" s="581"/>
      <c r="AQ255" s="581"/>
      <c r="AR255" s="824"/>
      <c r="AS255" s="824"/>
      <c r="AT255" s="824"/>
      <c r="AU255" s="824"/>
      <c r="AV255" s="824"/>
      <c r="AW255" s="824"/>
      <c r="AX255" s="824"/>
      <c r="AY255" s="824"/>
      <c r="AZ255" s="824"/>
      <c r="BA255" s="824"/>
      <c r="BB255" s="616"/>
      <c r="BC255" s="581"/>
      <c r="BD255" s="581"/>
      <c r="BE255" s="581"/>
      <c r="BF255" s="581"/>
    </row>
    <row r="256" spans="2:58" ht="15.75" thickBot="1" x14ac:dyDescent="0.3">
      <c r="B256" s="858" t="s">
        <v>55</v>
      </c>
      <c r="C256" s="859" t="s">
        <v>52</v>
      </c>
      <c r="D256" s="860" t="s">
        <v>52</v>
      </c>
      <c r="E256" s="860" t="s">
        <v>52</v>
      </c>
      <c r="F256" s="860" t="s">
        <v>52</v>
      </c>
      <c r="G256" s="861" t="s">
        <v>52</v>
      </c>
      <c r="H256" s="861" t="s">
        <v>52</v>
      </c>
      <c r="I256" s="861" t="s">
        <v>52</v>
      </c>
      <c r="J256" s="440">
        <f>SUM(J179:J255)</f>
        <v>76.75</v>
      </c>
      <c r="K256" s="862"/>
      <c r="L256" s="863"/>
      <c r="M256" s="863"/>
      <c r="N256" s="863"/>
      <c r="O256" s="863"/>
      <c r="P256" s="863"/>
      <c r="Q256" s="864"/>
      <c r="R256" s="864"/>
      <c r="S256" s="864"/>
      <c r="T256" s="864"/>
      <c r="U256" s="865">
        <f>SUM(U179:U255)</f>
        <v>116243.64000000001</v>
      </c>
      <c r="V256" s="611"/>
      <c r="W256" s="611"/>
      <c r="X256" s="581"/>
      <c r="Y256" s="581"/>
      <c r="Z256" s="581"/>
      <c r="AA256" s="581"/>
      <c r="AB256" s="581"/>
      <c r="AC256" s="581"/>
      <c r="AD256" s="581"/>
      <c r="AE256" s="581"/>
      <c r="AF256" s="581"/>
      <c r="AG256" s="581"/>
      <c r="AH256" s="581"/>
      <c r="AI256" s="581"/>
      <c r="AJ256" s="581"/>
      <c r="AK256" s="581"/>
      <c r="AL256" s="581"/>
      <c r="AM256" s="581"/>
      <c r="AN256" s="581"/>
      <c r="AO256" s="581"/>
      <c r="AP256" s="581"/>
      <c r="AQ256" s="581"/>
      <c r="AR256" s="581"/>
      <c r="AS256" s="581"/>
      <c r="AT256" s="581"/>
      <c r="AU256" s="581"/>
      <c r="AV256" s="581"/>
      <c r="AW256" s="581"/>
      <c r="AX256" s="581"/>
      <c r="AY256" s="581"/>
      <c r="AZ256" s="581"/>
      <c r="BA256" s="581"/>
      <c r="BB256" s="581"/>
      <c r="BC256" s="581"/>
      <c r="BD256" s="581"/>
      <c r="BE256" s="581"/>
      <c r="BF256" s="581"/>
    </row>
    <row r="257" spans="2:58" ht="15.75" thickBot="1" x14ac:dyDescent="0.3">
      <c r="B257" s="484"/>
      <c r="C257" s="866"/>
      <c r="D257" s="867"/>
      <c r="E257" s="867"/>
      <c r="F257" s="867"/>
      <c r="G257" s="868"/>
      <c r="H257" s="868"/>
      <c r="I257" s="868"/>
      <c r="J257" s="431"/>
      <c r="V257" s="581"/>
      <c r="W257" s="581"/>
      <c r="X257" s="581"/>
      <c r="Y257" s="581"/>
      <c r="Z257" s="581"/>
      <c r="AA257" s="581"/>
      <c r="AB257" s="581"/>
      <c r="AC257" s="581"/>
      <c r="AD257" s="581"/>
      <c r="AE257" s="581"/>
      <c r="AF257" s="581"/>
      <c r="AG257" s="581"/>
      <c r="AH257" s="581"/>
      <c r="AI257" s="581"/>
      <c r="AJ257" s="581"/>
      <c r="AK257" s="581"/>
      <c r="AL257" s="581"/>
      <c r="AM257" s="581"/>
      <c r="AN257" s="581"/>
      <c r="AO257" s="581"/>
      <c r="AP257" s="581"/>
      <c r="AQ257" s="581"/>
      <c r="AR257" s="581"/>
      <c r="AS257" s="581"/>
      <c r="AT257" s="581"/>
      <c r="AU257" s="581"/>
      <c r="AV257" s="581"/>
      <c r="AW257" s="581"/>
      <c r="AX257" s="581"/>
      <c r="AY257" s="581"/>
      <c r="AZ257" s="581"/>
      <c r="BA257" s="581"/>
      <c r="BB257" s="581"/>
      <c r="BC257" s="581"/>
      <c r="BD257" s="581"/>
      <c r="BE257" s="581"/>
      <c r="BF257" s="581"/>
    </row>
    <row r="258" spans="2:58" x14ac:dyDescent="0.25">
      <c r="B258" s="906" t="s">
        <v>516</v>
      </c>
      <c r="C258" s="907"/>
      <c r="D258" s="907"/>
      <c r="E258" s="907"/>
      <c r="F258" s="907"/>
      <c r="G258" s="907"/>
      <c r="H258" s="907"/>
      <c r="I258" s="907"/>
      <c r="J258" s="908"/>
      <c r="K258" s="818"/>
      <c r="L258" s="819"/>
      <c r="M258" s="819"/>
      <c r="N258" s="819"/>
      <c r="O258" s="819"/>
      <c r="P258" s="819"/>
      <c r="Q258" s="820"/>
      <c r="R258" s="820"/>
      <c r="S258" s="820"/>
      <c r="T258" s="820"/>
      <c r="U258" s="821"/>
      <c r="V258" s="581"/>
      <c r="W258" s="640"/>
      <c r="X258" s="640"/>
      <c r="Y258" s="581"/>
      <c r="Z258" s="581"/>
      <c r="AA258" s="640"/>
      <c r="AB258" s="640"/>
      <c r="AC258" s="581"/>
      <c r="AD258" s="581"/>
      <c r="AE258" s="581"/>
      <c r="AF258" s="581"/>
      <c r="AG258" s="581"/>
      <c r="AH258" s="581"/>
      <c r="AI258" s="581"/>
      <c r="AJ258" s="581"/>
      <c r="AK258" s="581"/>
      <c r="AL258" s="640"/>
      <c r="AM258" s="640"/>
      <c r="AN258" s="640"/>
      <c r="AO258" s="581"/>
      <c r="AP258" s="581"/>
      <c r="AQ258" s="581"/>
      <c r="AR258" s="581"/>
      <c r="AS258" s="581"/>
      <c r="AT258" s="581"/>
      <c r="AU258" s="581"/>
      <c r="AV258" s="581"/>
      <c r="AW258" s="581"/>
      <c r="AX258" s="581"/>
      <c r="AY258" s="640"/>
      <c r="AZ258" s="640"/>
      <c r="BA258" s="640"/>
      <c r="BB258" s="581"/>
      <c r="BC258" s="581"/>
      <c r="BD258" s="581"/>
      <c r="BE258" s="581"/>
      <c r="BF258" s="581"/>
    </row>
    <row r="259" spans="2:58" x14ac:dyDescent="0.25">
      <c r="B259" s="909" t="s">
        <v>537</v>
      </c>
      <c r="C259" s="910"/>
      <c r="D259" s="910"/>
      <c r="E259" s="910"/>
      <c r="F259" s="910"/>
      <c r="G259" s="910"/>
      <c r="H259" s="910"/>
      <c r="I259" s="910"/>
      <c r="J259" s="911"/>
      <c r="K259" s="666"/>
      <c r="L259" s="667"/>
      <c r="M259" s="667"/>
      <c r="N259" s="667"/>
      <c r="O259" s="667"/>
      <c r="P259" s="667"/>
      <c r="Q259" s="668"/>
      <c r="R259" s="668"/>
      <c r="S259" s="668"/>
      <c r="T259" s="668"/>
      <c r="U259" s="669"/>
      <c r="V259" s="581"/>
      <c r="W259" s="641"/>
      <c r="X259" s="640"/>
      <c r="Y259" s="581"/>
      <c r="Z259" s="581"/>
      <c r="AA259" s="581"/>
      <c r="AB259" s="616"/>
      <c r="AC259" s="581"/>
      <c r="AD259" s="581"/>
      <c r="AE259" s="581"/>
      <c r="AF259" s="581"/>
      <c r="AG259" s="581"/>
      <c r="AH259" s="581"/>
      <c r="AI259" s="581"/>
      <c r="AJ259" s="581"/>
      <c r="AK259" s="581"/>
      <c r="AL259" s="581"/>
      <c r="AM259" s="581"/>
      <c r="AN259" s="616"/>
      <c r="AO259" s="581"/>
      <c r="AP259" s="581"/>
      <c r="AQ259" s="581"/>
      <c r="AR259" s="581"/>
      <c r="AS259" s="581"/>
      <c r="AT259" s="581"/>
      <c r="AU259" s="581"/>
      <c r="AV259" s="581"/>
      <c r="AW259" s="581"/>
      <c r="AX259" s="581"/>
      <c r="AY259" s="581"/>
      <c r="AZ259" s="581"/>
      <c r="BA259" s="616"/>
      <c r="BB259" s="581"/>
      <c r="BC259" s="581"/>
      <c r="BD259" s="581"/>
      <c r="BE259" s="581"/>
      <c r="BF259" s="581"/>
    </row>
    <row r="260" spans="2:58" x14ac:dyDescent="0.25">
      <c r="B260" s="915" t="s">
        <v>10</v>
      </c>
      <c r="C260" s="916"/>
      <c r="D260" s="916"/>
      <c r="E260" s="916"/>
      <c r="F260" s="916"/>
      <c r="G260" s="916"/>
      <c r="H260" s="916"/>
      <c r="I260" s="916"/>
      <c r="J260" s="916"/>
      <c r="K260" s="625"/>
      <c r="L260" s="626"/>
      <c r="M260" s="626"/>
      <c r="N260" s="626"/>
      <c r="O260" s="626"/>
      <c r="P260" s="626"/>
      <c r="Q260" s="603"/>
      <c r="R260" s="603"/>
      <c r="S260" s="603"/>
      <c r="T260" s="603"/>
      <c r="U260" s="604"/>
      <c r="V260" s="581"/>
      <c r="W260" s="581"/>
      <c r="X260" s="581"/>
      <c r="Y260" s="581"/>
      <c r="Z260" s="581"/>
      <c r="AA260" s="581"/>
      <c r="AB260" s="581"/>
      <c r="AC260" s="581"/>
      <c r="AD260" s="581"/>
      <c r="AE260" s="581"/>
      <c r="AF260" s="581"/>
      <c r="AG260" s="581"/>
      <c r="AH260" s="581"/>
      <c r="AI260" s="581"/>
      <c r="AJ260" s="581"/>
      <c r="AK260" s="581"/>
      <c r="AL260" s="581"/>
      <c r="AM260" s="581"/>
      <c r="AN260" s="581"/>
      <c r="AO260" s="581"/>
      <c r="AP260" s="581"/>
      <c r="AQ260" s="581"/>
      <c r="AR260" s="581"/>
      <c r="AS260" s="581"/>
      <c r="AT260" s="581"/>
      <c r="AU260" s="581"/>
      <c r="AV260" s="581"/>
      <c r="AW260" s="581"/>
      <c r="AX260" s="581"/>
      <c r="AY260" s="581"/>
      <c r="AZ260" s="581"/>
      <c r="BA260" s="581"/>
      <c r="BB260" s="581"/>
      <c r="BC260" s="581"/>
      <c r="BD260" s="581"/>
      <c r="BE260" s="581"/>
      <c r="BF260" s="581"/>
    </row>
    <row r="261" spans="2:58" x14ac:dyDescent="0.25">
      <c r="B261" s="396" t="s">
        <v>517</v>
      </c>
      <c r="C261" s="397">
        <v>1</v>
      </c>
      <c r="D261" s="397" t="s">
        <v>16</v>
      </c>
      <c r="E261" s="397" t="s">
        <v>80</v>
      </c>
      <c r="F261" s="397" t="s">
        <v>69</v>
      </c>
      <c r="G261" s="348">
        <v>2264</v>
      </c>
      <c r="H261" s="400">
        <v>2264</v>
      </c>
      <c r="I261" s="400">
        <v>0</v>
      </c>
      <c r="J261" s="428">
        <v>1</v>
      </c>
      <c r="K261" s="607">
        <f>ROUND(H261*(1+'29_01_H_2020'!$F$14),2)</f>
        <v>2490.4</v>
      </c>
      <c r="L261" s="608">
        <f t="shared" ref="L261" si="190">IF(K261&lt;=G261,K261,G261)</f>
        <v>2264</v>
      </c>
      <c r="M261" s="608">
        <f t="shared" ref="M261" si="191">L261-H261</f>
        <v>0</v>
      </c>
      <c r="N261" s="608">
        <f t="shared" ref="N261" si="192">K261-L261</f>
        <v>226.40000000000009</v>
      </c>
      <c r="O261" s="608">
        <f t="shared" ref="O261" si="193">ROUND(I261/H261*L261-I261,2)</f>
        <v>0</v>
      </c>
      <c r="P261" s="608">
        <f t="shared" ref="P261" si="194">ROUND(I261/H261*K261-I261-O261,2)</f>
        <v>0</v>
      </c>
      <c r="Q261" s="609">
        <f t="shared" ref="Q261:Q293" si="195">M261+N261+O261+P261</f>
        <v>226.40000000000009</v>
      </c>
      <c r="R261" s="609">
        <f t="shared" ref="R261:R276" si="196">Q261*J261</f>
        <v>226.40000000000009</v>
      </c>
      <c r="S261" s="609">
        <f t="shared" ref="S261:S293" si="197">R261*12</f>
        <v>2716.8000000000011</v>
      </c>
      <c r="T261" s="609">
        <f t="shared" ref="T261:T293" si="198">ROUND(S261*0.2409,2)</f>
        <v>654.48</v>
      </c>
      <c r="U261" s="610">
        <f t="shared" ref="U261" si="199">SUM(S261:T261)</f>
        <v>3371.2800000000011</v>
      </c>
      <c r="V261" s="611"/>
      <c r="W261" s="611"/>
      <c r="X261" s="611"/>
      <c r="Y261" s="616"/>
      <c r="Z261" s="805"/>
      <c r="AA261" s="806"/>
      <c r="AB261" s="806"/>
      <c r="AC261" s="581"/>
      <c r="AD261" s="581"/>
      <c r="AE261" s="824"/>
      <c r="AF261" s="824"/>
      <c r="AG261" s="824"/>
      <c r="AH261" s="824"/>
      <c r="AI261" s="824"/>
      <c r="AJ261" s="824"/>
      <c r="AK261" s="824"/>
      <c r="AL261" s="824"/>
      <c r="AM261" s="824"/>
      <c r="AN261" s="824"/>
      <c r="AO261" s="616"/>
      <c r="AP261" s="581"/>
      <c r="AQ261" s="581"/>
      <c r="AR261" s="824"/>
      <c r="AS261" s="824"/>
      <c r="AT261" s="824"/>
      <c r="AU261" s="824"/>
      <c r="AV261" s="824"/>
      <c r="AW261" s="824"/>
      <c r="AX261" s="824"/>
      <c r="AY261" s="824"/>
      <c r="AZ261" s="824"/>
      <c r="BA261" s="824"/>
      <c r="BB261" s="616"/>
      <c r="BC261" s="581"/>
      <c r="BD261" s="581"/>
    </row>
    <row r="262" spans="2:58" ht="25.5" x14ac:dyDescent="0.25">
      <c r="B262" s="396" t="s">
        <v>518</v>
      </c>
      <c r="C262" s="397" t="s">
        <v>75</v>
      </c>
      <c r="D262" s="397" t="s">
        <v>12</v>
      </c>
      <c r="E262" s="397">
        <v>13</v>
      </c>
      <c r="F262" s="397">
        <v>3</v>
      </c>
      <c r="G262" s="348">
        <v>1917</v>
      </c>
      <c r="H262" s="400">
        <v>1917</v>
      </c>
      <c r="I262" s="400">
        <v>479.25</v>
      </c>
      <c r="J262" s="428">
        <v>1</v>
      </c>
      <c r="K262" s="607">
        <f>ROUND(H262*(1+'29_01_H_2020'!$F$14),2)</f>
        <v>2108.6999999999998</v>
      </c>
      <c r="L262" s="608">
        <f t="shared" ref="L262:L276" si="200">IF(K262&lt;=G262,K262,G262)</f>
        <v>1917</v>
      </c>
      <c r="M262" s="608">
        <f t="shared" ref="M262:M276" si="201">L262-H262</f>
        <v>0</v>
      </c>
      <c r="N262" s="608">
        <f t="shared" ref="N262:N276" si="202">K262-L262</f>
        <v>191.69999999999982</v>
      </c>
      <c r="O262" s="608">
        <f t="shared" ref="O262:O276" si="203">ROUND(I262/H262*L262-I262,2)</f>
        <v>0</v>
      </c>
      <c r="P262" s="608">
        <f t="shared" ref="P262:P275" si="204">ROUND(I262/H262*K262-I262-O262,2)</f>
        <v>47.93</v>
      </c>
      <c r="Q262" s="609">
        <f t="shared" si="195"/>
        <v>239.62999999999982</v>
      </c>
      <c r="R262" s="609">
        <f t="shared" si="196"/>
        <v>239.62999999999982</v>
      </c>
      <c r="S262" s="609">
        <f t="shared" si="197"/>
        <v>2875.5599999999977</v>
      </c>
      <c r="T262" s="609">
        <f t="shared" si="198"/>
        <v>692.72</v>
      </c>
      <c r="U262" s="610">
        <f t="shared" ref="U262:U276" si="205">SUM(S262:T262)</f>
        <v>3568.2799999999979</v>
      </c>
      <c r="V262" s="611"/>
      <c r="W262" s="611"/>
      <c r="X262" s="611"/>
      <c r="Y262" s="616"/>
      <c r="Z262" s="805"/>
      <c r="AA262" s="806"/>
      <c r="AB262" s="806"/>
      <c r="AC262" s="581"/>
      <c r="AD262" s="581"/>
      <c r="AE262" s="824"/>
      <c r="AF262" s="824"/>
      <c r="AG262" s="824"/>
      <c r="AH262" s="824"/>
      <c r="AI262" s="824"/>
      <c r="AJ262" s="824"/>
      <c r="AK262" s="824"/>
      <c r="AL262" s="824"/>
      <c r="AM262" s="824"/>
      <c r="AN262" s="824"/>
      <c r="AO262" s="616"/>
      <c r="AP262" s="581"/>
      <c r="AQ262" s="581"/>
      <c r="AR262" s="824"/>
      <c r="AS262" s="824"/>
      <c r="AT262" s="824"/>
      <c r="AU262" s="824"/>
      <c r="AV262" s="824"/>
      <c r="AW262" s="824"/>
      <c r="AX262" s="824"/>
      <c r="AY262" s="824"/>
      <c r="AZ262" s="824"/>
      <c r="BA262" s="824"/>
      <c r="BB262" s="616"/>
      <c r="BC262" s="581"/>
      <c r="BD262" s="581"/>
    </row>
    <row r="263" spans="2:58" ht="25.5" x14ac:dyDescent="0.25">
      <c r="B263" s="396" t="s">
        <v>519</v>
      </c>
      <c r="C263" s="397" t="s">
        <v>75</v>
      </c>
      <c r="D263" s="397" t="s">
        <v>18</v>
      </c>
      <c r="E263" s="397">
        <v>12</v>
      </c>
      <c r="F263" s="397">
        <v>3</v>
      </c>
      <c r="G263" s="348">
        <v>1647</v>
      </c>
      <c r="H263" s="400">
        <v>1647</v>
      </c>
      <c r="I263" s="400">
        <v>411.75</v>
      </c>
      <c r="J263" s="428">
        <v>1</v>
      </c>
      <c r="K263" s="607">
        <f>ROUND(H263*(1+'29_01_H_2020'!$F$14),2)</f>
        <v>1811.7</v>
      </c>
      <c r="L263" s="608">
        <f t="shared" si="200"/>
        <v>1647</v>
      </c>
      <c r="M263" s="608">
        <f t="shared" si="201"/>
        <v>0</v>
      </c>
      <c r="N263" s="608">
        <f t="shared" si="202"/>
        <v>164.70000000000005</v>
      </c>
      <c r="O263" s="608">
        <f t="shared" si="203"/>
        <v>0</v>
      </c>
      <c r="P263" s="608">
        <f t="shared" si="204"/>
        <v>41.18</v>
      </c>
      <c r="Q263" s="609">
        <f t="shared" si="195"/>
        <v>205.88000000000005</v>
      </c>
      <c r="R263" s="609">
        <f t="shared" si="196"/>
        <v>205.88000000000005</v>
      </c>
      <c r="S263" s="609">
        <f t="shared" si="197"/>
        <v>2470.5600000000004</v>
      </c>
      <c r="T263" s="609">
        <f t="shared" si="198"/>
        <v>595.16</v>
      </c>
      <c r="U263" s="610">
        <f t="shared" si="205"/>
        <v>3065.7200000000003</v>
      </c>
      <c r="V263" s="611"/>
      <c r="W263" s="611"/>
      <c r="X263" s="611"/>
      <c r="Y263" s="616"/>
      <c r="Z263" s="805"/>
      <c r="AA263" s="806"/>
      <c r="AB263" s="806"/>
      <c r="AC263" s="581"/>
      <c r="AD263" s="581"/>
      <c r="AE263" s="824"/>
      <c r="AF263" s="824"/>
      <c r="AG263" s="824"/>
      <c r="AH263" s="824"/>
      <c r="AI263" s="824"/>
      <c r="AJ263" s="824"/>
      <c r="AK263" s="824"/>
      <c r="AL263" s="824"/>
      <c r="AM263" s="824"/>
      <c r="AN263" s="824"/>
      <c r="AO263" s="616"/>
      <c r="AP263" s="581"/>
      <c r="AQ263" s="581"/>
      <c r="AR263" s="824"/>
      <c r="AS263" s="824"/>
      <c r="AT263" s="824"/>
      <c r="AU263" s="824"/>
      <c r="AV263" s="824"/>
      <c r="AW263" s="824"/>
      <c r="AX263" s="824"/>
      <c r="AY263" s="824"/>
      <c r="AZ263" s="824"/>
      <c r="BA263" s="824"/>
      <c r="BB263" s="616"/>
      <c r="BC263" s="581"/>
      <c r="BD263" s="581"/>
    </row>
    <row r="264" spans="2:58" ht="25.5" x14ac:dyDescent="0.25">
      <c r="B264" s="396" t="s">
        <v>520</v>
      </c>
      <c r="C264" s="397" t="s">
        <v>75</v>
      </c>
      <c r="D264" s="397" t="s">
        <v>18</v>
      </c>
      <c r="E264" s="397">
        <v>12</v>
      </c>
      <c r="F264" s="397">
        <v>3</v>
      </c>
      <c r="G264" s="348">
        <v>1647</v>
      </c>
      <c r="H264" s="400">
        <v>1647</v>
      </c>
      <c r="I264" s="400">
        <v>411.75</v>
      </c>
      <c r="J264" s="428">
        <v>2</v>
      </c>
      <c r="K264" s="607">
        <f>ROUND(H264*(1+'29_01_H_2020'!$F$14),2)</f>
        <v>1811.7</v>
      </c>
      <c r="L264" s="608">
        <f t="shared" si="200"/>
        <v>1647</v>
      </c>
      <c r="M264" s="608">
        <f t="shared" si="201"/>
        <v>0</v>
      </c>
      <c r="N264" s="608">
        <f t="shared" si="202"/>
        <v>164.70000000000005</v>
      </c>
      <c r="O264" s="608">
        <f t="shared" si="203"/>
        <v>0</v>
      </c>
      <c r="P264" s="608">
        <f t="shared" si="204"/>
        <v>41.18</v>
      </c>
      <c r="Q264" s="609">
        <f t="shared" si="195"/>
        <v>205.88000000000005</v>
      </c>
      <c r="R264" s="609">
        <f t="shared" si="196"/>
        <v>411.7600000000001</v>
      </c>
      <c r="S264" s="609">
        <f t="shared" si="197"/>
        <v>4941.1200000000008</v>
      </c>
      <c r="T264" s="609">
        <f t="shared" si="198"/>
        <v>1190.32</v>
      </c>
      <c r="U264" s="610">
        <f t="shared" si="205"/>
        <v>6131.4400000000005</v>
      </c>
      <c r="V264" s="611"/>
      <c r="W264" s="611"/>
      <c r="X264" s="611"/>
      <c r="Y264" s="616"/>
      <c r="Z264" s="805"/>
      <c r="AA264" s="806"/>
      <c r="AB264" s="806"/>
      <c r="AC264" s="581"/>
      <c r="AD264" s="581"/>
      <c r="AE264" s="824"/>
      <c r="AF264" s="824"/>
      <c r="AG264" s="824"/>
      <c r="AH264" s="824"/>
      <c r="AI264" s="824"/>
      <c r="AJ264" s="824"/>
      <c r="AK264" s="824"/>
      <c r="AL264" s="824"/>
      <c r="AM264" s="824"/>
      <c r="AN264" s="824"/>
      <c r="AO264" s="616"/>
      <c r="AP264" s="581"/>
      <c r="AQ264" s="581"/>
      <c r="AR264" s="824"/>
      <c r="AS264" s="824"/>
      <c r="AT264" s="824"/>
      <c r="AU264" s="824"/>
      <c r="AV264" s="824"/>
      <c r="AW264" s="824"/>
      <c r="AX264" s="824"/>
      <c r="AY264" s="824"/>
      <c r="AZ264" s="824"/>
      <c r="BA264" s="824"/>
      <c r="BB264" s="616"/>
      <c r="BC264" s="581"/>
      <c r="BD264" s="581"/>
    </row>
    <row r="265" spans="2:58" ht="25.5" x14ac:dyDescent="0.25">
      <c r="B265" s="396" t="s">
        <v>521</v>
      </c>
      <c r="C265" s="397" t="s">
        <v>75</v>
      </c>
      <c r="D265" s="397" t="s">
        <v>18</v>
      </c>
      <c r="E265" s="397">
        <v>12</v>
      </c>
      <c r="F265" s="397">
        <v>3</v>
      </c>
      <c r="G265" s="348">
        <v>1647</v>
      </c>
      <c r="H265" s="400">
        <v>1647</v>
      </c>
      <c r="I265" s="400">
        <v>411.75</v>
      </c>
      <c r="J265" s="428">
        <v>3</v>
      </c>
      <c r="K265" s="607">
        <f>ROUND(H265*(1+'29_01_H_2020'!$F$14),2)</f>
        <v>1811.7</v>
      </c>
      <c r="L265" s="608">
        <f t="shared" si="200"/>
        <v>1647</v>
      </c>
      <c r="M265" s="608">
        <f t="shared" si="201"/>
        <v>0</v>
      </c>
      <c r="N265" s="608">
        <f t="shared" si="202"/>
        <v>164.70000000000005</v>
      </c>
      <c r="O265" s="608">
        <f t="shared" si="203"/>
        <v>0</v>
      </c>
      <c r="P265" s="608">
        <f t="shared" si="204"/>
        <v>41.18</v>
      </c>
      <c r="Q265" s="609">
        <f t="shared" si="195"/>
        <v>205.88000000000005</v>
      </c>
      <c r="R265" s="609">
        <f t="shared" si="196"/>
        <v>617.6400000000001</v>
      </c>
      <c r="S265" s="609">
        <f t="shared" si="197"/>
        <v>7411.6800000000012</v>
      </c>
      <c r="T265" s="609">
        <f t="shared" si="198"/>
        <v>1785.47</v>
      </c>
      <c r="U265" s="610">
        <f t="shared" si="205"/>
        <v>9197.1500000000015</v>
      </c>
      <c r="V265" s="611"/>
      <c r="W265" s="611"/>
      <c r="X265" s="611"/>
      <c r="Y265" s="616"/>
      <c r="Z265" s="805"/>
      <c r="AA265" s="806"/>
      <c r="AB265" s="806"/>
      <c r="AC265" s="581"/>
      <c r="AD265" s="581"/>
      <c r="AE265" s="824"/>
      <c r="AF265" s="824"/>
      <c r="AG265" s="824"/>
      <c r="AH265" s="824"/>
      <c r="AI265" s="824"/>
      <c r="AJ265" s="824"/>
      <c r="AK265" s="824"/>
      <c r="AL265" s="824"/>
      <c r="AM265" s="824"/>
      <c r="AN265" s="824"/>
      <c r="AO265" s="616"/>
      <c r="AP265" s="581"/>
      <c r="AQ265" s="581"/>
      <c r="AR265" s="824"/>
      <c r="AS265" s="824"/>
      <c r="AT265" s="824"/>
      <c r="AU265" s="824"/>
      <c r="AV265" s="824"/>
      <c r="AW265" s="824"/>
      <c r="AX265" s="824"/>
      <c r="AY265" s="824"/>
      <c r="AZ265" s="824"/>
      <c r="BA265" s="824"/>
      <c r="BB265" s="616"/>
      <c r="BC265" s="581"/>
      <c r="BD265" s="581"/>
    </row>
    <row r="266" spans="2:58" ht="25.5" x14ac:dyDescent="0.25">
      <c r="B266" s="396" t="s">
        <v>522</v>
      </c>
      <c r="C266" s="397" t="s">
        <v>75</v>
      </c>
      <c r="D266" s="397" t="s">
        <v>18</v>
      </c>
      <c r="E266" s="397">
        <v>12</v>
      </c>
      <c r="F266" s="397">
        <v>3</v>
      </c>
      <c r="G266" s="348">
        <v>1647</v>
      </c>
      <c r="H266" s="400">
        <v>1647</v>
      </c>
      <c r="I266" s="400">
        <v>411.75</v>
      </c>
      <c r="J266" s="428">
        <v>1</v>
      </c>
      <c r="K266" s="607">
        <f>ROUND(H266*(1+'29_01_H_2020'!$F$14),2)</f>
        <v>1811.7</v>
      </c>
      <c r="L266" s="608">
        <f t="shared" si="200"/>
        <v>1647</v>
      </c>
      <c r="M266" s="608">
        <f t="shared" si="201"/>
        <v>0</v>
      </c>
      <c r="N266" s="608">
        <f t="shared" si="202"/>
        <v>164.70000000000005</v>
      </c>
      <c r="O266" s="608">
        <f t="shared" si="203"/>
        <v>0</v>
      </c>
      <c r="P266" s="608">
        <f t="shared" si="204"/>
        <v>41.18</v>
      </c>
      <c r="Q266" s="609">
        <f t="shared" si="195"/>
        <v>205.88000000000005</v>
      </c>
      <c r="R266" s="609">
        <f t="shared" si="196"/>
        <v>205.88000000000005</v>
      </c>
      <c r="S266" s="609">
        <f t="shared" si="197"/>
        <v>2470.5600000000004</v>
      </c>
      <c r="T266" s="609">
        <f t="shared" si="198"/>
        <v>595.16</v>
      </c>
      <c r="U266" s="610">
        <f t="shared" si="205"/>
        <v>3065.7200000000003</v>
      </c>
      <c r="V266" s="611"/>
      <c r="W266" s="611"/>
      <c r="X266" s="611"/>
      <c r="Y266" s="616"/>
      <c r="Z266" s="805"/>
      <c r="AA266" s="806"/>
      <c r="AB266" s="806"/>
      <c r="AC266" s="581"/>
      <c r="AD266" s="581"/>
      <c r="AE266" s="824"/>
      <c r="AF266" s="824"/>
      <c r="AG266" s="824"/>
      <c r="AH266" s="824"/>
      <c r="AI266" s="824"/>
      <c r="AJ266" s="824"/>
      <c r="AK266" s="824"/>
      <c r="AL266" s="824"/>
      <c r="AM266" s="824"/>
      <c r="AN266" s="824"/>
      <c r="AO266" s="616"/>
      <c r="AP266" s="581"/>
      <c r="AQ266" s="581"/>
      <c r="AR266" s="824"/>
      <c r="AS266" s="824"/>
      <c r="AT266" s="824"/>
      <c r="AU266" s="824"/>
      <c r="AV266" s="824"/>
      <c r="AW266" s="824"/>
      <c r="AX266" s="824"/>
      <c r="AY266" s="824"/>
      <c r="AZ266" s="824"/>
      <c r="BA266" s="824"/>
      <c r="BB266" s="616"/>
      <c r="BC266" s="581"/>
      <c r="BD266" s="581"/>
    </row>
    <row r="267" spans="2:58" ht="25.5" x14ac:dyDescent="0.25">
      <c r="B267" s="396" t="s">
        <v>523</v>
      </c>
      <c r="C267" s="397" t="s">
        <v>75</v>
      </c>
      <c r="D267" s="397" t="s">
        <v>18</v>
      </c>
      <c r="E267" s="397">
        <v>12</v>
      </c>
      <c r="F267" s="397">
        <v>3</v>
      </c>
      <c r="G267" s="348">
        <v>1647</v>
      </c>
      <c r="H267" s="400">
        <v>1647</v>
      </c>
      <c r="I267" s="400">
        <v>411.75</v>
      </c>
      <c r="J267" s="428">
        <v>4</v>
      </c>
      <c r="K267" s="607">
        <f>ROUND(H267*(1+'29_01_H_2020'!$F$14),2)</f>
        <v>1811.7</v>
      </c>
      <c r="L267" s="608">
        <f t="shared" si="200"/>
        <v>1647</v>
      </c>
      <c r="M267" s="608">
        <f t="shared" si="201"/>
        <v>0</v>
      </c>
      <c r="N267" s="608">
        <f t="shared" si="202"/>
        <v>164.70000000000005</v>
      </c>
      <c r="O267" s="608">
        <f t="shared" si="203"/>
        <v>0</v>
      </c>
      <c r="P267" s="608">
        <f t="shared" si="204"/>
        <v>41.18</v>
      </c>
      <c r="Q267" s="609">
        <f t="shared" si="195"/>
        <v>205.88000000000005</v>
      </c>
      <c r="R267" s="609">
        <f t="shared" si="196"/>
        <v>823.52000000000021</v>
      </c>
      <c r="S267" s="609">
        <f t="shared" si="197"/>
        <v>9882.2400000000016</v>
      </c>
      <c r="T267" s="609">
        <f t="shared" si="198"/>
        <v>2380.63</v>
      </c>
      <c r="U267" s="610">
        <f t="shared" si="205"/>
        <v>12262.870000000003</v>
      </c>
      <c r="V267" s="611"/>
      <c r="W267" s="611"/>
      <c r="X267" s="611"/>
      <c r="Y267" s="616"/>
      <c r="Z267" s="805"/>
      <c r="AA267" s="806"/>
      <c r="AB267" s="806"/>
      <c r="AC267" s="581"/>
      <c r="AD267" s="581"/>
      <c r="AE267" s="824"/>
      <c r="AF267" s="824"/>
      <c r="AG267" s="824"/>
      <c r="AH267" s="824"/>
      <c r="AI267" s="824"/>
      <c r="AJ267" s="824"/>
      <c r="AK267" s="824"/>
      <c r="AL267" s="824"/>
      <c r="AM267" s="824"/>
      <c r="AN267" s="824"/>
      <c r="AO267" s="616"/>
      <c r="AP267" s="581"/>
      <c r="AQ267" s="581"/>
      <c r="AR267" s="824"/>
      <c r="AS267" s="824"/>
      <c r="AT267" s="824"/>
      <c r="AU267" s="824"/>
      <c r="AV267" s="824"/>
      <c r="AW267" s="824"/>
      <c r="AX267" s="824"/>
      <c r="AY267" s="824"/>
      <c r="AZ267" s="824"/>
      <c r="BA267" s="824"/>
      <c r="BB267" s="616"/>
      <c r="BC267" s="581"/>
      <c r="BD267" s="581"/>
    </row>
    <row r="268" spans="2:58" ht="25.5" x14ac:dyDescent="0.25">
      <c r="B268" s="396" t="s">
        <v>524</v>
      </c>
      <c r="C268" s="397" t="s">
        <v>75</v>
      </c>
      <c r="D268" s="397" t="s">
        <v>18</v>
      </c>
      <c r="E268" s="397">
        <v>12</v>
      </c>
      <c r="F268" s="397">
        <v>3</v>
      </c>
      <c r="G268" s="348">
        <v>1647</v>
      </c>
      <c r="H268" s="400">
        <v>1627</v>
      </c>
      <c r="I268" s="400">
        <v>260.32</v>
      </c>
      <c r="J268" s="428">
        <v>1</v>
      </c>
      <c r="K268" s="607">
        <f>ROUND(H268*(1+'29_01_H_2020'!$F$14),2)</f>
        <v>1789.7</v>
      </c>
      <c r="L268" s="608">
        <f t="shared" si="200"/>
        <v>1647</v>
      </c>
      <c r="M268" s="608">
        <f t="shared" si="201"/>
        <v>20</v>
      </c>
      <c r="N268" s="608">
        <f t="shared" si="202"/>
        <v>142.70000000000005</v>
      </c>
      <c r="O268" s="608">
        <f t="shared" si="203"/>
        <v>3.2</v>
      </c>
      <c r="P268" s="608">
        <f t="shared" si="204"/>
        <v>22.83</v>
      </c>
      <c r="Q268" s="609">
        <f t="shared" si="195"/>
        <v>188.73000000000002</v>
      </c>
      <c r="R268" s="609">
        <f t="shared" si="196"/>
        <v>188.73000000000002</v>
      </c>
      <c r="S268" s="609">
        <f t="shared" si="197"/>
        <v>2264.7600000000002</v>
      </c>
      <c r="T268" s="609">
        <f t="shared" si="198"/>
        <v>545.58000000000004</v>
      </c>
      <c r="U268" s="610">
        <f t="shared" si="205"/>
        <v>2810.34</v>
      </c>
      <c r="V268" s="611"/>
      <c r="W268" s="611"/>
      <c r="X268" s="611"/>
      <c r="Y268" s="616"/>
      <c r="Z268" s="805"/>
      <c r="AA268" s="806"/>
      <c r="AB268" s="806"/>
      <c r="AC268" s="581"/>
      <c r="AD268" s="581"/>
      <c r="AE268" s="824"/>
      <c r="AF268" s="824"/>
      <c r="AG268" s="824"/>
      <c r="AH268" s="824"/>
      <c r="AI268" s="824"/>
      <c r="AJ268" s="824"/>
      <c r="AK268" s="824"/>
      <c r="AL268" s="824"/>
      <c r="AM268" s="824"/>
      <c r="AN268" s="824"/>
      <c r="AO268" s="616"/>
      <c r="AP268" s="581"/>
      <c r="AQ268" s="581"/>
      <c r="AR268" s="824"/>
      <c r="AS268" s="824"/>
      <c r="AT268" s="824"/>
      <c r="AU268" s="824"/>
      <c r="AV268" s="824"/>
      <c r="AW268" s="824"/>
      <c r="AX268" s="824"/>
      <c r="AY268" s="824"/>
      <c r="AZ268" s="824"/>
      <c r="BA268" s="824"/>
      <c r="BB268" s="616"/>
      <c r="BC268" s="581"/>
      <c r="BD268" s="581"/>
    </row>
    <row r="269" spans="2:58" x14ac:dyDescent="0.25">
      <c r="B269" s="396" t="s">
        <v>525</v>
      </c>
      <c r="C269" s="397" t="s">
        <v>75</v>
      </c>
      <c r="D269" s="397" t="s">
        <v>18</v>
      </c>
      <c r="E269" s="397">
        <v>12</v>
      </c>
      <c r="F269" s="397">
        <v>3</v>
      </c>
      <c r="G269" s="348">
        <v>1647</v>
      </c>
      <c r="H269" s="400">
        <v>1491</v>
      </c>
      <c r="I269" s="400">
        <v>149.1</v>
      </c>
      <c r="J269" s="428">
        <v>23.1</v>
      </c>
      <c r="K269" s="607">
        <f>ROUND(H269*(1+'29_01_H_2020'!$F$14),2)</f>
        <v>1640.1</v>
      </c>
      <c r="L269" s="608">
        <f t="shared" si="200"/>
        <v>1640.1</v>
      </c>
      <c r="M269" s="608">
        <f t="shared" si="201"/>
        <v>149.09999999999991</v>
      </c>
      <c r="N269" s="608">
        <f t="shared" si="202"/>
        <v>0</v>
      </c>
      <c r="O269" s="608">
        <f t="shared" si="203"/>
        <v>14.91</v>
      </c>
      <c r="P269" s="608">
        <f t="shared" si="204"/>
        <v>0</v>
      </c>
      <c r="Q269" s="609">
        <f t="shared" si="195"/>
        <v>164.00999999999991</v>
      </c>
      <c r="R269" s="609">
        <f t="shared" si="196"/>
        <v>3788.630999999998</v>
      </c>
      <c r="S269" s="609">
        <f t="shared" si="197"/>
        <v>45463.571999999978</v>
      </c>
      <c r="T269" s="609">
        <f t="shared" si="198"/>
        <v>10952.17</v>
      </c>
      <c r="U269" s="610">
        <f t="shared" si="205"/>
        <v>56415.741999999977</v>
      </c>
      <c r="V269" s="611"/>
      <c r="W269" s="611"/>
      <c r="X269" s="611"/>
      <c r="Y269" s="616"/>
      <c r="Z269" s="805"/>
      <c r="AA269" s="806"/>
      <c r="AB269" s="806"/>
      <c r="AC269" s="581"/>
      <c r="AD269" s="581"/>
      <c r="AE269" s="824"/>
      <c r="AF269" s="824"/>
      <c r="AG269" s="824"/>
      <c r="AH269" s="824"/>
      <c r="AI269" s="824"/>
      <c r="AJ269" s="824"/>
      <c r="AK269" s="824"/>
      <c r="AL269" s="824"/>
      <c r="AM269" s="824"/>
      <c r="AN269" s="824"/>
      <c r="AO269" s="616"/>
      <c r="AP269" s="581"/>
      <c r="AQ269" s="581"/>
      <c r="AR269" s="824"/>
      <c r="AS269" s="824"/>
      <c r="AT269" s="824"/>
      <c r="AU269" s="824"/>
      <c r="AV269" s="824"/>
      <c r="AW269" s="824"/>
      <c r="AX269" s="824"/>
      <c r="AY269" s="824"/>
      <c r="AZ269" s="824"/>
      <c r="BA269" s="824"/>
      <c r="BB269" s="616"/>
      <c r="BC269" s="581"/>
      <c r="BD269" s="581"/>
    </row>
    <row r="270" spans="2:58" ht="25.5" x14ac:dyDescent="0.25">
      <c r="B270" s="396" t="s">
        <v>526</v>
      </c>
      <c r="C270" s="397" t="s">
        <v>75</v>
      </c>
      <c r="D270" s="397" t="s">
        <v>18</v>
      </c>
      <c r="E270" s="397">
        <v>12</v>
      </c>
      <c r="F270" s="397">
        <v>3</v>
      </c>
      <c r="G270" s="348">
        <v>1647</v>
      </c>
      <c r="H270" s="400">
        <v>1491</v>
      </c>
      <c r="I270" s="400">
        <v>149.1</v>
      </c>
      <c r="J270" s="428">
        <v>3</v>
      </c>
      <c r="K270" s="607">
        <f>ROUND(H270*(1+'29_01_H_2020'!$F$14),2)</f>
        <v>1640.1</v>
      </c>
      <c r="L270" s="608">
        <f t="shared" si="200"/>
        <v>1640.1</v>
      </c>
      <c r="M270" s="608">
        <f t="shared" si="201"/>
        <v>149.09999999999991</v>
      </c>
      <c r="N270" s="608">
        <f t="shared" si="202"/>
        <v>0</v>
      </c>
      <c r="O270" s="608">
        <f t="shared" si="203"/>
        <v>14.91</v>
      </c>
      <c r="P270" s="608">
        <f t="shared" si="204"/>
        <v>0</v>
      </c>
      <c r="Q270" s="609">
        <f t="shared" si="195"/>
        <v>164.00999999999991</v>
      </c>
      <c r="R270" s="609">
        <f t="shared" si="196"/>
        <v>492.02999999999975</v>
      </c>
      <c r="S270" s="609">
        <f t="shared" si="197"/>
        <v>5904.3599999999969</v>
      </c>
      <c r="T270" s="609">
        <f t="shared" si="198"/>
        <v>1422.36</v>
      </c>
      <c r="U270" s="610">
        <f t="shared" si="205"/>
        <v>7326.7199999999966</v>
      </c>
      <c r="V270" s="611"/>
      <c r="W270" s="611"/>
      <c r="X270" s="611"/>
      <c r="Y270" s="616"/>
      <c r="Z270" s="805"/>
      <c r="AA270" s="806"/>
      <c r="AB270" s="806"/>
      <c r="AC270" s="581"/>
      <c r="AD270" s="581"/>
      <c r="AE270" s="824"/>
      <c r="AF270" s="824"/>
      <c r="AG270" s="824"/>
      <c r="AH270" s="824"/>
      <c r="AI270" s="824"/>
      <c r="AJ270" s="824"/>
      <c r="AK270" s="824"/>
      <c r="AL270" s="824"/>
      <c r="AM270" s="824"/>
      <c r="AN270" s="824"/>
      <c r="AO270" s="616"/>
      <c r="AP270" s="581"/>
      <c r="AQ270" s="581"/>
      <c r="AR270" s="824"/>
      <c r="AS270" s="824"/>
      <c r="AT270" s="824"/>
      <c r="AU270" s="824"/>
      <c r="AV270" s="824"/>
      <c r="AW270" s="824"/>
      <c r="AX270" s="824"/>
      <c r="AY270" s="824"/>
      <c r="AZ270" s="824"/>
      <c r="BA270" s="824"/>
      <c r="BB270" s="616"/>
      <c r="BC270" s="581"/>
      <c r="BD270" s="581"/>
    </row>
    <row r="271" spans="2:58" x14ac:dyDescent="0.25">
      <c r="B271" s="396" t="s">
        <v>527</v>
      </c>
      <c r="C271" s="397" t="s">
        <v>75</v>
      </c>
      <c r="D271" s="397" t="s">
        <v>25</v>
      </c>
      <c r="E271" s="397">
        <v>10</v>
      </c>
      <c r="F271" s="397">
        <v>3</v>
      </c>
      <c r="G271" s="348">
        <v>1287</v>
      </c>
      <c r="H271" s="400">
        <v>869</v>
      </c>
      <c r="I271" s="400">
        <v>86.9</v>
      </c>
      <c r="J271" s="428">
        <v>0.25</v>
      </c>
      <c r="K271" s="607">
        <f>ROUND(H271*(1+'29_01_H_2020'!$F$14),2)</f>
        <v>955.9</v>
      </c>
      <c r="L271" s="608">
        <f t="shared" si="200"/>
        <v>955.9</v>
      </c>
      <c r="M271" s="608">
        <f t="shared" si="201"/>
        <v>86.899999999999977</v>
      </c>
      <c r="N271" s="608">
        <f t="shared" si="202"/>
        <v>0</v>
      </c>
      <c r="O271" s="608">
        <f t="shared" si="203"/>
        <v>8.69</v>
      </c>
      <c r="P271" s="608">
        <f t="shared" si="204"/>
        <v>0</v>
      </c>
      <c r="Q271" s="609">
        <f t="shared" si="195"/>
        <v>95.589999999999975</v>
      </c>
      <c r="R271" s="609">
        <f t="shared" si="196"/>
        <v>23.897499999999994</v>
      </c>
      <c r="S271" s="609">
        <f t="shared" si="197"/>
        <v>286.76999999999992</v>
      </c>
      <c r="T271" s="609">
        <f t="shared" si="198"/>
        <v>69.08</v>
      </c>
      <c r="U271" s="610">
        <f t="shared" si="205"/>
        <v>355.84999999999991</v>
      </c>
      <c r="V271" s="611"/>
      <c r="W271" s="611"/>
      <c r="X271" s="611"/>
      <c r="Y271" s="616"/>
      <c r="Z271" s="805"/>
      <c r="AA271" s="806"/>
      <c r="AB271" s="806"/>
      <c r="AC271" s="581"/>
      <c r="AD271" s="581"/>
      <c r="AE271" s="824"/>
      <c r="AF271" s="824"/>
      <c r="AG271" s="824"/>
      <c r="AH271" s="824"/>
      <c r="AI271" s="824"/>
      <c r="AJ271" s="824"/>
      <c r="AK271" s="824"/>
      <c r="AL271" s="824"/>
      <c r="AM271" s="824"/>
      <c r="AN271" s="824"/>
      <c r="AO271" s="616"/>
      <c r="AP271" s="581"/>
      <c r="AQ271" s="581"/>
      <c r="AR271" s="824"/>
      <c r="AS271" s="824"/>
      <c r="AT271" s="824"/>
      <c r="AU271" s="824"/>
      <c r="AV271" s="824"/>
      <c r="AW271" s="824"/>
      <c r="AX271" s="824"/>
      <c r="AY271" s="824"/>
      <c r="AZ271" s="824"/>
      <c r="BA271" s="824"/>
      <c r="BB271" s="616"/>
      <c r="BC271" s="581"/>
      <c r="BD271" s="581"/>
    </row>
    <row r="272" spans="2:58" x14ac:dyDescent="0.25">
      <c r="B272" s="396" t="s">
        <v>527</v>
      </c>
      <c r="C272" s="397" t="s">
        <v>75</v>
      </c>
      <c r="D272" s="397" t="s">
        <v>25</v>
      </c>
      <c r="E272" s="397">
        <v>10</v>
      </c>
      <c r="F272" s="397">
        <v>3</v>
      </c>
      <c r="G272" s="348">
        <v>1287</v>
      </c>
      <c r="H272" s="400">
        <v>1287</v>
      </c>
      <c r="I272" s="400">
        <v>128.69999999999999</v>
      </c>
      <c r="J272" s="428">
        <v>0.75</v>
      </c>
      <c r="K272" s="607">
        <f>ROUND(H272*(1+'29_01_H_2020'!$F$14),2)</f>
        <v>1415.7</v>
      </c>
      <c r="L272" s="608">
        <f t="shared" si="200"/>
        <v>1287</v>
      </c>
      <c r="M272" s="608">
        <f t="shared" si="201"/>
        <v>0</v>
      </c>
      <c r="N272" s="608">
        <f t="shared" si="202"/>
        <v>128.70000000000005</v>
      </c>
      <c r="O272" s="608">
        <f t="shared" si="203"/>
        <v>0</v>
      </c>
      <c r="P272" s="608">
        <f t="shared" si="204"/>
        <v>12.87</v>
      </c>
      <c r="Q272" s="609">
        <f t="shared" si="195"/>
        <v>141.57000000000005</v>
      </c>
      <c r="R272" s="609">
        <f t="shared" si="196"/>
        <v>106.17750000000004</v>
      </c>
      <c r="S272" s="609">
        <f t="shared" si="197"/>
        <v>1274.1300000000006</v>
      </c>
      <c r="T272" s="609">
        <f t="shared" si="198"/>
        <v>306.94</v>
      </c>
      <c r="U272" s="610">
        <f t="shared" si="205"/>
        <v>1581.0700000000006</v>
      </c>
      <c r="V272" s="611"/>
      <c r="W272" s="611"/>
      <c r="X272" s="611"/>
      <c r="Y272" s="616"/>
      <c r="Z272" s="805"/>
      <c r="AA272" s="806"/>
      <c r="AB272" s="806"/>
      <c r="AC272" s="581"/>
      <c r="AD272" s="581"/>
      <c r="AE272" s="824"/>
      <c r="AF272" s="824"/>
      <c r="AG272" s="824"/>
      <c r="AH272" s="824"/>
      <c r="AI272" s="824"/>
      <c r="AJ272" s="824"/>
      <c r="AK272" s="824"/>
      <c r="AL272" s="824"/>
      <c r="AM272" s="824"/>
      <c r="AN272" s="824"/>
      <c r="AO272" s="616"/>
      <c r="AP272" s="581"/>
      <c r="AQ272" s="581"/>
      <c r="AR272" s="824"/>
      <c r="AS272" s="824"/>
      <c r="AT272" s="824"/>
      <c r="AU272" s="824"/>
      <c r="AV272" s="824"/>
      <c r="AW272" s="824"/>
      <c r="AX272" s="824"/>
      <c r="AY272" s="824"/>
      <c r="AZ272" s="824"/>
      <c r="BA272" s="824"/>
      <c r="BB272" s="616"/>
      <c r="BC272" s="581"/>
      <c r="BD272" s="581"/>
    </row>
    <row r="273" spans="2:56" x14ac:dyDescent="0.25">
      <c r="B273" s="396" t="s">
        <v>528</v>
      </c>
      <c r="C273" s="397" t="s">
        <v>75</v>
      </c>
      <c r="D273" s="397" t="s">
        <v>25</v>
      </c>
      <c r="E273" s="397">
        <v>10</v>
      </c>
      <c r="F273" s="397">
        <v>3</v>
      </c>
      <c r="G273" s="348">
        <v>1287</v>
      </c>
      <c r="H273" s="400">
        <v>1175</v>
      </c>
      <c r="I273" s="400">
        <v>117.5</v>
      </c>
      <c r="J273" s="428">
        <v>6</v>
      </c>
      <c r="K273" s="607">
        <f>ROUND(H273*(1+'29_01_H_2020'!$F$14),2)</f>
        <v>1292.5</v>
      </c>
      <c r="L273" s="608">
        <f t="shared" si="200"/>
        <v>1287</v>
      </c>
      <c r="M273" s="608">
        <f t="shared" si="201"/>
        <v>112</v>
      </c>
      <c r="N273" s="608">
        <f t="shared" si="202"/>
        <v>5.5</v>
      </c>
      <c r="O273" s="608">
        <f t="shared" si="203"/>
        <v>11.2</v>
      </c>
      <c r="P273" s="608">
        <f t="shared" si="204"/>
        <v>0.55000000000000004</v>
      </c>
      <c r="Q273" s="609">
        <f t="shared" si="195"/>
        <v>129.25</v>
      </c>
      <c r="R273" s="609">
        <f t="shared" si="196"/>
        <v>775.5</v>
      </c>
      <c r="S273" s="609">
        <f t="shared" si="197"/>
        <v>9306</v>
      </c>
      <c r="T273" s="609">
        <f t="shared" si="198"/>
        <v>2241.8200000000002</v>
      </c>
      <c r="U273" s="610">
        <f t="shared" si="205"/>
        <v>11547.82</v>
      </c>
      <c r="V273" s="611"/>
      <c r="W273" s="611"/>
      <c r="X273" s="611"/>
      <c r="Y273" s="616"/>
      <c r="Z273" s="805"/>
      <c r="AA273" s="806"/>
      <c r="AB273" s="806"/>
      <c r="AC273" s="581"/>
      <c r="AD273" s="581"/>
      <c r="AE273" s="824"/>
      <c r="AF273" s="824"/>
      <c r="AG273" s="824"/>
      <c r="AH273" s="824"/>
      <c r="AI273" s="824"/>
      <c r="AJ273" s="824"/>
      <c r="AK273" s="824"/>
      <c r="AL273" s="824"/>
      <c r="AM273" s="824"/>
      <c r="AN273" s="824"/>
      <c r="AO273" s="616"/>
      <c r="AP273" s="581"/>
      <c r="AQ273" s="581"/>
      <c r="AR273" s="824"/>
      <c r="AS273" s="824"/>
      <c r="AT273" s="824"/>
      <c r="AU273" s="824"/>
      <c r="AV273" s="824"/>
      <c r="AW273" s="824"/>
      <c r="AX273" s="824"/>
      <c r="AY273" s="824"/>
      <c r="AZ273" s="824"/>
      <c r="BA273" s="824"/>
      <c r="BB273" s="616"/>
      <c r="BC273" s="581"/>
      <c r="BD273" s="581"/>
    </row>
    <row r="274" spans="2:56" x14ac:dyDescent="0.25">
      <c r="B274" s="396" t="s">
        <v>528</v>
      </c>
      <c r="C274" s="397" t="s">
        <v>75</v>
      </c>
      <c r="D274" s="397" t="s">
        <v>25</v>
      </c>
      <c r="E274" s="397">
        <v>10</v>
      </c>
      <c r="F274" s="397" t="s">
        <v>161</v>
      </c>
      <c r="G274" s="348">
        <v>1115</v>
      </c>
      <c r="H274" s="400">
        <v>1115</v>
      </c>
      <c r="I274" s="400">
        <v>111.5</v>
      </c>
      <c r="J274" s="428">
        <v>3</v>
      </c>
      <c r="K274" s="607">
        <f>ROUND(H274*(1+'29_01_H_2020'!$F$14),2)</f>
        <v>1226.5</v>
      </c>
      <c r="L274" s="608">
        <f t="shared" si="200"/>
        <v>1115</v>
      </c>
      <c r="M274" s="608">
        <f t="shared" si="201"/>
        <v>0</v>
      </c>
      <c r="N274" s="608">
        <f t="shared" si="202"/>
        <v>111.5</v>
      </c>
      <c r="O274" s="608">
        <f t="shared" si="203"/>
        <v>0</v>
      </c>
      <c r="P274" s="608">
        <f t="shared" si="204"/>
        <v>11.15</v>
      </c>
      <c r="Q274" s="609">
        <f t="shared" si="195"/>
        <v>122.65</v>
      </c>
      <c r="R274" s="609">
        <f t="shared" si="196"/>
        <v>367.95000000000005</v>
      </c>
      <c r="S274" s="609">
        <f t="shared" si="197"/>
        <v>4415.4000000000005</v>
      </c>
      <c r="T274" s="609">
        <f t="shared" si="198"/>
        <v>1063.67</v>
      </c>
      <c r="U274" s="610">
        <f t="shared" si="205"/>
        <v>5479.0700000000006</v>
      </c>
      <c r="V274" s="611"/>
      <c r="W274" s="611"/>
      <c r="X274" s="611"/>
      <c r="Y274" s="616"/>
      <c r="Z274" s="805"/>
      <c r="AA274" s="806"/>
      <c r="AB274" s="806"/>
      <c r="AC274" s="581"/>
      <c r="AD274" s="581"/>
      <c r="AE274" s="824"/>
      <c r="AF274" s="824"/>
      <c r="AG274" s="824"/>
      <c r="AH274" s="824"/>
      <c r="AI274" s="824"/>
      <c r="AJ274" s="824"/>
      <c r="AK274" s="824"/>
      <c r="AL274" s="824"/>
      <c r="AM274" s="824"/>
      <c r="AN274" s="824"/>
      <c r="AO274" s="616"/>
      <c r="AP274" s="581"/>
      <c r="AQ274" s="581"/>
      <c r="AR274" s="824"/>
      <c r="AS274" s="824"/>
      <c r="AT274" s="824"/>
      <c r="AU274" s="824"/>
      <c r="AV274" s="824"/>
      <c r="AW274" s="824"/>
      <c r="AX274" s="824"/>
      <c r="AY274" s="824"/>
      <c r="AZ274" s="824"/>
      <c r="BA274" s="824"/>
      <c r="BB274" s="616"/>
      <c r="BC274" s="581"/>
      <c r="BD274" s="581"/>
    </row>
    <row r="275" spans="2:56" x14ac:dyDescent="0.25">
      <c r="B275" s="396" t="s">
        <v>529</v>
      </c>
      <c r="C275" s="397" t="s">
        <v>75</v>
      </c>
      <c r="D275" s="397" t="s">
        <v>25</v>
      </c>
      <c r="E275" s="397" t="s">
        <v>75</v>
      </c>
      <c r="F275" s="397">
        <v>3</v>
      </c>
      <c r="G275" s="348">
        <v>1287</v>
      </c>
      <c r="H275" s="400">
        <v>1175</v>
      </c>
      <c r="I275" s="400">
        <v>117.5</v>
      </c>
      <c r="J275" s="428">
        <v>1</v>
      </c>
      <c r="K275" s="607">
        <f>ROUND(H275*(1+'29_01_H_2020'!$F$14),2)</f>
        <v>1292.5</v>
      </c>
      <c r="L275" s="608">
        <f t="shared" si="200"/>
        <v>1287</v>
      </c>
      <c r="M275" s="608">
        <f t="shared" si="201"/>
        <v>112</v>
      </c>
      <c r="N275" s="608">
        <f t="shared" si="202"/>
        <v>5.5</v>
      </c>
      <c r="O275" s="608">
        <f t="shared" si="203"/>
        <v>11.2</v>
      </c>
      <c r="P275" s="608">
        <f t="shared" si="204"/>
        <v>0.55000000000000004</v>
      </c>
      <c r="Q275" s="609">
        <f t="shared" si="195"/>
        <v>129.25</v>
      </c>
      <c r="R275" s="609">
        <f t="shared" si="196"/>
        <v>129.25</v>
      </c>
      <c r="S275" s="609">
        <f t="shared" si="197"/>
        <v>1551</v>
      </c>
      <c r="T275" s="609">
        <f t="shared" si="198"/>
        <v>373.64</v>
      </c>
      <c r="U275" s="610">
        <f t="shared" si="205"/>
        <v>1924.6399999999999</v>
      </c>
      <c r="V275" s="611"/>
      <c r="W275" s="611"/>
      <c r="X275" s="611"/>
      <c r="Y275" s="616"/>
      <c r="Z275" s="805"/>
      <c r="AA275" s="806"/>
      <c r="AB275" s="806"/>
      <c r="AC275" s="581"/>
      <c r="AD275" s="581"/>
      <c r="AE275" s="824"/>
      <c r="AF275" s="824"/>
      <c r="AG275" s="824"/>
      <c r="AH275" s="824"/>
      <c r="AI275" s="824"/>
      <c r="AJ275" s="824"/>
      <c r="AK275" s="824"/>
      <c r="AL275" s="824"/>
      <c r="AM275" s="824"/>
      <c r="AN275" s="824"/>
      <c r="AO275" s="616"/>
      <c r="AP275" s="581"/>
      <c r="AQ275" s="581"/>
      <c r="AR275" s="824"/>
      <c r="AS275" s="824"/>
      <c r="AT275" s="824"/>
      <c r="AU275" s="824"/>
      <c r="AV275" s="824"/>
      <c r="AW275" s="824"/>
      <c r="AX275" s="824"/>
      <c r="AY275" s="824"/>
      <c r="AZ275" s="824"/>
      <c r="BA275" s="824"/>
      <c r="BB275" s="616"/>
      <c r="BC275" s="581"/>
      <c r="BD275" s="581"/>
    </row>
    <row r="276" spans="2:56" x14ac:dyDescent="0.25">
      <c r="B276" s="396" t="s">
        <v>62</v>
      </c>
      <c r="C276" s="398" t="s">
        <v>122</v>
      </c>
      <c r="D276" s="398" t="s">
        <v>44</v>
      </c>
      <c r="E276" s="398">
        <v>9</v>
      </c>
      <c r="F276" s="398">
        <v>1</v>
      </c>
      <c r="G276" s="348">
        <v>835</v>
      </c>
      <c r="H276" s="400">
        <v>635</v>
      </c>
      <c r="I276" s="400">
        <v>158.75</v>
      </c>
      <c r="J276" s="428">
        <v>1.4</v>
      </c>
      <c r="K276" s="607">
        <f>ROUND(H276*(1+'29_01_H_2020'!$F$14),2)</f>
        <v>698.5</v>
      </c>
      <c r="L276" s="608">
        <f t="shared" si="200"/>
        <v>698.5</v>
      </c>
      <c r="M276" s="608">
        <f t="shared" si="201"/>
        <v>63.5</v>
      </c>
      <c r="N276" s="608">
        <f t="shared" si="202"/>
        <v>0</v>
      </c>
      <c r="O276" s="608">
        <f t="shared" si="203"/>
        <v>15.88</v>
      </c>
      <c r="P276" s="608">
        <f>ROUND(I276/H276*K276-I276-O276,2)+0.01</f>
        <v>0</v>
      </c>
      <c r="Q276" s="609">
        <f t="shared" si="195"/>
        <v>79.38</v>
      </c>
      <c r="R276" s="609">
        <f t="shared" si="196"/>
        <v>111.13199999999999</v>
      </c>
      <c r="S276" s="609">
        <f t="shared" si="197"/>
        <v>1333.5839999999998</v>
      </c>
      <c r="T276" s="609">
        <f t="shared" si="198"/>
        <v>321.26</v>
      </c>
      <c r="U276" s="610">
        <f t="shared" si="205"/>
        <v>1654.8439999999998</v>
      </c>
      <c r="V276" s="611"/>
      <c r="W276" s="611"/>
      <c r="X276" s="611"/>
      <c r="Y276" s="616"/>
      <c r="Z276" s="805"/>
      <c r="AA276" s="806"/>
      <c r="AB276" s="806"/>
      <c r="AC276" s="581"/>
      <c r="AD276" s="581"/>
      <c r="AE276" s="824"/>
      <c r="AF276" s="824"/>
      <c r="AG276" s="824"/>
      <c r="AH276" s="824"/>
      <c r="AI276" s="824"/>
      <c r="AJ276" s="824"/>
      <c r="AK276" s="824"/>
      <c r="AL276" s="824"/>
      <c r="AM276" s="824"/>
      <c r="AN276" s="824"/>
      <c r="AO276" s="616"/>
      <c r="AP276" s="581"/>
      <c r="AQ276" s="581"/>
      <c r="AR276" s="824"/>
      <c r="AS276" s="824"/>
      <c r="AT276" s="824"/>
      <c r="AU276" s="824"/>
      <c r="AV276" s="824"/>
      <c r="AW276" s="824"/>
      <c r="AX276" s="824"/>
      <c r="AY276" s="824"/>
      <c r="AZ276" s="824"/>
      <c r="BA276" s="824"/>
      <c r="BB276" s="616"/>
      <c r="BC276" s="581"/>
      <c r="BD276" s="581"/>
    </row>
    <row r="277" spans="2:56" x14ac:dyDescent="0.25">
      <c r="B277" s="963" t="s">
        <v>27</v>
      </c>
      <c r="C277" s="964"/>
      <c r="D277" s="964"/>
      <c r="E277" s="964"/>
      <c r="F277" s="964"/>
      <c r="G277" s="964"/>
      <c r="H277" s="964"/>
      <c r="I277" s="964"/>
      <c r="J277" s="964"/>
      <c r="K277" s="625"/>
      <c r="L277" s="626"/>
      <c r="M277" s="626"/>
      <c r="N277" s="626"/>
      <c r="O277" s="626"/>
      <c r="P277" s="626"/>
      <c r="Q277" s="603"/>
      <c r="R277" s="603"/>
      <c r="S277" s="603"/>
      <c r="T277" s="603"/>
      <c r="U277" s="604"/>
      <c r="V277" s="581"/>
      <c r="W277" s="581"/>
      <c r="X277" s="581"/>
      <c r="Y277" s="581"/>
      <c r="Z277" s="581"/>
      <c r="AA277" s="581"/>
      <c r="AB277" s="581"/>
      <c r="AC277" s="581"/>
      <c r="AD277" s="581"/>
      <c r="AE277" s="581"/>
      <c r="AF277" s="581"/>
      <c r="AG277" s="581"/>
      <c r="AH277" s="581"/>
      <c r="AI277" s="581"/>
      <c r="AJ277" s="581"/>
      <c r="AK277" s="581"/>
      <c r="AL277" s="581"/>
      <c r="AM277" s="581"/>
      <c r="AN277" s="581"/>
      <c r="AO277" s="581"/>
      <c r="AP277" s="581"/>
      <c r="AQ277" s="581"/>
      <c r="AR277" s="581"/>
      <c r="AS277" s="581"/>
      <c r="AT277" s="581"/>
      <c r="AU277" s="581"/>
      <c r="AV277" s="581"/>
      <c r="AW277" s="581"/>
      <c r="AX277" s="581"/>
      <c r="AY277" s="581"/>
      <c r="AZ277" s="581"/>
      <c r="BA277" s="581"/>
      <c r="BB277" s="581"/>
      <c r="BC277" s="581"/>
      <c r="BD277" s="581"/>
    </row>
    <row r="278" spans="2:56" x14ac:dyDescent="0.25">
      <c r="B278" s="395" t="s">
        <v>530</v>
      </c>
      <c r="C278" s="394" t="s">
        <v>158</v>
      </c>
      <c r="D278" s="397" t="s">
        <v>12</v>
      </c>
      <c r="E278" s="397">
        <v>11</v>
      </c>
      <c r="F278" s="397">
        <v>3</v>
      </c>
      <c r="G278" s="348">
        <v>1382</v>
      </c>
      <c r="H278" s="384">
        <v>1356</v>
      </c>
      <c r="I278" s="384">
        <v>108.48</v>
      </c>
      <c r="J278" s="441">
        <v>1</v>
      </c>
      <c r="K278" s="607">
        <f>ROUND(H278*(1+'29_01_H_2020'!$F$10),2)</f>
        <v>1491.6</v>
      </c>
      <c r="L278" s="608">
        <f t="shared" ref="L278" si="206">IF(K278&lt;=G278,K278,G278)</f>
        <v>1382</v>
      </c>
      <c r="M278" s="608">
        <f t="shared" ref="M278" si="207">L278-H278</f>
        <v>26</v>
      </c>
      <c r="N278" s="608">
        <f t="shared" ref="N278" si="208">K278-L278</f>
        <v>109.59999999999991</v>
      </c>
      <c r="O278" s="608">
        <f t="shared" ref="O278" si="209">ROUND(I278/H278*L278-I278,2)</f>
        <v>2.08</v>
      </c>
      <c r="P278" s="608">
        <f t="shared" ref="P278" si="210">ROUND(I278/H278*K278-I278-O278,2)</f>
        <v>8.77</v>
      </c>
      <c r="Q278" s="609">
        <f t="shared" si="195"/>
        <v>146.44999999999993</v>
      </c>
      <c r="R278" s="609">
        <f>Q278*J278</f>
        <v>146.44999999999993</v>
      </c>
      <c r="S278" s="609">
        <f t="shared" si="197"/>
        <v>1757.3999999999992</v>
      </c>
      <c r="T278" s="609">
        <f t="shared" si="198"/>
        <v>423.36</v>
      </c>
      <c r="U278" s="610">
        <f t="shared" ref="U278" si="211">SUM(S278:T278)</f>
        <v>2180.7599999999993</v>
      </c>
      <c r="V278" s="611"/>
      <c r="W278" s="611"/>
      <c r="X278" s="611"/>
      <c r="Y278" s="616"/>
      <c r="Z278" s="805"/>
      <c r="AA278" s="806"/>
      <c r="AB278" s="806"/>
      <c r="AC278" s="581"/>
      <c r="AD278" s="581"/>
      <c r="AE278" s="824"/>
      <c r="AF278" s="824"/>
      <c r="AG278" s="824"/>
      <c r="AH278" s="824"/>
      <c r="AI278" s="824"/>
      <c r="AJ278" s="824"/>
      <c r="AK278" s="824"/>
      <c r="AL278" s="824"/>
      <c r="AM278" s="824"/>
      <c r="AN278" s="824"/>
      <c r="AO278" s="616"/>
      <c r="AP278" s="581"/>
      <c r="AQ278" s="581"/>
      <c r="AR278" s="824"/>
      <c r="AS278" s="824"/>
      <c r="AT278" s="824"/>
      <c r="AU278" s="824"/>
      <c r="AV278" s="824"/>
      <c r="AW278" s="824"/>
      <c r="AX278" s="824"/>
      <c r="AY278" s="824"/>
      <c r="AZ278" s="824"/>
      <c r="BA278" s="824"/>
      <c r="BB278" s="616"/>
      <c r="BC278" s="581"/>
      <c r="BD278" s="581"/>
    </row>
    <row r="279" spans="2:56" x14ac:dyDescent="0.25">
      <c r="B279" s="395" t="s">
        <v>30</v>
      </c>
      <c r="C279" s="394" t="s">
        <v>122</v>
      </c>
      <c r="D279" s="397" t="s">
        <v>29</v>
      </c>
      <c r="E279" s="397">
        <v>9</v>
      </c>
      <c r="F279" s="397">
        <v>3</v>
      </c>
      <c r="G279" s="348">
        <v>1190</v>
      </c>
      <c r="H279" s="384">
        <v>984</v>
      </c>
      <c r="I279" s="384">
        <v>186.96</v>
      </c>
      <c r="J279" s="441">
        <v>16</v>
      </c>
      <c r="K279" s="607">
        <f>ROUND(H279*(1+'29_01_H_2020'!$F$10),2)</f>
        <v>1082.4000000000001</v>
      </c>
      <c r="L279" s="608">
        <f t="shared" ref="L279:L282" si="212">IF(K279&lt;=G279,K279,G279)</f>
        <v>1082.4000000000001</v>
      </c>
      <c r="M279" s="608">
        <f t="shared" ref="M279:M282" si="213">L279-H279</f>
        <v>98.400000000000091</v>
      </c>
      <c r="N279" s="608">
        <f t="shared" ref="N279:N282" si="214">K279-L279</f>
        <v>0</v>
      </c>
      <c r="O279" s="608">
        <f t="shared" ref="O279:O282" si="215">ROUND(I279/H279*L279-I279,2)</f>
        <v>18.7</v>
      </c>
      <c r="P279" s="608">
        <f t="shared" ref="P279:P282" si="216">ROUND(I279/H279*K279-I279-O279,2)</f>
        <v>0</v>
      </c>
      <c r="Q279" s="609">
        <f t="shared" si="195"/>
        <v>117.10000000000009</v>
      </c>
      <c r="R279" s="609">
        <f>Q279*J279</f>
        <v>1873.6000000000015</v>
      </c>
      <c r="S279" s="609">
        <f t="shared" si="197"/>
        <v>22483.200000000019</v>
      </c>
      <c r="T279" s="609">
        <f t="shared" si="198"/>
        <v>5416.2</v>
      </c>
      <c r="U279" s="610">
        <f t="shared" ref="U279:U282" si="217">SUM(S279:T279)</f>
        <v>27899.40000000002</v>
      </c>
      <c r="V279" s="611"/>
      <c r="W279" s="611"/>
      <c r="X279" s="611"/>
      <c r="Y279" s="616"/>
      <c r="Z279" s="805"/>
      <c r="AA279" s="806"/>
      <c r="AB279" s="806"/>
      <c r="AC279" s="581"/>
      <c r="AD279" s="581"/>
      <c r="AE279" s="824"/>
      <c r="AF279" s="824"/>
      <c r="AG279" s="824"/>
      <c r="AH279" s="824"/>
      <c r="AI279" s="824"/>
      <c r="AJ279" s="824"/>
      <c r="AK279" s="824"/>
      <c r="AL279" s="824"/>
      <c r="AM279" s="824"/>
      <c r="AN279" s="824"/>
      <c r="AO279" s="616"/>
      <c r="AP279" s="581"/>
      <c r="AQ279" s="581"/>
      <c r="AR279" s="824"/>
      <c r="AS279" s="824"/>
      <c r="AT279" s="824"/>
      <c r="AU279" s="824"/>
      <c r="AV279" s="824"/>
      <c r="AW279" s="824"/>
      <c r="AX279" s="824"/>
      <c r="AY279" s="824"/>
      <c r="AZ279" s="824"/>
      <c r="BA279" s="824"/>
      <c r="BB279" s="616"/>
      <c r="BC279" s="581"/>
      <c r="BD279" s="581"/>
    </row>
    <row r="280" spans="2:56" x14ac:dyDescent="0.25">
      <c r="B280" s="395" t="s">
        <v>531</v>
      </c>
      <c r="C280" s="394" t="s">
        <v>75</v>
      </c>
      <c r="D280" s="397" t="s">
        <v>41</v>
      </c>
      <c r="E280" s="397">
        <v>9</v>
      </c>
      <c r="F280" s="397">
        <v>3</v>
      </c>
      <c r="G280" s="348">
        <v>1190</v>
      </c>
      <c r="H280" s="384">
        <v>902</v>
      </c>
      <c r="I280" s="384">
        <v>171.38</v>
      </c>
      <c r="J280" s="441">
        <v>29</v>
      </c>
      <c r="K280" s="607">
        <f>ROUND(H280*(1+'29_01_H_2020'!$F$10),2)</f>
        <v>992.2</v>
      </c>
      <c r="L280" s="608">
        <f t="shared" si="212"/>
        <v>992.2</v>
      </c>
      <c r="M280" s="608">
        <f t="shared" si="213"/>
        <v>90.200000000000045</v>
      </c>
      <c r="N280" s="608">
        <f t="shared" si="214"/>
        <v>0</v>
      </c>
      <c r="O280" s="608">
        <f t="shared" si="215"/>
        <v>17.14</v>
      </c>
      <c r="P280" s="608">
        <f t="shared" si="216"/>
        <v>0</v>
      </c>
      <c r="Q280" s="609">
        <f t="shared" si="195"/>
        <v>107.34000000000005</v>
      </c>
      <c r="R280" s="609">
        <f>Q280*J280</f>
        <v>3112.8600000000015</v>
      </c>
      <c r="S280" s="609">
        <f t="shared" si="197"/>
        <v>37354.320000000022</v>
      </c>
      <c r="T280" s="609">
        <f t="shared" si="198"/>
        <v>8998.66</v>
      </c>
      <c r="U280" s="610">
        <f t="shared" si="217"/>
        <v>46352.980000000025</v>
      </c>
      <c r="V280" s="611"/>
      <c r="W280" s="611"/>
      <c r="X280" s="611"/>
      <c r="Y280" s="616"/>
      <c r="Z280" s="805"/>
      <c r="AA280" s="806"/>
      <c r="AB280" s="806"/>
      <c r="AC280" s="581"/>
      <c r="AD280" s="581"/>
      <c r="AE280" s="824"/>
      <c r="AF280" s="824"/>
      <c r="AG280" s="824"/>
      <c r="AH280" s="824"/>
      <c r="AI280" s="824"/>
      <c r="AJ280" s="824"/>
      <c r="AK280" s="824"/>
      <c r="AL280" s="824"/>
      <c r="AM280" s="824"/>
      <c r="AN280" s="824"/>
      <c r="AO280" s="616"/>
      <c r="AP280" s="581"/>
      <c r="AQ280" s="581"/>
      <c r="AR280" s="824"/>
      <c r="AS280" s="824"/>
      <c r="AT280" s="824"/>
      <c r="AU280" s="824"/>
      <c r="AV280" s="824"/>
      <c r="AW280" s="824"/>
      <c r="AX280" s="824"/>
      <c r="AY280" s="824"/>
      <c r="AZ280" s="824"/>
      <c r="BA280" s="824"/>
      <c r="BB280" s="616"/>
      <c r="BC280" s="581"/>
      <c r="BD280" s="581"/>
    </row>
    <row r="281" spans="2:56" x14ac:dyDescent="0.25">
      <c r="B281" s="395" t="s">
        <v>531</v>
      </c>
      <c r="C281" s="394" t="s">
        <v>75</v>
      </c>
      <c r="D281" s="397" t="s">
        <v>41</v>
      </c>
      <c r="E281" s="397">
        <v>9</v>
      </c>
      <c r="F281" s="397" t="s">
        <v>161</v>
      </c>
      <c r="G281" s="348">
        <v>1015</v>
      </c>
      <c r="H281" s="384">
        <v>756</v>
      </c>
      <c r="I281" s="384">
        <v>143.63999999999999</v>
      </c>
      <c r="J281" s="441">
        <v>3</v>
      </c>
      <c r="K281" s="607">
        <f>ROUND(H281*(1+'29_01_H_2020'!$F$10),2)</f>
        <v>831.6</v>
      </c>
      <c r="L281" s="608">
        <f t="shared" si="212"/>
        <v>831.6</v>
      </c>
      <c r="M281" s="608">
        <f t="shared" si="213"/>
        <v>75.600000000000023</v>
      </c>
      <c r="N281" s="608">
        <f t="shared" si="214"/>
        <v>0</v>
      </c>
      <c r="O281" s="608">
        <f t="shared" si="215"/>
        <v>14.36</v>
      </c>
      <c r="P281" s="608">
        <f t="shared" si="216"/>
        <v>0</v>
      </c>
      <c r="Q281" s="609">
        <f t="shared" si="195"/>
        <v>89.960000000000022</v>
      </c>
      <c r="R281" s="609">
        <f>Q281*J281</f>
        <v>269.88000000000005</v>
      </c>
      <c r="S281" s="609">
        <f t="shared" si="197"/>
        <v>3238.5600000000004</v>
      </c>
      <c r="T281" s="609">
        <f t="shared" si="198"/>
        <v>780.17</v>
      </c>
      <c r="U281" s="610">
        <f t="shared" si="217"/>
        <v>4018.7300000000005</v>
      </c>
      <c r="V281" s="611"/>
      <c r="W281" s="611"/>
      <c r="X281" s="611"/>
      <c r="Y281" s="616"/>
      <c r="Z281" s="805"/>
      <c r="AA281" s="806"/>
      <c r="AB281" s="806"/>
      <c r="AC281" s="581"/>
      <c r="AD281" s="581"/>
      <c r="AE281" s="824"/>
      <c r="AF281" s="824"/>
      <c r="AG281" s="824"/>
      <c r="AH281" s="824"/>
      <c r="AI281" s="824"/>
      <c r="AJ281" s="824"/>
      <c r="AK281" s="824"/>
      <c r="AL281" s="824"/>
      <c r="AM281" s="824"/>
      <c r="AN281" s="824"/>
      <c r="AO281" s="616"/>
      <c r="AP281" s="581"/>
      <c r="AQ281" s="581"/>
      <c r="AR281" s="824"/>
      <c r="AS281" s="824"/>
      <c r="AT281" s="824"/>
      <c r="AU281" s="824"/>
      <c r="AV281" s="824"/>
      <c r="AW281" s="824"/>
      <c r="AX281" s="824"/>
      <c r="AY281" s="824"/>
      <c r="AZ281" s="824"/>
      <c r="BA281" s="824"/>
      <c r="BB281" s="616"/>
      <c r="BC281" s="581"/>
      <c r="BD281" s="581"/>
    </row>
    <row r="282" spans="2:56" x14ac:dyDescent="0.25">
      <c r="B282" s="395" t="s">
        <v>531</v>
      </c>
      <c r="C282" s="394" t="s">
        <v>75</v>
      </c>
      <c r="D282" s="397" t="s">
        <v>41</v>
      </c>
      <c r="E282" s="397">
        <v>9</v>
      </c>
      <c r="F282" s="397" t="s">
        <v>160</v>
      </c>
      <c r="G282" s="348">
        <v>835</v>
      </c>
      <c r="H282" s="384">
        <v>616</v>
      </c>
      <c r="I282" s="384">
        <v>117.04</v>
      </c>
      <c r="J282" s="441">
        <v>0.75</v>
      </c>
      <c r="K282" s="607">
        <f>ROUND(H282*(1+'29_01_H_2020'!$F$10),2)</f>
        <v>677.6</v>
      </c>
      <c r="L282" s="608">
        <f t="shared" si="212"/>
        <v>677.6</v>
      </c>
      <c r="M282" s="608">
        <f t="shared" si="213"/>
        <v>61.600000000000023</v>
      </c>
      <c r="N282" s="608">
        <f t="shared" si="214"/>
        <v>0</v>
      </c>
      <c r="O282" s="608">
        <f t="shared" si="215"/>
        <v>11.7</v>
      </c>
      <c r="P282" s="608">
        <f t="shared" si="216"/>
        <v>0</v>
      </c>
      <c r="Q282" s="609">
        <f t="shared" si="195"/>
        <v>73.300000000000026</v>
      </c>
      <c r="R282" s="609">
        <f>Q282*J282</f>
        <v>54.975000000000023</v>
      </c>
      <c r="S282" s="609">
        <f t="shared" si="197"/>
        <v>659.70000000000027</v>
      </c>
      <c r="T282" s="609">
        <f t="shared" si="198"/>
        <v>158.91999999999999</v>
      </c>
      <c r="U282" s="610">
        <f t="shared" si="217"/>
        <v>818.62000000000023</v>
      </c>
      <c r="V282" s="611"/>
      <c r="W282" s="611"/>
      <c r="X282" s="611"/>
      <c r="Y282" s="616"/>
      <c r="Z282" s="805"/>
      <c r="AA282" s="806"/>
      <c r="AB282" s="806"/>
      <c r="AC282" s="581"/>
      <c r="AD282" s="581"/>
      <c r="AE282" s="824"/>
      <c r="AF282" s="824"/>
      <c r="AG282" s="824"/>
      <c r="AH282" s="824"/>
      <c r="AI282" s="824"/>
      <c r="AJ282" s="824"/>
      <c r="AK282" s="824"/>
      <c r="AL282" s="824"/>
      <c r="AM282" s="824"/>
      <c r="AN282" s="824"/>
      <c r="AO282" s="616"/>
      <c r="AP282" s="581"/>
      <c r="AQ282" s="581"/>
      <c r="AR282" s="824"/>
      <c r="AS282" s="824"/>
      <c r="AT282" s="824"/>
      <c r="AU282" s="824"/>
      <c r="AV282" s="824"/>
      <c r="AW282" s="824"/>
      <c r="AX282" s="824"/>
      <c r="AY282" s="824"/>
      <c r="AZ282" s="824"/>
      <c r="BA282" s="824"/>
      <c r="BB282" s="616"/>
      <c r="BC282" s="581"/>
      <c r="BD282" s="581"/>
    </row>
    <row r="283" spans="2:56" x14ac:dyDescent="0.25">
      <c r="B283" s="963" t="s">
        <v>46</v>
      </c>
      <c r="C283" s="964"/>
      <c r="D283" s="964"/>
      <c r="E283" s="964"/>
      <c r="F283" s="964"/>
      <c r="G283" s="964"/>
      <c r="H283" s="964"/>
      <c r="I283" s="964"/>
      <c r="J283" s="964"/>
      <c r="K283" s="625"/>
      <c r="L283" s="626"/>
      <c r="M283" s="626"/>
      <c r="N283" s="626"/>
      <c r="O283" s="626"/>
      <c r="P283" s="626"/>
      <c r="Q283" s="603"/>
      <c r="R283" s="603"/>
      <c r="S283" s="603"/>
      <c r="T283" s="603"/>
      <c r="U283" s="604"/>
      <c r="V283" s="581"/>
      <c r="W283" s="581"/>
      <c r="X283" s="581"/>
      <c r="Y283" s="581"/>
      <c r="Z283" s="581"/>
      <c r="AA283" s="581"/>
      <c r="AB283" s="581"/>
      <c r="AC283" s="581"/>
      <c r="AD283" s="581"/>
      <c r="AE283" s="581"/>
      <c r="AF283" s="581"/>
      <c r="AG283" s="581"/>
      <c r="AH283" s="581"/>
      <c r="AI283" s="581"/>
      <c r="AJ283" s="581"/>
      <c r="AK283" s="581"/>
      <c r="AL283" s="581"/>
      <c r="AM283" s="581"/>
      <c r="AN283" s="581"/>
      <c r="AO283" s="581"/>
      <c r="AP283" s="581"/>
      <c r="AQ283" s="581"/>
      <c r="AR283" s="581"/>
      <c r="AS283" s="581"/>
      <c r="AT283" s="581"/>
      <c r="AU283" s="581"/>
      <c r="AV283" s="581"/>
      <c r="AW283" s="581"/>
      <c r="AX283" s="581"/>
      <c r="AY283" s="581"/>
      <c r="AZ283" s="581"/>
      <c r="BA283" s="581"/>
      <c r="BB283" s="581"/>
      <c r="BC283" s="581"/>
      <c r="BD283" s="581"/>
    </row>
    <row r="284" spans="2:56" x14ac:dyDescent="0.25">
      <c r="B284" s="396" t="s">
        <v>532</v>
      </c>
      <c r="C284" s="397" t="s">
        <v>75</v>
      </c>
      <c r="D284" s="397" t="s">
        <v>34</v>
      </c>
      <c r="E284" s="397">
        <v>7</v>
      </c>
      <c r="F284" s="397" t="s">
        <v>69</v>
      </c>
      <c r="G284" s="348">
        <v>996</v>
      </c>
      <c r="H284" s="384">
        <v>819</v>
      </c>
      <c r="I284" s="384">
        <v>204.75</v>
      </c>
      <c r="J284" s="441">
        <v>11.2</v>
      </c>
      <c r="K284" s="607">
        <f>ROUND(H284*(1+'29_01_H_2020'!$F$14),2)</f>
        <v>900.9</v>
      </c>
      <c r="L284" s="608">
        <f t="shared" ref="L284" si="218">IF(K284&lt;=G284,K284,G284)</f>
        <v>900.9</v>
      </c>
      <c r="M284" s="608">
        <f t="shared" ref="M284" si="219">L284-H284</f>
        <v>81.899999999999977</v>
      </c>
      <c r="N284" s="608">
        <f t="shared" ref="N284" si="220">K284-L284</f>
        <v>0</v>
      </c>
      <c r="O284" s="608">
        <f t="shared" ref="O284" si="221">ROUND(I284/H284*L284-I284,2)</f>
        <v>20.48</v>
      </c>
      <c r="P284" s="608">
        <f>ROUND(I284/H284*K284-I284-O284,2)+0.01</f>
        <v>0</v>
      </c>
      <c r="Q284" s="609">
        <f t="shared" si="195"/>
        <v>102.37999999999998</v>
      </c>
      <c r="R284" s="609">
        <f t="shared" ref="R284:R293" si="222">Q284*J284</f>
        <v>1146.6559999999997</v>
      </c>
      <c r="S284" s="609">
        <f t="shared" si="197"/>
        <v>13759.871999999996</v>
      </c>
      <c r="T284" s="609">
        <f t="shared" si="198"/>
        <v>3314.75</v>
      </c>
      <c r="U284" s="610">
        <f t="shared" ref="U284" si="223">SUM(S284:T284)</f>
        <v>17074.621999999996</v>
      </c>
      <c r="V284" s="611"/>
      <c r="W284" s="611"/>
      <c r="X284" s="611"/>
      <c r="Y284" s="616"/>
      <c r="Z284" s="805"/>
      <c r="AA284" s="806"/>
      <c r="AB284" s="806"/>
      <c r="AC284" s="581"/>
      <c r="AD284" s="581"/>
      <c r="AE284" s="824"/>
      <c r="AF284" s="824"/>
      <c r="AG284" s="824"/>
      <c r="AH284" s="824"/>
      <c r="AI284" s="824"/>
      <c r="AJ284" s="824"/>
      <c r="AK284" s="824"/>
      <c r="AL284" s="824"/>
      <c r="AM284" s="824"/>
      <c r="AN284" s="824"/>
      <c r="AO284" s="616"/>
      <c r="AP284" s="581"/>
      <c r="AQ284" s="581"/>
      <c r="AR284" s="824"/>
      <c r="AS284" s="824"/>
      <c r="AT284" s="824"/>
      <c r="AU284" s="824"/>
      <c r="AV284" s="824"/>
      <c r="AW284" s="824"/>
      <c r="AX284" s="824"/>
      <c r="AY284" s="824"/>
      <c r="AZ284" s="824"/>
      <c r="BA284" s="824"/>
      <c r="BB284" s="616"/>
      <c r="BC284" s="581"/>
      <c r="BD284" s="581"/>
    </row>
    <row r="285" spans="2:56" x14ac:dyDescent="0.25">
      <c r="B285" s="396" t="s">
        <v>532</v>
      </c>
      <c r="C285" s="397" t="s">
        <v>75</v>
      </c>
      <c r="D285" s="397" t="s">
        <v>34</v>
      </c>
      <c r="E285" s="397">
        <v>7</v>
      </c>
      <c r="F285" s="397" t="s">
        <v>69</v>
      </c>
      <c r="G285" s="348">
        <v>996</v>
      </c>
      <c r="H285" s="384">
        <v>743</v>
      </c>
      <c r="I285" s="384">
        <v>185.75</v>
      </c>
      <c r="J285" s="441">
        <v>2</v>
      </c>
      <c r="K285" s="607">
        <f>ROUND(H285*(1+'29_01_H_2020'!$F$14),2)</f>
        <v>817.3</v>
      </c>
      <c r="L285" s="608">
        <f t="shared" ref="L285:L293" si="224">IF(K285&lt;=G285,K285,G285)</f>
        <v>817.3</v>
      </c>
      <c r="M285" s="608">
        <f t="shared" ref="M285:M293" si="225">L285-H285</f>
        <v>74.299999999999955</v>
      </c>
      <c r="N285" s="608">
        <f t="shared" ref="N285:N293" si="226">K285-L285</f>
        <v>0</v>
      </c>
      <c r="O285" s="608">
        <f t="shared" ref="O285:O293" si="227">ROUND(I285/H285*L285-I285,2)</f>
        <v>18.579999999999998</v>
      </c>
      <c r="P285" s="608">
        <f>ROUND(I285/H285*K285-I285-O285,2)+0.01</f>
        <v>0</v>
      </c>
      <c r="Q285" s="609">
        <f t="shared" si="195"/>
        <v>92.879999999999953</v>
      </c>
      <c r="R285" s="609">
        <f t="shared" si="222"/>
        <v>185.75999999999991</v>
      </c>
      <c r="S285" s="609">
        <f t="shared" si="197"/>
        <v>2229.119999999999</v>
      </c>
      <c r="T285" s="609">
        <f t="shared" si="198"/>
        <v>537</v>
      </c>
      <c r="U285" s="610">
        <f t="shared" ref="U285:U293" si="228">SUM(S285:T285)</f>
        <v>2766.119999999999</v>
      </c>
      <c r="V285" s="611"/>
      <c r="W285" s="611"/>
      <c r="X285" s="611"/>
      <c r="Y285" s="616"/>
      <c r="Z285" s="805"/>
      <c r="AA285" s="806"/>
      <c r="AB285" s="806"/>
      <c r="AC285" s="581"/>
      <c r="AD285" s="581"/>
      <c r="AE285" s="824"/>
      <c r="AF285" s="824"/>
      <c r="AG285" s="824"/>
      <c r="AH285" s="824"/>
      <c r="AI285" s="824"/>
      <c r="AJ285" s="824"/>
      <c r="AK285" s="824"/>
      <c r="AL285" s="824"/>
      <c r="AM285" s="824"/>
      <c r="AN285" s="824"/>
      <c r="AO285" s="616"/>
      <c r="AP285" s="581"/>
      <c r="AQ285" s="581"/>
      <c r="AR285" s="824"/>
      <c r="AS285" s="824"/>
      <c r="AT285" s="824"/>
      <c r="AU285" s="824"/>
      <c r="AV285" s="824"/>
      <c r="AW285" s="824"/>
      <c r="AX285" s="824"/>
      <c r="AY285" s="824"/>
      <c r="AZ285" s="824"/>
      <c r="BA285" s="824"/>
      <c r="BB285" s="616"/>
      <c r="BC285" s="581"/>
      <c r="BD285" s="581"/>
    </row>
    <row r="286" spans="2:56" x14ac:dyDescent="0.25">
      <c r="B286" s="396" t="s">
        <v>532</v>
      </c>
      <c r="C286" s="397" t="s">
        <v>75</v>
      </c>
      <c r="D286" s="397" t="s">
        <v>34</v>
      </c>
      <c r="E286" s="397">
        <v>7</v>
      </c>
      <c r="F286" s="397" t="s">
        <v>160</v>
      </c>
      <c r="G286" s="348">
        <v>996</v>
      </c>
      <c r="H286" s="384">
        <v>610</v>
      </c>
      <c r="I286" s="384">
        <v>152.5</v>
      </c>
      <c r="J286" s="441">
        <v>0.5</v>
      </c>
      <c r="K286" s="607">
        <f>ROUND(H286*(1+'29_01_H_2020'!$F$14),2)</f>
        <v>671</v>
      </c>
      <c r="L286" s="608">
        <f t="shared" si="224"/>
        <v>671</v>
      </c>
      <c r="M286" s="608">
        <f t="shared" si="225"/>
        <v>61</v>
      </c>
      <c r="N286" s="608">
        <f t="shared" si="226"/>
        <v>0</v>
      </c>
      <c r="O286" s="608">
        <f t="shared" si="227"/>
        <v>15.25</v>
      </c>
      <c r="P286" s="608">
        <f t="shared" ref="P286:P293" si="229">ROUND(I286/H286*K286-I286-O286,2)</f>
        <v>0</v>
      </c>
      <c r="Q286" s="609">
        <f t="shared" si="195"/>
        <v>76.25</v>
      </c>
      <c r="R286" s="609">
        <f t="shared" si="222"/>
        <v>38.125</v>
      </c>
      <c r="S286" s="609">
        <f t="shared" si="197"/>
        <v>457.5</v>
      </c>
      <c r="T286" s="609">
        <f t="shared" si="198"/>
        <v>110.21</v>
      </c>
      <c r="U286" s="610">
        <f t="shared" si="228"/>
        <v>567.71</v>
      </c>
      <c r="V286" s="611"/>
      <c r="W286" s="611"/>
      <c r="X286" s="611"/>
      <c r="Y286" s="616"/>
      <c r="Z286" s="805"/>
      <c r="AA286" s="806"/>
      <c r="AB286" s="806"/>
      <c r="AC286" s="581"/>
      <c r="AD286" s="581"/>
      <c r="AE286" s="824"/>
      <c r="AF286" s="824"/>
      <c r="AG286" s="824"/>
      <c r="AH286" s="824"/>
      <c r="AI286" s="824"/>
      <c r="AJ286" s="824"/>
      <c r="AK286" s="824"/>
      <c r="AL286" s="824"/>
      <c r="AM286" s="824"/>
      <c r="AN286" s="824"/>
      <c r="AO286" s="616"/>
      <c r="AP286" s="581"/>
      <c r="AQ286" s="581"/>
      <c r="AR286" s="824"/>
      <c r="AS286" s="824"/>
      <c r="AT286" s="824"/>
      <c r="AU286" s="824"/>
      <c r="AV286" s="824"/>
      <c r="AW286" s="824"/>
      <c r="AX286" s="824"/>
      <c r="AY286" s="824"/>
      <c r="AZ286" s="824"/>
      <c r="BA286" s="824"/>
      <c r="BB286" s="616"/>
      <c r="BC286" s="581"/>
      <c r="BD286" s="581"/>
    </row>
    <row r="287" spans="2:56" x14ac:dyDescent="0.25">
      <c r="B287" s="396" t="s">
        <v>532</v>
      </c>
      <c r="C287" s="397" t="s">
        <v>75</v>
      </c>
      <c r="D287" s="397" t="s">
        <v>34</v>
      </c>
      <c r="E287" s="397">
        <v>7</v>
      </c>
      <c r="F287" s="397" t="s">
        <v>69</v>
      </c>
      <c r="G287" s="348">
        <v>996</v>
      </c>
      <c r="H287" s="384">
        <v>743</v>
      </c>
      <c r="I287" s="384">
        <v>185.75</v>
      </c>
      <c r="J287" s="441">
        <v>4.25</v>
      </c>
      <c r="K287" s="607">
        <f>ROUND(H287*(1+'29_01_H_2020'!$F$14),2)</f>
        <v>817.3</v>
      </c>
      <c r="L287" s="608">
        <f t="shared" si="224"/>
        <v>817.3</v>
      </c>
      <c r="M287" s="608">
        <f t="shared" si="225"/>
        <v>74.299999999999955</v>
      </c>
      <c r="N287" s="608">
        <f t="shared" si="226"/>
        <v>0</v>
      </c>
      <c r="O287" s="608">
        <f t="shared" si="227"/>
        <v>18.579999999999998</v>
      </c>
      <c r="P287" s="608">
        <f>ROUND(I287/H287*K287-I287-O287,2)+0.01</f>
        <v>0</v>
      </c>
      <c r="Q287" s="609">
        <f t="shared" si="195"/>
        <v>92.879999999999953</v>
      </c>
      <c r="R287" s="609">
        <f t="shared" si="222"/>
        <v>394.73999999999978</v>
      </c>
      <c r="S287" s="609">
        <f t="shared" si="197"/>
        <v>4736.8799999999974</v>
      </c>
      <c r="T287" s="609">
        <f t="shared" si="198"/>
        <v>1141.1099999999999</v>
      </c>
      <c r="U287" s="610">
        <f t="shared" si="228"/>
        <v>5877.9899999999971</v>
      </c>
      <c r="V287" s="611"/>
      <c r="W287" s="611"/>
      <c r="X287" s="611"/>
      <c r="Y287" s="616"/>
      <c r="Z287" s="805"/>
      <c r="AA287" s="806"/>
      <c r="AB287" s="806"/>
      <c r="AC287" s="581"/>
      <c r="AD287" s="581"/>
      <c r="AE287" s="824"/>
      <c r="AF287" s="824"/>
      <c r="AG287" s="824"/>
      <c r="AH287" s="824"/>
      <c r="AI287" s="824"/>
      <c r="AJ287" s="824"/>
      <c r="AK287" s="824"/>
      <c r="AL287" s="824"/>
      <c r="AM287" s="824"/>
      <c r="AN287" s="824"/>
      <c r="AO287" s="616"/>
      <c r="AP287" s="581"/>
      <c r="AQ287" s="581"/>
      <c r="AR287" s="824"/>
      <c r="AS287" s="824"/>
      <c r="AT287" s="824"/>
      <c r="AU287" s="824"/>
      <c r="AV287" s="824"/>
      <c r="AW287" s="824"/>
      <c r="AX287" s="824"/>
      <c r="AY287" s="824"/>
      <c r="AZ287" s="824"/>
      <c r="BA287" s="824"/>
      <c r="BB287" s="616"/>
      <c r="BC287" s="581"/>
      <c r="BD287" s="581"/>
    </row>
    <row r="288" spans="2:56" x14ac:dyDescent="0.25">
      <c r="B288" s="396" t="s">
        <v>532</v>
      </c>
      <c r="C288" s="397" t="s">
        <v>75</v>
      </c>
      <c r="D288" s="397" t="s">
        <v>34</v>
      </c>
      <c r="E288" s="397">
        <v>7</v>
      </c>
      <c r="F288" s="397" t="s">
        <v>161</v>
      </c>
      <c r="G288" s="348">
        <v>835</v>
      </c>
      <c r="H288" s="384">
        <v>572</v>
      </c>
      <c r="I288" s="384">
        <v>108.68</v>
      </c>
      <c r="J288" s="441">
        <v>0.75</v>
      </c>
      <c r="K288" s="607">
        <f>ROUND(H288*(1+'29_01_H_2020'!$F$14),2)</f>
        <v>629.20000000000005</v>
      </c>
      <c r="L288" s="608">
        <f t="shared" si="224"/>
        <v>629.20000000000005</v>
      </c>
      <c r="M288" s="608">
        <f t="shared" si="225"/>
        <v>57.200000000000045</v>
      </c>
      <c r="N288" s="608">
        <f t="shared" si="226"/>
        <v>0</v>
      </c>
      <c r="O288" s="608">
        <f t="shared" si="227"/>
        <v>10.87</v>
      </c>
      <c r="P288" s="608">
        <f t="shared" si="229"/>
        <v>0</v>
      </c>
      <c r="Q288" s="609">
        <f t="shared" si="195"/>
        <v>68.07000000000005</v>
      </c>
      <c r="R288" s="609">
        <f t="shared" si="222"/>
        <v>51.052500000000038</v>
      </c>
      <c r="S288" s="609">
        <f t="shared" si="197"/>
        <v>612.63000000000045</v>
      </c>
      <c r="T288" s="609">
        <f t="shared" si="198"/>
        <v>147.58000000000001</v>
      </c>
      <c r="U288" s="610">
        <f t="shared" si="228"/>
        <v>760.21000000000049</v>
      </c>
      <c r="V288" s="611"/>
      <c r="W288" s="611"/>
      <c r="X288" s="611"/>
      <c r="Y288" s="616"/>
      <c r="Z288" s="805"/>
      <c r="AA288" s="806"/>
      <c r="AB288" s="806"/>
      <c r="AC288" s="581"/>
      <c r="AD288" s="581"/>
      <c r="AE288" s="824"/>
      <c r="AF288" s="824"/>
      <c r="AG288" s="824"/>
      <c r="AH288" s="824"/>
      <c r="AI288" s="824"/>
      <c r="AJ288" s="824"/>
      <c r="AK288" s="824"/>
      <c r="AL288" s="824"/>
      <c r="AM288" s="824"/>
      <c r="AN288" s="824"/>
      <c r="AO288" s="616"/>
      <c r="AP288" s="581"/>
      <c r="AQ288" s="581"/>
      <c r="AR288" s="824"/>
      <c r="AS288" s="824"/>
      <c r="AT288" s="824"/>
      <c r="AU288" s="824"/>
      <c r="AV288" s="824"/>
      <c r="AW288" s="824"/>
      <c r="AX288" s="824"/>
      <c r="AY288" s="824"/>
      <c r="AZ288" s="824"/>
      <c r="BA288" s="824"/>
      <c r="BB288" s="616"/>
      <c r="BC288" s="581"/>
      <c r="BD288" s="581"/>
    </row>
    <row r="289" spans="2:56" x14ac:dyDescent="0.25">
      <c r="B289" s="396" t="s">
        <v>532</v>
      </c>
      <c r="C289" s="397" t="s">
        <v>75</v>
      </c>
      <c r="D289" s="397" t="s">
        <v>34</v>
      </c>
      <c r="E289" s="397">
        <v>7</v>
      </c>
      <c r="F289" s="397" t="s">
        <v>161</v>
      </c>
      <c r="G289" s="348">
        <v>835</v>
      </c>
      <c r="H289" s="384">
        <v>610</v>
      </c>
      <c r="I289" s="384">
        <v>115.9</v>
      </c>
      <c r="J289" s="441">
        <v>1</v>
      </c>
      <c r="K289" s="607">
        <f>ROUND(H289*(1+'29_01_H_2020'!$F$14),2)</f>
        <v>671</v>
      </c>
      <c r="L289" s="608">
        <f t="shared" si="224"/>
        <v>671</v>
      </c>
      <c r="M289" s="608">
        <f t="shared" si="225"/>
        <v>61</v>
      </c>
      <c r="N289" s="608">
        <f t="shared" si="226"/>
        <v>0</v>
      </c>
      <c r="O289" s="608">
        <f t="shared" si="227"/>
        <v>11.59</v>
      </c>
      <c r="P289" s="608">
        <f t="shared" si="229"/>
        <v>0</v>
      </c>
      <c r="Q289" s="609">
        <f t="shared" si="195"/>
        <v>72.59</v>
      </c>
      <c r="R289" s="609">
        <f t="shared" si="222"/>
        <v>72.59</v>
      </c>
      <c r="S289" s="609">
        <f t="shared" si="197"/>
        <v>871.08</v>
      </c>
      <c r="T289" s="609">
        <f t="shared" si="198"/>
        <v>209.84</v>
      </c>
      <c r="U289" s="610">
        <f t="shared" si="228"/>
        <v>1080.92</v>
      </c>
      <c r="V289" s="611"/>
      <c r="W289" s="611"/>
      <c r="X289" s="611"/>
      <c r="Y289" s="616"/>
      <c r="Z289" s="805"/>
      <c r="AA289" s="806"/>
      <c r="AB289" s="806"/>
      <c r="AC289" s="581"/>
      <c r="AD289" s="581"/>
      <c r="AE289" s="824"/>
      <c r="AF289" s="824"/>
      <c r="AG289" s="824"/>
      <c r="AH289" s="824"/>
      <c r="AI289" s="824"/>
      <c r="AJ289" s="824"/>
      <c r="AK289" s="824"/>
      <c r="AL289" s="824"/>
      <c r="AM289" s="824"/>
      <c r="AN289" s="824"/>
      <c r="AO289" s="616"/>
      <c r="AP289" s="581"/>
      <c r="AQ289" s="581"/>
      <c r="AR289" s="824"/>
      <c r="AS289" s="824"/>
      <c r="AT289" s="824"/>
      <c r="AU289" s="824"/>
      <c r="AV289" s="824"/>
      <c r="AW289" s="824"/>
      <c r="AX289" s="824"/>
      <c r="AY289" s="824"/>
      <c r="AZ289" s="824"/>
      <c r="BA289" s="824"/>
      <c r="BB289" s="616"/>
      <c r="BC289" s="581"/>
      <c r="BD289" s="581"/>
    </row>
    <row r="290" spans="2:56" x14ac:dyDescent="0.25">
      <c r="B290" s="396" t="s">
        <v>532</v>
      </c>
      <c r="C290" s="397" t="s">
        <v>75</v>
      </c>
      <c r="D290" s="397" t="s">
        <v>34</v>
      </c>
      <c r="E290" s="397">
        <v>7</v>
      </c>
      <c r="F290" s="397" t="s">
        <v>69</v>
      </c>
      <c r="G290" s="348">
        <v>996</v>
      </c>
      <c r="H290" s="384">
        <v>743</v>
      </c>
      <c r="I290" s="384">
        <v>141.16999999999999</v>
      </c>
      <c r="J290" s="441">
        <v>0.5</v>
      </c>
      <c r="K290" s="607">
        <f>ROUND(H290*(1+'29_01_H_2020'!$F$14),2)</f>
        <v>817.3</v>
      </c>
      <c r="L290" s="608">
        <f t="shared" si="224"/>
        <v>817.3</v>
      </c>
      <c r="M290" s="608">
        <f t="shared" si="225"/>
        <v>74.299999999999955</v>
      </c>
      <c r="N290" s="608">
        <f t="shared" si="226"/>
        <v>0</v>
      </c>
      <c r="O290" s="608">
        <f t="shared" si="227"/>
        <v>14.12</v>
      </c>
      <c r="P290" s="608">
        <f t="shared" si="229"/>
        <v>0</v>
      </c>
      <c r="Q290" s="609">
        <f t="shared" si="195"/>
        <v>88.419999999999959</v>
      </c>
      <c r="R290" s="609">
        <f t="shared" si="222"/>
        <v>44.20999999999998</v>
      </c>
      <c r="S290" s="609">
        <f t="shared" si="197"/>
        <v>530.51999999999975</v>
      </c>
      <c r="T290" s="609">
        <f t="shared" si="198"/>
        <v>127.8</v>
      </c>
      <c r="U290" s="610">
        <f t="shared" si="228"/>
        <v>658.31999999999971</v>
      </c>
      <c r="V290" s="611"/>
      <c r="W290" s="611"/>
      <c r="X290" s="611"/>
      <c r="Y290" s="616"/>
      <c r="Z290" s="805"/>
      <c r="AA290" s="806"/>
      <c r="AB290" s="806"/>
      <c r="AC290" s="581"/>
      <c r="AD290" s="581"/>
      <c r="AE290" s="824"/>
      <c r="AF290" s="824"/>
      <c r="AG290" s="824"/>
      <c r="AH290" s="824"/>
      <c r="AI290" s="824"/>
      <c r="AJ290" s="824"/>
      <c r="AK290" s="824"/>
      <c r="AL290" s="824"/>
      <c r="AM290" s="824"/>
      <c r="AN290" s="824"/>
      <c r="AO290" s="616"/>
      <c r="AP290" s="581"/>
      <c r="AQ290" s="581"/>
      <c r="AR290" s="824"/>
      <c r="AS290" s="824"/>
      <c r="AT290" s="824"/>
      <c r="AU290" s="824"/>
      <c r="AV290" s="824"/>
      <c r="AW290" s="824"/>
      <c r="AX290" s="824"/>
      <c r="AY290" s="824"/>
      <c r="AZ290" s="824"/>
      <c r="BA290" s="824"/>
      <c r="BB290" s="616"/>
      <c r="BC290" s="581"/>
      <c r="BD290" s="581"/>
    </row>
    <row r="291" spans="2:56" x14ac:dyDescent="0.25">
      <c r="B291" s="396" t="s">
        <v>47</v>
      </c>
      <c r="C291" s="397" t="s">
        <v>158</v>
      </c>
      <c r="D291" s="397" t="s">
        <v>48</v>
      </c>
      <c r="E291" s="397">
        <v>5</v>
      </c>
      <c r="F291" s="397">
        <v>3</v>
      </c>
      <c r="G291" s="348">
        <v>802</v>
      </c>
      <c r="H291" s="384">
        <v>742</v>
      </c>
      <c r="I291" s="384">
        <v>185.5</v>
      </c>
      <c r="J291" s="441">
        <v>4.25</v>
      </c>
      <c r="K291" s="607">
        <f>ROUND(H291*(1+'29_01_H_2020'!$F$14),2)</f>
        <v>816.2</v>
      </c>
      <c r="L291" s="608">
        <f t="shared" si="224"/>
        <v>802</v>
      </c>
      <c r="M291" s="608">
        <f t="shared" si="225"/>
        <v>60</v>
      </c>
      <c r="N291" s="608">
        <f t="shared" si="226"/>
        <v>14.200000000000045</v>
      </c>
      <c r="O291" s="608">
        <f t="shared" si="227"/>
        <v>15</v>
      </c>
      <c r="P291" s="608">
        <f t="shared" si="229"/>
        <v>3.55</v>
      </c>
      <c r="Q291" s="609">
        <f t="shared" si="195"/>
        <v>92.750000000000043</v>
      </c>
      <c r="R291" s="609">
        <f t="shared" si="222"/>
        <v>394.18750000000017</v>
      </c>
      <c r="S291" s="609">
        <f t="shared" si="197"/>
        <v>4730.2500000000018</v>
      </c>
      <c r="T291" s="609">
        <f t="shared" si="198"/>
        <v>1139.52</v>
      </c>
      <c r="U291" s="610">
        <f t="shared" si="228"/>
        <v>5869.7700000000023</v>
      </c>
      <c r="V291" s="611"/>
      <c r="W291" s="611"/>
      <c r="X291" s="611"/>
      <c r="Y291" s="616"/>
      <c r="Z291" s="805"/>
      <c r="AA291" s="806"/>
      <c r="AB291" s="806"/>
      <c r="AC291" s="581"/>
      <c r="AD291" s="581"/>
      <c r="AE291" s="824"/>
      <c r="AF291" s="824"/>
      <c r="AG291" s="824"/>
      <c r="AH291" s="824"/>
      <c r="AI291" s="824"/>
      <c r="AJ291" s="824"/>
      <c r="AK291" s="824"/>
      <c r="AL291" s="824"/>
      <c r="AM291" s="824"/>
      <c r="AN291" s="824"/>
      <c r="AO291" s="616"/>
      <c r="AP291" s="581"/>
      <c r="AQ291" s="581"/>
      <c r="AR291" s="824"/>
      <c r="AS291" s="824"/>
      <c r="AT291" s="824"/>
      <c r="AU291" s="824"/>
      <c r="AV291" s="824"/>
      <c r="AW291" s="824"/>
      <c r="AX291" s="824"/>
      <c r="AY291" s="824"/>
      <c r="AZ291" s="824"/>
      <c r="BA291" s="824"/>
      <c r="BB291" s="616"/>
      <c r="BC291" s="581"/>
      <c r="BD291" s="581"/>
    </row>
    <row r="292" spans="2:56" x14ac:dyDescent="0.25">
      <c r="B292" s="396" t="s">
        <v>533</v>
      </c>
      <c r="C292" s="397" t="s">
        <v>534</v>
      </c>
      <c r="D292" s="397" t="s">
        <v>34</v>
      </c>
      <c r="E292" s="397">
        <v>4</v>
      </c>
      <c r="F292" s="397">
        <v>3</v>
      </c>
      <c r="G292" s="348">
        <v>705</v>
      </c>
      <c r="H292" s="384">
        <v>544</v>
      </c>
      <c r="I292" s="384">
        <v>103.36</v>
      </c>
      <c r="J292" s="441">
        <v>4</v>
      </c>
      <c r="K292" s="607">
        <f>ROUND(H292*(1+'29_01_H_2020'!$F$14),2)</f>
        <v>598.4</v>
      </c>
      <c r="L292" s="608">
        <f t="shared" si="224"/>
        <v>598.4</v>
      </c>
      <c r="M292" s="608">
        <f t="shared" si="225"/>
        <v>54.399999999999977</v>
      </c>
      <c r="N292" s="608">
        <f t="shared" si="226"/>
        <v>0</v>
      </c>
      <c r="O292" s="608">
        <f t="shared" si="227"/>
        <v>10.34</v>
      </c>
      <c r="P292" s="608">
        <f t="shared" si="229"/>
        <v>0</v>
      </c>
      <c r="Q292" s="609">
        <f t="shared" si="195"/>
        <v>64.739999999999981</v>
      </c>
      <c r="R292" s="609">
        <f t="shared" si="222"/>
        <v>258.95999999999992</v>
      </c>
      <c r="S292" s="609">
        <f t="shared" si="197"/>
        <v>3107.5199999999991</v>
      </c>
      <c r="T292" s="609">
        <f t="shared" si="198"/>
        <v>748.6</v>
      </c>
      <c r="U292" s="610">
        <f t="shared" si="228"/>
        <v>3856.119999999999</v>
      </c>
      <c r="V292" s="611"/>
      <c r="W292" s="611"/>
      <c r="X292" s="611"/>
      <c r="Y292" s="616"/>
      <c r="Z292" s="805"/>
      <c r="AA292" s="806"/>
      <c r="AB292" s="806"/>
      <c r="AC292" s="581"/>
      <c r="AD292" s="581"/>
      <c r="AE292" s="824"/>
      <c r="AF292" s="824"/>
      <c r="AG292" s="824"/>
      <c r="AH292" s="824"/>
      <c r="AI292" s="824"/>
      <c r="AJ292" s="824"/>
      <c r="AK292" s="824"/>
      <c r="AL292" s="824"/>
      <c r="AM292" s="824"/>
      <c r="AN292" s="824"/>
      <c r="AO292" s="616"/>
      <c r="AP292" s="581"/>
      <c r="AQ292" s="581"/>
      <c r="AR292" s="824"/>
      <c r="AS292" s="824"/>
      <c r="AT292" s="824"/>
      <c r="AU292" s="824"/>
      <c r="AV292" s="824"/>
      <c r="AW292" s="824"/>
      <c r="AX292" s="824"/>
      <c r="AY292" s="824"/>
      <c r="AZ292" s="824"/>
      <c r="BA292" s="824"/>
      <c r="BB292" s="616"/>
      <c r="BC292" s="581"/>
      <c r="BD292" s="581"/>
    </row>
    <row r="293" spans="2:56" ht="15.75" thickBot="1" x14ac:dyDescent="0.3">
      <c r="B293" s="234" t="s">
        <v>535</v>
      </c>
      <c r="C293" s="235" t="s">
        <v>536</v>
      </c>
      <c r="D293" s="235" t="s">
        <v>36</v>
      </c>
      <c r="E293" s="235" t="s">
        <v>300</v>
      </c>
      <c r="F293" s="235" t="s">
        <v>69</v>
      </c>
      <c r="G293" s="354">
        <v>899</v>
      </c>
      <c r="H293" s="330">
        <v>585</v>
      </c>
      <c r="I293" s="330">
        <v>46.8</v>
      </c>
      <c r="J293" s="442">
        <v>0.75</v>
      </c>
      <c r="K293" s="607">
        <f>ROUND(H293*(1+'29_01_H_2020'!$F$14),2)</f>
        <v>643.5</v>
      </c>
      <c r="L293" s="608">
        <f t="shared" si="224"/>
        <v>643.5</v>
      </c>
      <c r="M293" s="608">
        <f t="shared" si="225"/>
        <v>58.5</v>
      </c>
      <c r="N293" s="608">
        <f t="shared" si="226"/>
        <v>0</v>
      </c>
      <c r="O293" s="608">
        <f t="shared" si="227"/>
        <v>4.68</v>
      </c>
      <c r="P293" s="608">
        <f t="shared" si="229"/>
        <v>0</v>
      </c>
      <c r="Q293" s="609">
        <f t="shared" si="195"/>
        <v>63.18</v>
      </c>
      <c r="R293" s="609">
        <f t="shared" si="222"/>
        <v>47.384999999999998</v>
      </c>
      <c r="S293" s="609">
        <f t="shared" si="197"/>
        <v>568.62</v>
      </c>
      <c r="T293" s="609">
        <f t="shared" si="198"/>
        <v>136.97999999999999</v>
      </c>
      <c r="U293" s="610">
        <f t="shared" si="228"/>
        <v>705.6</v>
      </c>
      <c r="V293" s="611"/>
      <c r="W293" s="611"/>
      <c r="X293" s="611"/>
      <c r="Y293" s="616"/>
      <c r="Z293" s="805"/>
      <c r="AA293" s="806"/>
      <c r="AB293" s="806"/>
      <c r="AC293" s="581"/>
      <c r="AD293" s="581"/>
      <c r="AE293" s="824"/>
      <c r="AF293" s="824"/>
      <c r="AG293" s="824"/>
      <c r="AH293" s="824"/>
      <c r="AI293" s="824"/>
      <c r="AJ293" s="824"/>
      <c r="AK293" s="824"/>
      <c r="AL293" s="824"/>
      <c r="AM293" s="824"/>
      <c r="AN293" s="824"/>
      <c r="AO293" s="616"/>
      <c r="AP293" s="581"/>
      <c r="AQ293" s="581"/>
      <c r="AR293" s="824"/>
      <c r="AS293" s="824"/>
      <c r="AT293" s="824"/>
      <c r="AU293" s="824"/>
      <c r="AV293" s="824"/>
      <c r="AW293" s="824"/>
      <c r="AX293" s="824"/>
      <c r="AY293" s="824"/>
      <c r="AZ293" s="824"/>
      <c r="BA293" s="824"/>
      <c r="BB293" s="616"/>
      <c r="BC293" s="581"/>
      <c r="BD293" s="581"/>
    </row>
    <row r="294" spans="2:56" ht="15.75" thickBot="1" x14ac:dyDescent="0.3">
      <c r="B294" s="726" t="s">
        <v>55</v>
      </c>
      <c r="C294" s="727" t="s">
        <v>52</v>
      </c>
      <c r="D294" s="727"/>
      <c r="E294" s="727" t="s">
        <v>52</v>
      </c>
      <c r="F294" s="727" t="s">
        <v>52</v>
      </c>
      <c r="G294" s="727" t="s">
        <v>52</v>
      </c>
      <c r="H294" s="727" t="s">
        <v>52</v>
      </c>
      <c r="I294" s="727" t="s">
        <v>52</v>
      </c>
      <c r="J294" s="381">
        <f>SUM(J261:J276,J278:J282,J284:J293)</f>
        <v>131.44999999999999</v>
      </c>
      <c r="K294" s="666"/>
      <c r="L294" s="667"/>
      <c r="M294" s="667"/>
      <c r="N294" s="667"/>
      <c r="O294" s="667"/>
      <c r="P294" s="667"/>
      <c r="Q294" s="668"/>
      <c r="R294" s="668"/>
      <c r="S294" s="668"/>
      <c r="T294" s="668"/>
      <c r="U294" s="669"/>
      <c r="V294" s="581"/>
      <c r="W294" s="581"/>
      <c r="X294" s="581"/>
      <c r="Y294" s="581"/>
      <c r="Z294" s="581"/>
      <c r="AA294" s="581"/>
      <c r="AB294" s="581"/>
      <c r="AC294" s="581"/>
      <c r="AD294" s="581"/>
      <c r="AE294" s="581"/>
      <c r="AF294" s="581"/>
      <c r="AG294" s="581"/>
      <c r="AH294" s="581"/>
      <c r="AI294" s="581"/>
      <c r="AJ294" s="581"/>
      <c r="AK294" s="581"/>
      <c r="AL294" s="581"/>
      <c r="AM294" s="581"/>
      <c r="AN294" s="581"/>
      <c r="AO294" s="581"/>
      <c r="AP294" s="581"/>
      <c r="AQ294" s="581"/>
      <c r="AR294" s="581"/>
      <c r="AS294" s="581"/>
      <c r="AT294" s="581"/>
      <c r="AU294" s="581"/>
      <c r="AV294" s="581"/>
      <c r="AW294" s="581"/>
      <c r="AX294" s="581"/>
      <c r="AY294" s="581"/>
      <c r="AZ294" s="581"/>
      <c r="BA294" s="581"/>
      <c r="BB294" s="581"/>
      <c r="BC294" s="581"/>
      <c r="BD294" s="581"/>
    </row>
    <row r="295" spans="2:56" ht="15.75" thickBot="1" x14ac:dyDescent="0.3">
      <c r="B295" s="869" t="s">
        <v>55</v>
      </c>
      <c r="C295" s="694" t="s">
        <v>52</v>
      </c>
      <c r="D295" s="695" t="s">
        <v>52</v>
      </c>
      <c r="E295" s="695" t="s">
        <v>52</v>
      </c>
      <c r="F295" s="695" t="s">
        <v>52</v>
      </c>
      <c r="G295" s="696" t="s">
        <v>52</v>
      </c>
      <c r="H295" s="696" t="s">
        <v>52</v>
      </c>
      <c r="I295" s="696" t="s">
        <v>52</v>
      </c>
      <c r="J295" s="421">
        <v>0</v>
      </c>
      <c r="K295" s="862"/>
      <c r="L295" s="863"/>
      <c r="M295" s="863"/>
      <c r="N295" s="863"/>
      <c r="O295" s="863"/>
      <c r="P295" s="863"/>
      <c r="Q295" s="864"/>
      <c r="R295" s="864"/>
      <c r="S295" s="864"/>
      <c r="T295" s="864"/>
      <c r="U295" s="865">
        <f>SUM(U284:U293,U278:U282,U261:U276)</f>
        <v>250246.42800000004</v>
      </c>
      <c r="V295" s="581"/>
      <c r="W295" s="641"/>
      <c r="X295" s="640"/>
      <c r="Y295" s="581"/>
      <c r="Z295" s="581"/>
      <c r="AA295" s="581"/>
      <c r="AB295" s="616"/>
      <c r="AC295" s="581"/>
      <c r="AD295" s="581"/>
      <c r="AE295" s="581"/>
      <c r="AF295" s="581"/>
      <c r="AG295" s="581"/>
      <c r="AH295" s="581"/>
      <c r="AI295" s="581"/>
      <c r="AJ295" s="581"/>
      <c r="AK295" s="581"/>
      <c r="AL295" s="581"/>
      <c r="AM295" s="581"/>
      <c r="AN295" s="616"/>
      <c r="AO295" s="581"/>
      <c r="AP295" s="581"/>
      <c r="AQ295" s="581"/>
      <c r="AR295" s="581"/>
      <c r="AS295" s="581"/>
      <c r="AT295" s="581"/>
      <c r="AU295" s="581"/>
      <c r="AV295" s="581"/>
      <c r="AW295" s="581"/>
      <c r="AX295" s="581"/>
      <c r="AY295" s="581"/>
      <c r="AZ295" s="581"/>
      <c r="BA295" s="616"/>
      <c r="BB295" s="581"/>
      <c r="BC295" s="581"/>
      <c r="BD295" s="581"/>
    </row>
    <row r="296" spans="2:56" ht="15.75" thickBot="1" x14ac:dyDescent="0.3">
      <c r="B296" s="484"/>
      <c r="C296" s="866"/>
      <c r="D296" s="867"/>
      <c r="E296" s="867"/>
      <c r="F296" s="867"/>
      <c r="G296" s="868"/>
      <c r="H296" s="868"/>
      <c r="I296" s="868"/>
      <c r="J296" s="431"/>
      <c r="U296" s="870"/>
      <c r="V296" s="581"/>
      <c r="W296" s="641"/>
      <c r="X296" s="640"/>
      <c r="Y296" s="581"/>
      <c r="Z296" s="581"/>
      <c r="AA296" s="581"/>
      <c r="AB296" s="616"/>
      <c r="AC296" s="581"/>
      <c r="AD296" s="581"/>
      <c r="AE296" s="581"/>
      <c r="AF296" s="581"/>
      <c r="AG296" s="581"/>
      <c r="AH296" s="581"/>
      <c r="AI296" s="581"/>
      <c r="AJ296" s="581"/>
      <c r="AK296" s="581"/>
      <c r="AL296" s="581"/>
      <c r="AM296" s="581"/>
      <c r="AN296" s="616"/>
      <c r="AO296" s="581"/>
      <c r="AP296" s="581"/>
      <c r="AQ296" s="581"/>
      <c r="AR296" s="581"/>
      <c r="AS296" s="581"/>
      <c r="AT296" s="581"/>
      <c r="AU296" s="581"/>
      <c r="AV296" s="581"/>
      <c r="AW296" s="581"/>
      <c r="AX296" s="581"/>
      <c r="AY296" s="581"/>
      <c r="AZ296" s="581"/>
      <c r="BA296" s="616"/>
      <c r="BB296" s="581"/>
      <c r="BC296" s="581"/>
      <c r="BD296" s="581"/>
    </row>
    <row r="297" spans="2:56" x14ac:dyDescent="0.25">
      <c r="B297" s="906" t="s">
        <v>542</v>
      </c>
      <c r="C297" s="907"/>
      <c r="D297" s="907"/>
      <c r="E297" s="907"/>
      <c r="F297" s="907"/>
      <c r="G297" s="907"/>
      <c r="H297" s="907"/>
      <c r="I297" s="907"/>
      <c r="J297" s="908"/>
      <c r="K297" s="818"/>
      <c r="L297" s="819"/>
      <c r="M297" s="819"/>
      <c r="N297" s="819"/>
      <c r="O297" s="819"/>
      <c r="P297" s="819"/>
      <c r="Q297" s="820"/>
      <c r="R297" s="820"/>
      <c r="S297" s="820"/>
      <c r="T297" s="820"/>
      <c r="U297" s="821"/>
      <c r="V297" s="581"/>
      <c r="W297" s="581"/>
      <c r="X297" s="581"/>
      <c r="Y297" s="581"/>
      <c r="Z297" s="581"/>
      <c r="AA297" s="581"/>
      <c r="AB297" s="581"/>
      <c r="AC297" s="581"/>
      <c r="AD297" s="581"/>
      <c r="AE297" s="581"/>
      <c r="AF297" s="581"/>
      <c r="AG297" s="581"/>
      <c r="AH297" s="581"/>
      <c r="AI297" s="581"/>
      <c r="AJ297" s="581"/>
      <c r="AK297" s="581"/>
      <c r="AL297" s="581"/>
      <c r="AM297" s="581"/>
      <c r="AN297" s="581"/>
      <c r="AO297" s="581"/>
      <c r="AP297" s="581"/>
      <c r="AQ297" s="581"/>
      <c r="AR297" s="581"/>
      <c r="AS297" s="581"/>
      <c r="AT297" s="581"/>
      <c r="AU297" s="581"/>
      <c r="AV297" s="581"/>
      <c r="AW297" s="581"/>
      <c r="AX297" s="581"/>
      <c r="AY297" s="581"/>
      <c r="AZ297" s="581"/>
      <c r="BA297" s="581"/>
      <c r="BB297" s="581"/>
      <c r="BC297" s="581"/>
      <c r="BD297" s="581"/>
    </row>
    <row r="298" spans="2:56" x14ac:dyDescent="0.25">
      <c r="B298" s="974" t="s">
        <v>543</v>
      </c>
      <c r="C298" s="975"/>
      <c r="D298" s="975"/>
      <c r="E298" s="975"/>
      <c r="F298" s="975"/>
      <c r="G298" s="975"/>
      <c r="H298" s="975"/>
      <c r="I298" s="975"/>
      <c r="J298" s="975"/>
      <c r="K298" s="666"/>
      <c r="L298" s="667"/>
      <c r="M298" s="667"/>
      <c r="N298" s="667"/>
      <c r="O298" s="667"/>
      <c r="P298" s="667"/>
      <c r="Q298" s="668"/>
      <c r="R298" s="668"/>
      <c r="S298" s="668"/>
      <c r="T298" s="668"/>
      <c r="U298" s="669"/>
      <c r="V298" s="581"/>
      <c r="W298" s="581"/>
      <c r="X298" s="581"/>
      <c r="Y298" s="581"/>
      <c r="Z298" s="581"/>
      <c r="AA298" s="581"/>
      <c r="AB298" s="581"/>
      <c r="AC298" s="581"/>
      <c r="AD298" s="581"/>
      <c r="AE298" s="581"/>
      <c r="AF298" s="581"/>
      <c r="AG298" s="581"/>
      <c r="AH298" s="581"/>
      <c r="AI298" s="581"/>
      <c r="AJ298" s="581"/>
      <c r="AK298" s="581"/>
      <c r="AL298" s="581"/>
      <c r="AM298" s="581"/>
      <c r="AN298" s="581"/>
      <c r="AO298" s="581"/>
      <c r="AP298" s="581"/>
      <c r="AQ298" s="581"/>
      <c r="AR298" s="581"/>
      <c r="AS298" s="581"/>
      <c r="AT298" s="581"/>
      <c r="AU298" s="581"/>
      <c r="AV298" s="581"/>
      <c r="AW298" s="581"/>
      <c r="AX298" s="581"/>
      <c r="AY298" s="581"/>
      <c r="AZ298" s="581"/>
      <c r="BA298" s="581"/>
      <c r="BB298" s="581"/>
      <c r="BC298" s="581"/>
      <c r="BD298" s="581"/>
    </row>
    <row r="299" spans="2:56" x14ac:dyDescent="0.25">
      <c r="B299" s="896" t="s">
        <v>10</v>
      </c>
      <c r="C299" s="897"/>
      <c r="D299" s="897"/>
      <c r="E299" s="897"/>
      <c r="F299" s="897"/>
      <c r="G299" s="897"/>
      <c r="H299" s="897"/>
      <c r="I299" s="897"/>
      <c r="J299" s="897"/>
      <c r="K299" s="625"/>
      <c r="L299" s="626"/>
      <c r="M299" s="626"/>
      <c r="N299" s="626"/>
      <c r="O299" s="626"/>
      <c r="P299" s="626"/>
      <c r="Q299" s="603"/>
      <c r="R299" s="603"/>
      <c r="S299" s="603"/>
      <c r="T299" s="603"/>
      <c r="U299" s="604"/>
      <c r="V299" s="581"/>
      <c r="W299" s="581"/>
      <c r="X299" s="581"/>
      <c r="Y299" s="581"/>
      <c r="Z299" s="581"/>
      <c r="AA299" s="581"/>
      <c r="AB299" s="581"/>
      <c r="AC299" s="581"/>
      <c r="AD299" s="581"/>
      <c r="AE299" s="581"/>
      <c r="AF299" s="581"/>
      <c r="AG299" s="581"/>
      <c r="AH299" s="581"/>
      <c r="AI299" s="581"/>
      <c r="AJ299" s="581"/>
      <c r="AK299" s="581"/>
      <c r="AL299" s="581"/>
      <c r="AM299" s="581"/>
      <c r="AN299" s="581"/>
      <c r="AO299" s="581"/>
      <c r="AP299" s="581"/>
      <c r="AQ299" s="581"/>
      <c r="AR299" s="581"/>
      <c r="AS299" s="581"/>
      <c r="AT299" s="581"/>
      <c r="AU299" s="581"/>
      <c r="AV299" s="581"/>
      <c r="AW299" s="581"/>
      <c r="AX299" s="581"/>
      <c r="AY299" s="581"/>
      <c r="AZ299" s="581"/>
      <c r="BA299" s="581"/>
      <c r="BB299" s="581"/>
      <c r="BC299" s="581"/>
      <c r="BD299" s="581"/>
    </row>
    <row r="300" spans="2:56" ht="26.25" x14ac:dyDescent="0.25">
      <c r="B300" s="156" t="s">
        <v>544</v>
      </c>
      <c r="C300" s="682" t="s">
        <v>66</v>
      </c>
      <c r="D300" s="605" t="s">
        <v>79</v>
      </c>
      <c r="E300" s="605">
        <v>14</v>
      </c>
      <c r="F300" s="605">
        <v>3</v>
      </c>
      <c r="G300" s="823">
        <v>2264</v>
      </c>
      <c r="H300" s="373">
        <v>1725</v>
      </c>
      <c r="I300" s="605"/>
      <c r="J300" s="393">
        <v>1</v>
      </c>
      <c r="K300" s="607">
        <f>ROUND(H300*(1+'29_01_H_2020'!$F$14),2)</f>
        <v>1897.5</v>
      </c>
      <c r="L300" s="608">
        <f t="shared" ref="L300" si="230">IF(K300&lt;=G300,K300,G300)</f>
        <v>1897.5</v>
      </c>
      <c r="M300" s="608">
        <f t="shared" ref="M300" si="231">L300-H300</f>
        <v>172.5</v>
      </c>
      <c r="N300" s="608">
        <f t="shared" ref="N300" si="232">K300-L300</f>
        <v>0</v>
      </c>
      <c r="O300" s="608">
        <f t="shared" ref="O300" si="233">ROUND(I300/H300*L300-I300,2)</f>
        <v>0</v>
      </c>
      <c r="P300" s="608">
        <f t="shared" ref="P300" si="234">ROUND(I300/H300*K300-I300-O300,2)</f>
        <v>0</v>
      </c>
      <c r="Q300" s="609">
        <f t="shared" ref="Q300:Q308" si="235">M300+N300+O300+P300</f>
        <v>172.5</v>
      </c>
      <c r="R300" s="609">
        <f t="shared" ref="R300:R308" si="236">Q300*J300</f>
        <v>172.5</v>
      </c>
      <c r="S300" s="609">
        <f t="shared" ref="S300:S308" si="237">R300*12</f>
        <v>2070</v>
      </c>
      <c r="T300" s="609">
        <f t="shared" ref="T300:T308" si="238">ROUND(S300*0.2409,2)</f>
        <v>498.66</v>
      </c>
      <c r="U300" s="610">
        <f t="shared" ref="U300" si="239">SUM(S300:T300)</f>
        <v>2568.66</v>
      </c>
      <c r="V300" s="611"/>
      <c r="W300" s="611"/>
      <c r="X300" s="611"/>
      <c r="Y300" s="616"/>
      <c r="Z300" s="805"/>
      <c r="AA300" s="806"/>
      <c r="AB300" s="806"/>
      <c r="AC300" s="581"/>
      <c r="AD300" s="581"/>
      <c r="AE300" s="824"/>
      <c r="AF300" s="824"/>
      <c r="AG300" s="824"/>
      <c r="AH300" s="824"/>
      <c r="AI300" s="824"/>
      <c r="AJ300" s="824"/>
      <c r="AK300" s="824"/>
      <c r="AL300" s="824"/>
      <c r="AM300" s="824"/>
      <c r="AN300" s="824"/>
      <c r="AO300" s="616"/>
      <c r="AP300" s="581"/>
      <c r="AQ300" s="581"/>
      <c r="AR300" s="824"/>
      <c r="AS300" s="824"/>
      <c r="AT300" s="824"/>
      <c r="AU300" s="824"/>
      <c r="AV300" s="824"/>
      <c r="AW300" s="824"/>
      <c r="AX300" s="824"/>
      <c r="AY300" s="824"/>
      <c r="AZ300" s="824"/>
      <c r="BA300" s="824"/>
      <c r="BB300" s="616"/>
      <c r="BC300" s="581"/>
      <c r="BD300" s="581"/>
    </row>
    <row r="301" spans="2:56" x14ac:dyDescent="0.25">
      <c r="B301" s="156" t="s">
        <v>545</v>
      </c>
      <c r="C301" s="682" t="s">
        <v>66</v>
      </c>
      <c r="D301" s="605" t="s">
        <v>12</v>
      </c>
      <c r="E301" s="605">
        <v>12</v>
      </c>
      <c r="F301" s="605">
        <v>3</v>
      </c>
      <c r="G301" s="823">
        <v>1647</v>
      </c>
      <c r="H301" s="373">
        <v>1382</v>
      </c>
      <c r="I301" s="605"/>
      <c r="J301" s="393">
        <v>1</v>
      </c>
      <c r="K301" s="607">
        <f>ROUND(H301*(1+'29_01_H_2020'!$F$14),2)</f>
        <v>1520.2</v>
      </c>
      <c r="L301" s="608">
        <f t="shared" ref="L301:L308" si="240">IF(K301&lt;=G301,K301,G301)</f>
        <v>1520.2</v>
      </c>
      <c r="M301" s="608">
        <f t="shared" ref="M301:M308" si="241">L301-H301</f>
        <v>138.20000000000005</v>
      </c>
      <c r="N301" s="608">
        <f t="shared" ref="N301:N308" si="242">K301-L301</f>
        <v>0</v>
      </c>
      <c r="O301" s="608">
        <f t="shared" ref="O301:O308" si="243">ROUND(I301/H301*L301-I301,2)</f>
        <v>0</v>
      </c>
      <c r="P301" s="608">
        <f t="shared" ref="P301:P308" si="244">ROUND(I301/H301*K301-I301-O301,2)</f>
        <v>0</v>
      </c>
      <c r="Q301" s="609">
        <f t="shared" si="235"/>
        <v>138.20000000000005</v>
      </c>
      <c r="R301" s="609">
        <f t="shared" si="236"/>
        <v>138.20000000000005</v>
      </c>
      <c r="S301" s="609">
        <f t="shared" si="237"/>
        <v>1658.4000000000005</v>
      </c>
      <c r="T301" s="609">
        <f t="shared" si="238"/>
        <v>399.51</v>
      </c>
      <c r="U301" s="610">
        <f t="shared" ref="U301:U308" si="245">SUM(S301:T301)</f>
        <v>2057.9100000000008</v>
      </c>
      <c r="V301" s="611"/>
      <c r="W301" s="611"/>
      <c r="X301" s="611"/>
      <c r="Y301" s="616"/>
      <c r="Z301" s="805"/>
      <c r="AA301" s="806"/>
      <c r="AB301" s="806"/>
      <c r="AC301" s="581"/>
      <c r="AD301" s="581"/>
      <c r="AE301" s="824"/>
      <c r="AF301" s="824"/>
      <c r="AG301" s="824"/>
      <c r="AH301" s="824"/>
      <c r="AI301" s="824"/>
      <c r="AJ301" s="824"/>
      <c r="AK301" s="824"/>
      <c r="AL301" s="824"/>
      <c r="AM301" s="824"/>
      <c r="AN301" s="824"/>
      <c r="AO301" s="616"/>
      <c r="AP301" s="581"/>
      <c r="AQ301" s="581"/>
      <c r="AR301" s="824"/>
      <c r="AS301" s="824"/>
      <c r="AT301" s="824"/>
      <c r="AU301" s="824"/>
      <c r="AV301" s="824"/>
      <c r="AW301" s="824"/>
      <c r="AX301" s="824"/>
      <c r="AY301" s="824"/>
      <c r="AZ301" s="824"/>
      <c r="BA301" s="824"/>
      <c r="BB301" s="616"/>
      <c r="BC301" s="581"/>
      <c r="BD301" s="581"/>
    </row>
    <row r="302" spans="2:56" ht="26.25" x14ac:dyDescent="0.25">
      <c r="B302" s="156" t="s">
        <v>546</v>
      </c>
      <c r="C302" s="682" t="s">
        <v>66</v>
      </c>
      <c r="D302" s="605" t="s">
        <v>18</v>
      </c>
      <c r="E302" s="605">
        <v>11</v>
      </c>
      <c r="F302" s="605">
        <v>3</v>
      </c>
      <c r="G302" s="823">
        <v>1382</v>
      </c>
      <c r="H302" s="373">
        <v>1150</v>
      </c>
      <c r="I302" s="605"/>
      <c r="J302" s="393">
        <v>3</v>
      </c>
      <c r="K302" s="607">
        <f>ROUND(H302*(1+'29_01_H_2020'!$F$14),2)</f>
        <v>1265</v>
      </c>
      <c r="L302" s="608">
        <f t="shared" si="240"/>
        <v>1265</v>
      </c>
      <c r="M302" s="608">
        <f t="shared" si="241"/>
        <v>115</v>
      </c>
      <c r="N302" s="608">
        <f t="shared" si="242"/>
        <v>0</v>
      </c>
      <c r="O302" s="608">
        <f t="shared" si="243"/>
        <v>0</v>
      </c>
      <c r="P302" s="608">
        <f t="shared" si="244"/>
        <v>0</v>
      </c>
      <c r="Q302" s="609">
        <f t="shared" si="235"/>
        <v>115</v>
      </c>
      <c r="R302" s="609">
        <f t="shared" si="236"/>
        <v>345</v>
      </c>
      <c r="S302" s="609">
        <f t="shared" si="237"/>
        <v>4140</v>
      </c>
      <c r="T302" s="609">
        <f t="shared" si="238"/>
        <v>997.33</v>
      </c>
      <c r="U302" s="610">
        <f t="shared" si="245"/>
        <v>5137.33</v>
      </c>
      <c r="V302" s="611"/>
      <c r="W302" s="611"/>
      <c r="X302" s="611"/>
      <c r="Y302" s="616"/>
      <c r="Z302" s="805"/>
      <c r="AA302" s="806"/>
      <c r="AB302" s="806"/>
      <c r="AC302" s="581"/>
      <c r="AD302" s="581"/>
      <c r="AE302" s="824"/>
      <c r="AF302" s="824"/>
      <c r="AG302" s="824"/>
      <c r="AH302" s="824"/>
      <c r="AI302" s="824"/>
      <c r="AJ302" s="824"/>
      <c r="AK302" s="824"/>
      <c r="AL302" s="824"/>
      <c r="AM302" s="824"/>
      <c r="AN302" s="824"/>
      <c r="AO302" s="616"/>
      <c r="AP302" s="581"/>
      <c r="AQ302" s="581"/>
      <c r="AR302" s="824"/>
      <c r="AS302" s="824"/>
      <c r="AT302" s="824"/>
      <c r="AU302" s="824"/>
      <c r="AV302" s="824"/>
      <c r="AW302" s="824"/>
      <c r="AX302" s="824"/>
      <c r="AY302" s="824"/>
      <c r="AZ302" s="824"/>
      <c r="BA302" s="824"/>
      <c r="BB302" s="616"/>
      <c r="BC302" s="581"/>
      <c r="BD302" s="581"/>
    </row>
    <row r="303" spans="2:56" ht="26.25" x14ac:dyDescent="0.25">
      <c r="B303" s="156" t="s">
        <v>546</v>
      </c>
      <c r="C303" s="682" t="s">
        <v>66</v>
      </c>
      <c r="D303" s="390" t="s">
        <v>18</v>
      </c>
      <c r="E303" s="390">
        <v>11</v>
      </c>
      <c r="F303" s="252">
        <v>3</v>
      </c>
      <c r="G303" s="823">
        <v>1382</v>
      </c>
      <c r="H303" s="373">
        <v>1010</v>
      </c>
      <c r="I303" s="605"/>
      <c r="J303" s="393">
        <v>1</v>
      </c>
      <c r="K303" s="607">
        <f>ROUND(H303*(1+'29_01_H_2020'!$F$14),2)</f>
        <v>1111</v>
      </c>
      <c r="L303" s="608">
        <f t="shared" si="240"/>
        <v>1111</v>
      </c>
      <c r="M303" s="608">
        <f t="shared" si="241"/>
        <v>101</v>
      </c>
      <c r="N303" s="608">
        <f t="shared" si="242"/>
        <v>0</v>
      </c>
      <c r="O303" s="608">
        <f t="shared" si="243"/>
        <v>0</v>
      </c>
      <c r="P303" s="608">
        <f t="shared" si="244"/>
        <v>0</v>
      </c>
      <c r="Q303" s="609">
        <f t="shared" si="235"/>
        <v>101</v>
      </c>
      <c r="R303" s="609">
        <f t="shared" si="236"/>
        <v>101</v>
      </c>
      <c r="S303" s="609">
        <f t="shared" si="237"/>
        <v>1212</v>
      </c>
      <c r="T303" s="609">
        <f t="shared" si="238"/>
        <v>291.97000000000003</v>
      </c>
      <c r="U303" s="610">
        <f t="shared" si="245"/>
        <v>1503.97</v>
      </c>
      <c r="V303" s="611"/>
      <c r="W303" s="611"/>
      <c r="X303" s="611"/>
      <c r="Y303" s="616"/>
      <c r="Z303" s="805"/>
      <c r="AA303" s="806"/>
      <c r="AB303" s="806"/>
      <c r="AC303" s="581"/>
      <c r="AD303" s="581"/>
      <c r="AE303" s="824"/>
      <c r="AF303" s="824"/>
      <c r="AG303" s="824"/>
      <c r="AH303" s="824"/>
      <c r="AI303" s="824"/>
      <c r="AJ303" s="824"/>
      <c r="AK303" s="824"/>
      <c r="AL303" s="824"/>
      <c r="AM303" s="824"/>
      <c r="AN303" s="824"/>
      <c r="AO303" s="616"/>
      <c r="AP303" s="581"/>
      <c r="AQ303" s="581"/>
      <c r="AR303" s="824"/>
      <c r="AS303" s="824"/>
      <c r="AT303" s="824"/>
      <c r="AU303" s="824"/>
      <c r="AV303" s="824"/>
      <c r="AW303" s="824"/>
      <c r="AX303" s="824"/>
      <c r="AY303" s="824"/>
      <c r="AZ303" s="824"/>
      <c r="BA303" s="824"/>
      <c r="BB303" s="616"/>
      <c r="BC303" s="581"/>
      <c r="BD303" s="581"/>
    </row>
    <row r="304" spans="2:56" ht="26.25" x14ac:dyDescent="0.25">
      <c r="B304" s="156" t="s">
        <v>546</v>
      </c>
      <c r="C304" s="682" t="s">
        <v>66</v>
      </c>
      <c r="D304" s="390" t="s">
        <v>71</v>
      </c>
      <c r="E304" s="390">
        <v>10</v>
      </c>
      <c r="F304" s="252">
        <v>3</v>
      </c>
      <c r="G304" s="823">
        <v>1287</v>
      </c>
      <c r="H304" s="373">
        <v>1050</v>
      </c>
      <c r="I304" s="605"/>
      <c r="J304" s="393">
        <v>2</v>
      </c>
      <c r="K304" s="607">
        <f>ROUND(H304*(1+'29_01_H_2020'!$F$14),2)</f>
        <v>1155</v>
      </c>
      <c r="L304" s="608">
        <f t="shared" si="240"/>
        <v>1155</v>
      </c>
      <c r="M304" s="608">
        <f t="shared" si="241"/>
        <v>105</v>
      </c>
      <c r="N304" s="608">
        <f t="shared" si="242"/>
        <v>0</v>
      </c>
      <c r="O304" s="608">
        <f t="shared" si="243"/>
        <v>0</v>
      </c>
      <c r="P304" s="608">
        <f t="shared" si="244"/>
        <v>0</v>
      </c>
      <c r="Q304" s="609">
        <f t="shared" si="235"/>
        <v>105</v>
      </c>
      <c r="R304" s="609">
        <f t="shared" si="236"/>
        <v>210</v>
      </c>
      <c r="S304" s="609">
        <f t="shared" si="237"/>
        <v>2520</v>
      </c>
      <c r="T304" s="609">
        <f t="shared" si="238"/>
        <v>607.07000000000005</v>
      </c>
      <c r="U304" s="610">
        <f t="shared" si="245"/>
        <v>3127.07</v>
      </c>
      <c r="V304" s="611"/>
      <c r="W304" s="611"/>
      <c r="X304" s="611"/>
      <c r="Y304" s="616"/>
      <c r="Z304" s="805"/>
      <c r="AA304" s="806"/>
      <c r="AB304" s="806"/>
      <c r="AC304" s="581"/>
      <c r="AD304" s="581"/>
      <c r="AE304" s="824"/>
      <c r="AF304" s="824"/>
      <c r="AG304" s="824"/>
      <c r="AH304" s="824"/>
      <c r="AI304" s="824"/>
      <c r="AJ304" s="824"/>
      <c r="AK304" s="824"/>
      <c r="AL304" s="824"/>
      <c r="AM304" s="824"/>
      <c r="AN304" s="824"/>
      <c r="AO304" s="616"/>
      <c r="AP304" s="581"/>
      <c r="AQ304" s="581"/>
      <c r="AR304" s="824"/>
      <c r="AS304" s="824"/>
      <c r="AT304" s="824"/>
      <c r="AU304" s="824"/>
      <c r="AV304" s="824"/>
      <c r="AW304" s="824"/>
      <c r="AX304" s="824"/>
      <c r="AY304" s="824"/>
      <c r="AZ304" s="824"/>
      <c r="BA304" s="824"/>
      <c r="BB304" s="616"/>
      <c r="BC304" s="581"/>
      <c r="BD304" s="581"/>
    </row>
    <row r="305" spans="2:65" ht="26.25" x14ac:dyDescent="0.25">
      <c r="B305" s="156" t="s">
        <v>546</v>
      </c>
      <c r="C305" s="682" t="s">
        <v>66</v>
      </c>
      <c r="D305" s="605" t="s">
        <v>71</v>
      </c>
      <c r="E305" s="605">
        <v>11</v>
      </c>
      <c r="F305" s="605">
        <v>3</v>
      </c>
      <c r="G305" s="823">
        <v>1382</v>
      </c>
      <c r="H305" s="373">
        <v>1150</v>
      </c>
      <c r="I305" s="605"/>
      <c r="J305" s="393">
        <v>3</v>
      </c>
      <c r="K305" s="607">
        <f>ROUND(H305*(1+'29_01_H_2020'!$F$14),2)</f>
        <v>1265</v>
      </c>
      <c r="L305" s="608">
        <f t="shared" si="240"/>
        <v>1265</v>
      </c>
      <c r="M305" s="608">
        <f t="shared" si="241"/>
        <v>115</v>
      </c>
      <c r="N305" s="608">
        <f t="shared" si="242"/>
        <v>0</v>
      </c>
      <c r="O305" s="608">
        <f t="shared" si="243"/>
        <v>0</v>
      </c>
      <c r="P305" s="608">
        <f t="shared" si="244"/>
        <v>0</v>
      </c>
      <c r="Q305" s="609">
        <f t="shared" si="235"/>
        <v>115</v>
      </c>
      <c r="R305" s="609">
        <f t="shared" si="236"/>
        <v>345</v>
      </c>
      <c r="S305" s="609">
        <f t="shared" si="237"/>
        <v>4140</v>
      </c>
      <c r="T305" s="609">
        <f t="shared" si="238"/>
        <v>997.33</v>
      </c>
      <c r="U305" s="610">
        <f t="shared" si="245"/>
        <v>5137.33</v>
      </c>
      <c r="V305" s="611"/>
      <c r="W305" s="611"/>
      <c r="X305" s="611"/>
      <c r="Y305" s="616"/>
      <c r="Z305" s="805"/>
      <c r="AA305" s="806"/>
      <c r="AB305" s="806"/>
      <c r="AC305" s="581"/>
      <c r="AD305" s="581"/>
      <c r="AE305" s="824"/>
      <c r="AF305" s="824"/>
      <c r="AG305" s="824"/>
      <c r="AH305" s="824"/>
      <c r="AI305" s="824"/>
      <c r="AJ305" s="824"/>
      <c r="AK305" s="824"/>
      <c r="AL305" s="824"/>
      <c r="AM305" s="824"/>
      <c r="AN305" s="824"/>
      <c r="AO305" s="616"/>
      <c r="AP305" s="581"/>
      <c r="AQ305" s="581"/>
      <c r="AR305" s="824"/>
      <c r="AS305" s="824"/>
      <c r="AT305" s="824"/>
      <c r="AU305" s="824"/>
      <c r="AV305" s="824"/>
      <c r="AW305" s="824"/>
      <c r="AX305" s="824"/>
      <c r="AY305" s="824"/>
      <c r="AZ305" s="824"/>
      <c r="BA305" s="824"/>
      <c r="BB305" s="616"/>
      <c r="BC305" s="581"/>
      <c r="BD305" s="581"/>
    </row>
    <row r="306" spans="2:65" ht="26.25" x14ac:dyDescent="0.25">
      <c r="B306" s="156" t="s">
        <v>546</v>
      </c>
      <c r="C306" s="682" t="s">
        <v>66</v>
      </c>
      <c r="D306" s="390" t="s">
        <v>71</v>
      </c>
      <c r="E306" s="252">
        <v>10</v>
      </c>
      <c r="F306" s="252">
        <v>1</v>
      </c>
      <c r="G306" s="823">
        <v>1287</v>
      </c>
      <c r="H306" s="373">
        <v>894</v>
      </c>
      <c r="I306" s="605"/>
      <c r="J306" s="393">
        <v>1</v>
      </c>
      <c r="K306" s="607">
        <f>ROUND(H306*(1+'29_01_H_2020'!$F$14),2)</f>
        <v>983.4</v>
      </c>
      <c r="L306" s="608">
        <f t="shared" si="240"/>
        <v>983.4</v>
      </c>
      <c r="M306" s="608">
        <f t="shared" si="241"/>
        <v>89.399999999999977</v>
      </c>
      <c r="N306" s="608">
        <f t="shared" si="242"/>
        <v>0</v>
      </c>
      <c r="O306" s="608">
        <f t="shared" si="243"/>
        <v>0</v>
      </c>
      <c r="P306" s="608">
        <f t="shared" si="244"/>
        <v>0</v>
      </c>
      <c r="Q306" s="609">
        <f t="shared" si="235"/>
        <v>89.399999999999977</v>
      </c>
      <c r="R306" s="609">
        <f t="shared" si="236"/>
        <v>89.399999999999977</v>
      </c>
      <c r="S306" s="609">
        <f t="shared" si="237"/>
        <v>1072.7999999999997</v>
      </c>
      <c r="T306" s="609">
        <f t="shared" si="238"/>
        <v>258.44</v>
      </c>
      <c r="U306" s="610">
        <f t="shared" si="245"/>
        <v>1331.2399999999998</v>
      </c>
      <c r="V306" s="611"/>
      <c r="W306" s="611"/>
      <c r="X306" s="611"/>
      <c r="Y306" s="616"/>
      <c r="Z306" s="805"/>
      <c r="AA306" s="806"/>
      <c r="AB306" s="806"/>
      <c r="AC306" s="581"/>
      <c r="AD306" s="581"/>
      <c r="AE306" s="824"/>
      <c r="AF306" s="824"/>
      <c r="AG306" s="824"/>
      <c r="AH306" s="824"/>
      <c r="AI306" s="824"/>
      <c r="AJ306" s="824"/>
      <c r="AK306" s="824"/>
      <c r="AL306" s="824"/>
      <c r="AM306" s="824"/>
      <c r="AN306" s="824"/>
      <c r="AO306" s="616"/>
      <c r="AP306" s="581"/>
      <c r="AQ306" s="581"/>
      <c r="AR306" s="824"/>
      <c r="AS306" s="824"/>
      <c r="AT306" s="824"/>
      <c r="AU306" s="824"/>
      <c r="AV306" s="824"/>
      <c r="AW306" s="824"/>
      <c r="AX306" s="824"/>
      <c r="AY306" s="824"/>
      <c r="AZ306" s="824"/>
      <c r="BA306" s="824"/>
      <c r="BB306" s="616"/>
      <c r="BC306" s="581"/>
      <c r="BD306" s="581"/>
    </row>
    <row r="307" spans="2:65" ht="39" x14ac:dyDescent="0.25">
      <c r="B307" s="156" t="s">
        <v>547</v>
      </c>
      <c r="C307" s="682" t="s">
        <v>66</v>
      </c>
      <c r="D307" s="605" t="s">
        <v>12</v>
      </c>
      <c r="E307" s="605">
        <v>12</v>
      </c>
      <c r="F307" s="605">
        <v>3</v>
      </c>
      <c r="G307" s="823">
        <v>1647</v>
      </c>
      <c r="H307" s="373">
        <v>1455</v>
      </c>
      <c r="I307" s="605"/>
      <c r="J307" s="393">
        <v>1</v>
      </c>
      <c r="K307" s="607">
        <f>ROUND(H307*(1+'29_01_H_2020'!$F$14),2)</f>
        <v>1600.5</v>
      </c>
      <c r="L307" s="608">
        <f t="shared" si="240"/>
        <v>1600.5</v>
      </c>
      <c r="M307" s="608">
        <f t="shared" si="241"/>
        <v>145.5</v>
      </c>
      <c r="N307" s="608">
        <f t="shared" si="242"/>
        <v>0</v>
      </c>
      <c r="O307" s="608">
        <f t="shared" si="243"/>
        <v>0</v>
      </c>
      <c r="P307" s="608">
        <f t="shared" si="244"/>
        <v>0</v>
      </c>
      <c r="Q307" s="609">
        <f t="shared" si="235"/>
        <v>145.5</v>
      </c>
      <c r="R307" s="609">
        <f t="shared" si="236"/>
        <v>145.5</v>
      </c>
      <c r="S307" s="609">
        <f t="shared" si="237"/>
        <v>1746</v>
      </c>
      <c r="T307" s="609">
        <f t="shared" si="238"/>
        <v>420.61</v>
      </c>
      <c r="U307" s="610">
        <f t="shared" si="245"/>
        <v>2166.61</v>
      </c>
      <c r="V307" s="611"/>
      <c r="W307" s="611"/>
      <c r="X307" s="611"/>
      <c r="Y307" s="616"/>
      <c r="Z307" s="805"/>
      <c r="AA307" s="806"/>
      <c r="AB307" s="806"/>
      <c r="AC307" s="581"/>
      <c r="AD307" s="581"/>
      <c r="AE307" s="824"/>
      <c r="AF307" s="824"/>
      <c r="AG307" s="824"/>
      <c r="AH307" s="824"/>
      <c r="AI307" s="824"/>
      <c r="AJ307" s="824"/>
      <c r="AK307" s="824"/>
      <c r="AL307" s="824"/>
      <c r="AM307" s="824"/>
      <c r="AN307" s="824"/>
      <c r="AO307" s="616"/>
      <c r="AP307" s="581"/>
      <c r="AQ307" s="581"/>
      <c r="AR307" s="824"/>
      <c r="AS307" s="824"/>
      <c r="AT307" s="824"/>
      <c r="AU307" s="824"/>
      <c r="AV307" s="824"/>
      <c r="AW307" s="824"/>
      <c r="AX307" s="824"/>
      <c r="AY307" s="824"/>
      <c r="AZ307" s="824"/>
      <c r="BA307" s="824"/>
      <c r="BB307" s="616"/>
      <c r="BC307" s="581"/>
      <c r="BD307" s="581"/>
    </row>
    <row r="308" spans="2:65" ht="26.25" x14ac:dyDescent="0.25">
      <c r="B308" s="156" t="s">
        <v>548</v>
      </c>
      <c r="C308" s="682" t="s">
        <v>66</v>
      </c>
      <c r="D308" s="605" t="s">
        <v>71</v>
      </c>
      <c r="E308" s="605">
        <v>11</v>
      </c>
      <c r="F308" s="605">
        <v>3</v>
      </c>
      <c r="G308" s="823">
        <v>1382</v>
      </c>
      <c r="H308" s="373">
        <v>1200</v>
      </c>
      <c r="I308" s="605"/>
      <c r="J308" s="393">
        <v>2</v>
      </c>
      <c r="K308" s="607">
        <f>ROUND(H308*(1+'29_01_H_2020'!$F$14),2)</f>
        <v>1320</v>
      </c>
      <c r="L308" s="608">
        <f t="shared" si="240"/>
        <v>1320</v>
      </c>
      <c r="M308" s="608">
        <f t="shared" si="241"/>
        <v>120</v>
      </c>
      <c r="N308" s="608">
        <f t="shared" si="242"/>
        <v>0</v>
      </c>
      <c r="O308" s="608">
        <f t="shared" si="243"/>
        <v>0</v>
      </c>
      <c r="P308" s="608">
        <f t="shared" si="244"/>
        <v>0</v>
      </c>
      <c r="Q308" s="609">
        <f t="shared" si="235"/>
        <v>120</v>
      </c>
      <c r="R308" s="609">
        <f t="shared" si="236"/>
        <v>240</v>
      </c>
      <c r="S308" s="609">
        <f t="shared" si="237"/>
        <v>2880</v>
      </c>
      <c r="T308" s="609">
        <f t="shared" si="238"/>
        <v>693.79</v>
      </c>
      <c r="U308" s="610">
        <f t="shared" si="245"/>
        <v>3573.79</v>
      </c>
      <c r="V308" s="611"/>
      <c r="W308" s="611"/>
      <c r="X308" s="611"/>
      <c r="Y308" s="616"/>
      <c r="Z308" s="805"/>
      <c r="AA308" s="806"/>
      <c r="AB308" s="806"/>
      <c r="AC308" s="581"/>
      <c r="AD308" s="581"/>
      <c r="AE308" s="824"/>
      <c r="AF308" s="824"/>
      <c r="AG308" s="824"/>
      <c r="AH308" s="824"/>
      <c r="AI308" s="824"/>
      <c r="AJ308" s="824"/>
      <c r="AK308" s="824"/>
      <c r="AL308" s="824"/>
      <c r="AM308" s="824"/>
      <c r="AN308" s="824"/>
      <c r="AO308" s="616"/>
      <c r="AP308" s="581"/>
      <c r="AQ308" s="581"/>
      <c r="AR308" s="824"/>
      <c r="AS308" s="824"/>
      <c r="AT308" s="824"/>
      <c r="AU308" s="824"/>
      <c r="AV308" s="824"/>
      <c r="AW308" s="824"/>
      <c r="AX308" s="824"/>
      <c r="AY308" s="824"/>
      <c r="AZ308" s="824"/>
      <c r="BA308" s="824"/>
      <c r="BB308" s="616"/>
      <c r="BC308" s="581"/>
      <c r="BD308" s="581"/>
    </row>
    <row r="309" spans="2:65" x14ac:dyDescent="0.25">
      <c r="B309" s="894" t="s">
        <v>27</v>
      </c>
      <c r="C309" s="895"/>
      <c r="D309" s="895"/>
      <c r="E309" s="895"/>
      <c r="F309" s="895"/>
      <c r="G309" s="895"/>
      <c r="H309" s="895"/>
      <c r="I309" s="895"/>
      <c r="J309" s="895"/>
      <c r="K309" s="625"/>
      <c r="L309" s="626"/>
      <c r="M309" s="626"/>
      <c r="N309" s="626"/>
      <c r="O309" s="626"/>
      <c r="P309" s="626"/>
      <c r="Q309" s="603"/>
      <c r="R309" s="603"/>
      <c r="S309" s="603"/>
      <c r="T309" s="603"/>
      <c r="U309" s="604"/>
      <c r="V309" s="581"/>
      <c r="W309" s="581"/>
      <c r="X309" s="581"/>
      <c r="Y309" s="581"/>
      <c r="Z309" s="581"/>
      <c r="AA309" s="581"/>
      <c r="AB309" s="581"/>
      <c r="AC309" s="581"/>
      <c r="AD309" s="581"/>
      <c r="AE309" s="581"/>
      <c r="AF309" s="581"/>
      <c r="AG309" s="581"/>
      <c r="AH309" s="581"/>
      <c r="AI309" s="581"/>
      <c r="AJ309" s="581"/>
      <c r="AK309" s="581"/>
      <c r="AL309" s="581"/>
      <c r="AM309" s="581"/>
      <c r="AN309" s="581"/>
      <c r="AO309" s="581"/>
      <c r="AP309" s="581"/>
      <c r="AQ309" s="581"/>
      <c r="AR309" s="581"/>
      <c r="AS309" s="581"/>
      <c r="AT309" s="581"/>
      <c r="AU309" s="581"/>
      <c r="AV309" s="581"/>
      <c r="AW309" s="581"/>
      <c r="AX309" s="581"/>
      <c r="AY309" s="581"/>
      <c r="AZ309" s="581"/>
      <c r="BA309" s="581"/>
      <c r="BB309" s="581"/>
      <c r="BC309" s="581"/>
      <c r="BD309" s="581"/>
    </row>
    <row r="310" spans="2:65" ht="15.75" thickBot="1" x14ac:dyDescent="0.3">
      <c r="B310" s="960" t="s">
        <v>46</v>
      </c>
      <c r="C310" s="961"/>
      <c r="D310" s="961"/>
      <c r="E310" s="961"/>
      <c r="F310" s="961"/>
      <c r="G310" s="961"/>
      <c r="H310" s="961"/>
      <c r="I310" s="961"/>
      <c r="J310" s="961"/>
      <c r="K310" s="723"/>
      <c r="L310" s="724"/>
      <c r="M310" s="724"/>
      <c r="N310" s="724"/>
      <c r="O310" s="724"/>
      <c r="P310" s="724"/>
      <c r="Q310" s="725"/>
      <c r="R310" s="725"/>
      <c r="S310" s="725"/>
      <c r="T310" s="725"/>
      <c r="U310" s="871"/>
      <c r="V310" s="581"/>
      <c r="W310" s="640"/>
      <c r="X310" s="640"/>
      <c r="Y310" s="581"/>
      <c r="Z310" s="581"/>
      <c r="AA310" s="640"/>
      <c r="AB310" s="640"/>
      <c r="AC310" s="581"/>
      <c r="AD310" s="581"/>
      <c r="AE310" s="581"/>
      <c r="AF310" s="581"/>
      <c r="AG310" s="581"/>
      <c r="AH310" s="581"/>
      <c r="AI310" s="581"/>
      <c r="AJ310" s="581"/>
      <c r="AK310" s="581"/>
      <c r="AL310" s="640"/>
      <c r="AM310" s="640"/>
      <c r="AN310" s="640"/>
      <c r="AO310" s="581"/>
      <c r="AP310" s="581"/>
      <c r="AQ310" s="581"/>
      <c r="AR310" s="581"/>
      <c r="AS310" s="581"/>
      <c r="AT310" s="581"/>
      <c r="AU310" s="581"/>
      <c r="AV310" s="581"/>
      <c r="AW310" s="581"/>
      <c r="AX310" s="581"/>
      <c r="AY310" s="640"/>
      <c r="AZ310" s="640"/>
      <c r="BA310" s="640"/>
      <c r="BB310" s="581"/>
      <c r="BC310" s="581"/>
      <c r="BD310" s="581"/>
    </row>
    <row r="311" spans="2:65" ht="15.75" thickBot="1" x14ac:dyDescent="0.3">
      <c r="B311" s="726" t="s">
        <v>55</v>
      </c>
      <c r="C311" s="727" t="s">
        <v>52</v>
      </c>
      <c r="D311" s="727"/>
      <c r="E311" s="727" t="s">
        <v>52</v>
      </c>
      <c r="F311" s="727" t="s">
        <v>52</v>
      </c>
      <c r="G311" s="727" t="s">
        <v>52</v>
      </c>
      <c r="H311" s="727" t="s">
        <v>52</v>
      </c>
      <c r="I311" s="727" t="s">
        <v>52</v>
      </c>
      <c r="J311" s="381">
        <f>SUM(J300:J308)</f>
        <v>15</v>
      </c>
      <c r="K311" s="743"/>
      <c r="L311" s="744"/>
      <c r="M311" s="744"/>
      <c r="N311" s="744"/>
      <c r="O311" s="744"/>
      <c r="P311" s="744"/>
      <c r="Q311" s="745"/>
      <c r="R311" s="745"/>
      <c r="S311" s="745"/>
      <c r="T311" s="745"/>
      <c r="U311" s="872">
        <f>SUM(U300:U308)</f>
        <v>26603.910000000003</v>
      </c>
      <c r="V311" s="581"/>
      <c r="W311" s="641"/>
      <c r="X311" s="640"/>
      <c r="Y311" s="581"/>
      <c r="Z311" s="581"/>
      <c r="AA311" s="581"/>
      <c r="AB311" s="616"/>
      <c r="AC311" s="581"/>
      <c r="AD311" s="581"/>
      <c r="AE311" s="581"/>
      <c r="AF311" s="581"/>
      <c r="AG311" s="581"/>
      <c r="AH311" s="581"/>
      <c r="AI311" s="581"/>
      <c r="AJ311" s="581"/>
      <c r="AK311" s="581"/>
      <c r="AL311" s="581"/>
      <c r="AM311" s="581"/>
      <c r="AN311" s="616"/>
      <c r="AO311" s="581"/>
      <c r="AP311" s="581"/>
      <c r="AQ311" s="581"/>
      <c r="AR311" s="581"/>
      <c r="AS311" s="581"/>
      <c r="AT311" s="581"/>
      <c r="AU311" s="581"/>
      <c r="AV311" s="581"/>
      <c r="AW311" s="581"/>
      <c r="AX311" s="581"/>
      <c r="AY311" s="581"/>
      <c r="AZ311" s="581"/>
      <c r="BA311" s="616"/>
      <c r="BB311" s="581"/>
      <c r="BC311" s="581"/>
      <c r="BD311" s="581"/>
    </row>
    <row r="312" spans="2:65" x14ac:dyDescent="0.25">
      <c r="B312" s="873" t="s">
        <v>649</v>
      </c>
      <c r="C312" s="873"/>
      <c r="D312" s="873"/>
      <c r="E312" s="873"/>
      <c r="F312" s="873"/>
      <c r="G312" s="873"/>
      <c r="H312" s="817"/>
      <c r="I312" s="817"/>
      <c r="J312" s="817"/>
      <c r="V312" s="581"/>
      <c r="W312" s="641"/>
      <c r="X312" s="640"/>
      <c r="Y312" s="581"/>
      <c r="Z312" s="581"/>
      <c r="AA312" s="581"/>
      <c r="AB312" s="581"/>
      <c r="AC312" s="581"/>
      <c r="AD312" s="581"/>
      <c r="AE312" s="581"/>
      <c r="AF312" s="581"/>
      <c r="AG312" s="581"/>
      <c r="AH312" s="581"/>
      <c r="AI312" s="581"/>
      <c r="AJ312" s="581"/>
      <c r="AK312" s="581"/>
      <c r="AL312" s="581"/>
      <c r="AM312" s="581"/>
      <c r="AN312" s="581"/>
      <c r="AO312" s="581"/>
      <c r="AP312" s="581"/>
      <c r="AQ312" s="581"/>
      <c r="AR312" s="581"/>
      <c r="AS312" s="581"/>
      <c r="AT312" s="581"/>
      <c r="AU312" s="581"/>
      <c r="AV312" s="581"/>
      <c r="AW312" s="581"/>
      <c r="AX312" s="581"/>
      <c r="AY312" s="581"/>
      <c r="AZ312" s="581"/>
      <c r="BA312" s="581"/>
      <c r="BB312" s="581"/>
      <c r="BC312" s="581"/>
      <c r="BD312" s="581"/>
    </row>
    <row r="313" spans="2:65" x14ac:dyDescent="0.25">
      <c r="B313" s="874"/>
      <c r="C313" s="857"/>
      <c r="D313" s="857"/>
      <c r="E313" s="857"/>
      <c r="F313" s="857"/>
      <c r="G313" s="857"/>
      <c r="H313" s="857"/>
      <c r="I313" s="857"/>
      <c r="J313" s="431"/>
      <c r="Q313" s="751"/>
      <c r="R313" s="751"/>
      <c r="S313" s="751"/>
      <c r="T313" s="751"/>
      <c r="U313" s="751"/>
      <c r="V313" s="751"/>
      <c r="W313" s="640"/>
      <c r="X313" s="640"/>
      <c r="Y313" s="581"/>
      <c r="Z313" s="581"/>
      <c r="AA313" s="640"/>
      <c r="AB313" s="640"/>
      <c r="AC313" s="581"/>
      <c r="AD313" s="581"/>
      <c r="AE313" s="581"/>
      <c r="AF313" s="751"/>
      <c r="AG313" s="751"/>
      <c r="AH313" s="751"/>
      <c r="AI313" s="751"/>
      <c r="AJ313" s="751"/>
      <c r="AK313" s="751"/>
      <c r="AL313" s="640"/>
      <c r="AM313" s="640"/>
      <c r="AN313" s="640"/>
      <c r="AO313" s="581"/>
      <c r="AP313" s="581"/>
      <c r="AQ313" s="581"/>
      <c r="AR313" s="581"/>
      <c r="AS313" s="751"/>
      <c r="AT313" s="751"/>
      <c r="AU313" s="751"/>
      <c r="AV313" s="751"/>
      <c r="AW313" s="751"/>
      <c r="AX313" s="751"/>
      <c r="AY313" s="640"/>
      <c r="AZ313" s="640"/>
      <c r="BA313" s="640"/>
      <c r="BB313" s="581"/>
      <c r="BC313" s="581"/>
      <c r="BD313" s="581"/>
      <c r="BE313" s="581"/>
      <c r="BF313" s="581"/>
      <c r="BG313" s="581"/>
      <c r="BH313" s="581"/>
      <c r="BI313" s="581"/>
      <c r="BJ313" s="581"/>
      <c r="BK313" s="581"/>
      <c r="BL313" s="581"/>
      <c r="BM313" s="581"/>
    </row>
    <row r="314" spans="2:65" x14ac:dyDescent="0.25">
      <c r="B314" s="581"/>
      <c r="C314" s="581"/>
      <c r="D314" s="581"/>
      <c r="E314" s="581"/>
      <c r="F314" s="581"/>
      <c r="G314" s="581"/>
      <c r="H314" s="581"/>
      <c r="I314" s="581"/>
      <c r="J314" s="581"/>
      <c r="Q314" s="751"/>
      <c r="R314" s="751"/>
      <c r="S314" s="751"/>
      <c r="T314" s="751"/>
      <c r="U314" s="751"/>
      <c r="V314" s="751"/>
      <c r="W314" s="641"/>
      <c r="X314" s="640"/>
      <c r="Y314" s="581"/>
      <c r="Z314" s="581"/>
      <c r="AA314" s="641"/>
      <c r="AB314" s="651"/>
      <c r="AC314" s="581"/>
      <c r="AD314" s="581"/>
      <c r="AE314" s="581"/>
      <c r="AF314" s="751"/>
      <c r="AG314" s="751"/>
      <c r="AH314" s="751"/>
      <c r="AI314" s="751"/>
      <c r="AJ314" s="751"/>
      <c r="AK314" s="751"/>
      <c r="AL314" s="641"/>
      <c r="AM314" s="641"/>
      <c r="AN314" s="651"/>
      <c r="AO314" s="581"/>
      <c r="AP314" s="581"/>
      <c r="AQ314" s="581"/>
      <c r="AR314" s="581"/>
      <c r="AS314" s="751"/>
      <c r="AT314" s="751"/>
      <c r="AU314" s="751"/>
      <c r="AV314" s="751"/>
      <c r="AW314" s="751"/>
      <c r="AX314" s="751"/>
      <c r="AY314" s="641"/>
      <c r="AZ314" s="641"/>
      <c r="BA314" s="651"/>
      <c r="BB314" s="581"/>
      <c r="BC314" s="581"/>
      <c r="BD314" s="581"/>
      <c r="BE314" s="581"/>
      <c r="BF314" s="581"/>
      <c r="BG314" s="581"/>
      <c r="BH314" s="581"/>
      <c r="BI314" s="581"/>
      <c r="BJ314" s="581"/>
      <c r="BK314" s="581"/>
      <c r="BL314" s="581"/>
      <c r="BM314" s="581"/>
    </row>
    <row r="315" spans="2:65" x14ac:dyDescent="0.25">
      <c r="Q315" s="581"/>
      <c r="R315" s="581"/>
      <c r="S315" s="581"/>
      <c r="T315" s="581"/>
      <c r="U315" s="581"/>
      <c r="V315" s="581"/>
      <c r="W315" s="581"/>
      <c r="X315" s="616"/>
      <c r="Y315" s="581"/>
      <c r="Z315" s="581"/>
      <c r="AA315" s="581"/>
      <c r="AB315" s="581"/>
      <c r="AC315" s="581"/>
      <c r="AD315" s="581"/>
      <c r="AE315" s="581"/>
      <c r="AF315" s="581"/>
      <c r="AG315" s="581"/>
      <c r="AH315" s="581"/>
      <c r="AI315" s="581"/>
      <c r="AJ315" s="581"/>
      <c r="AK315" s="581"/>
      <c r="AL315" s="581"/>
      <c r="AM315" s="581"/>
      <c r="AN315" s="581"/>
      <c r="AO315" s="581"/>
      <c r="AP315" s="581"/>
      <c r="AQ315" s="581"/>
      <c r="AR315" s="581"/>
      <c r="AS315" s="581"/>
      <c r="AT315" s="581"/>
      <c r="AU315" s="581"/>
      <c r="AV315" s="581"/>
      <c r="AW315" s="581"/>
      <c r="AX315" s="581"/>
      <c r="AY315" s="581"/>
      <c r="AZ315" s="581"/>
      <c r="BA315" s="581"/>
      <c r="BB315" s="581"/>
      <c r="BC315" s="581"/>
      <c r="BD315" s="581"/>
      <c r="BE315" s="581"/>
      <c r="BF315" s="581"/>
      <c r="BG315" s="581"/>
      <c r="BH315" s="581"/>
      <c r="BI315" s="581"/>
      <c r="BJ315" s="581"/>
      <c r="BK315" s="581"/>
      <c r="BL315" s="581"/>
      <c r="BM315" s="581"/>
    </row>
    <row r="316" spans="2:65" x14ac:dyDescent="0.25">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1"/>
      <c r="AL316" s="581"/>
      <c r="AM316" s="581"/>
      <c r="AN316" s="581"/>
      <c r="AO316" s="581"/>
      <c r="AP316" s="581"/>
      <c r="AQ316" s="581"/>
      <c r="AR316" s="581"/>
      <c r="AS316" s="581"/>
      <c r="AT316" s="581"/>
      <c r="AU316" s="581"/>
      <c r="AV316" s="581"/>
      <c r="AW316" s="581"/>
      <c r="AX316" s="581"/>
      <c r="AY316" s="581"/>
      <c r="AZ316" s="581"/>
      <c r="BA316" s="581"/>
      <c r="BB316" s="581"/>
      <c r="BC316" s="581"/>
      <c r="BD316" s="581"/>
      <c r="BE316" s="581"/>
      <c r="BF316" s="581"/>
      <c r="BG316" s="581"/>
      <c r="BH316" s="581"/>
      <c r="BI316" s="581"/>
      <c r="BJ316" s="581"/>
      <c r="BK316" s="581"/>
      <c r="BL316" s="581"/>
      <c r="BM316" s="581"/>
    </row>
    <row r="317" spans="2:65" x14ac:dyDescent="0.25">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1"/>
      <c r="AL317" s="581"/>
      <c r="AM317" s="581"/>
      <c r="AN317" s="581"/>
      <c r="AO317" s="581"/>
      <c r="AP317" s="581"/>
      <c r="AQ317" s="581"/>
      <c r="AR317" s="581"/>
      <c r="AS317" s="581"/>
      <c r="AT317" s="581"/>
      <c r="AU317" s="581"/>
      <c r="AV317" s="581"/>
      <c r="AW317" s="581"/>
      <c r="AX317" s="581"/>
      <c r="AY317" s="581"/>
      <c r="AZ317" s="581"/>
      <c r="BA317" s="581"/>
      <c r="BB317" s="581"/>
      <c r="BC317" s="581"/>
      <c r="BD317" s="581"/>
      <c r="BE317" s="581"/>
      <c r="BF317" s="581"/>
      <c r="BG317" s="581"/>
      <c r="BH317" s="581"/>
      <c r="BI317" s="581"/>
      <c r="BJ317" s="581"/>
      <c r="BK317" s="581"/>
      <c r="BL317" s="581"/>
      <c r="BM317" s="581"/>
    </row>
    <row r="318" spans="2:65" x14ac:dyDescent="0.25">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1"/>
      <c r="AL318" s="581"/>
      <c r="AM318" s="581"/>
      <c r="AN318" s="581"/>
      <c r="AO318" s="581"/>
      <c r="AP318" s="581"/>
      <c r="AQ318" s="581"/>
      <c r="AR318" s="581"/>
      <c r="AS318" s="581"/>
      <c r="AT318" s="581"/>
      <c r="AU318" s="581"/>
      <c r="AV318" s="581"/>
      <c r="AW318" s="581"/>
      <c r="AX318" s="581"/>
      <c r="AY318" s="581"/>
      <c r="AZ318" s="581"/>
      <c r="BA318" s="581"/>
      <c r="BB318" s="581"/>
      <c r="BC318" s="581"/>
      <c r="BD318" s="581"/>
      <c r="BE318" s="581"/>
      <c r="BF318" s="581"/>
      <c r="BG318" s="581"/>
      <c r="BH318" s="581"/>
      <c r="BI318" s="581"/>
      <c r="BJ318" s="581"/>
      <c r="BK318" s="581"/>
      <c r="BL318" s="581"/>
      <c r="BM318" s="581"/>
    </row>
    <row r="319" spans="2:65" x14ac:dyDescent="0.25">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1"/>
      <c r="AL319" s="581"/>
      <c r="AM319" s="581"/>
      <c r="AN319" s="581"/>
      <c r="AO319" s="581"/>
      <c r="AP319" s="581"/>
      <c r="AQ319" s="581"/>
      <c r="AR319" s="581"/>
      <c r="AS319" s="581"/>
      <c r="AT319" s="581"/>
      <c r="AU319" s="581"/>
      <c r="AV319" s="581"/>
      <c r="AW319" s="581"/>
      <c r="AX319" s="581"/>
      <c r="AY319" s="581"/>
      <c r="AZ319" s="581"/>
      <c r="BA319" s="581"/>
      <c r="BB319" s="581"/>
      <c r="BC319" s="581"/>
      <c r="BD319" s="581"/>
      <c r="BE319" s="581"/>
      <c r="BF319" s="581"/>
      <c r="BG319" s="581"/>
      <c r="BH319" s="581"/>
      <c r="BI319" s="581"/>
      <c r="BJ319" s="581"/>
      <c r="BK319" s="581"/>
      <c r="BL319" s="581"/>
      <c r="BM319" s="581"/>
    </row>
    <row r="320" spans="2:65" x14ac:dyDescent="0.25">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1"/>
      <c r="AL320" s="581"/>
      <c r="AM320" s="581"/>
      <c r="AN320" s="581"/>
      <c r="AO320" s="581"/>
      <c r="AP320" s="581"/>
      <c r="AQ320" s="581"/>
      <c r="AR320" s="581"/>
      <c r="AS320" s="581"/>
      <c r="AT320" s="581"/>
      <c r="AU320" s="581"/>
      <c r="AV320" s="581"/>
      <c r="AW320" s="581"/>
      <c r="AX320" s="581"/>
      <c r="AY320" s="581"/>
      <c r="AZ320" s="581"/>
      <c r="BA320" s="581"/>
      <c r="BB320" s="581"/>
      <c r="BC320" s="581"/>
      <c r="BD320" s="581"/>
      <c r="BE320" s="581"/>
      <c r="BF320" s="581"/>
      <c r="BG320" s="581"/>
      <c r="BH320" s="581"/>
      <c r="BI320" s="581"/>
      <c r="BJ320" s="581"/>
      <c r="BK320" s="581"/>
      <c r="BL320" s="581"/>
      <c r="BM320" s="581"/>
    </row>
    <row r="321" spans="17:65" x14ac:dyDescent="0.25">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1"/>
      <c r="AL321" s="581"/>
      <c r="AM321" s="581"/>
      <c r="AN321" s="581"/>
      <c r="AO321" s="581"/>
      <c r="AP321" s="581"/>
      <c r="AQ321" s="581"/>
      <c r="AR321" s="581"/>
      <c r="AS321" s="581"/>
      <c r="AT321" s="581"/>
      <c r="AU321" s="581"/>
      <c r="AV321" s="581"/>
      <c r="AW321" s="581"/>
      <c r="AX321" s="581"/>
      <c r="AY321" s="581"/>
      <c r="AZ321" s="581"/>
      <c r="BA321" s="581"/>
      <c r="BB321" s="581"/>
      <c r="BC321" s="581"/>
      <c r="BD321" s="581"/>
      <c r="BE321" s="581"/>
      <c r="BF321" s="581"/>
      <c r="BG321" s="581"/>
      <c r="BH321" s="581"/>
      <c r="BI321" s="581"/>
      <c r="BJ321" s="581"/>
      <c r="BK321" s="581"/>
      <c r="BL321" s="581"/>
      <c r="BM321" s="581"/>
    </row>
  </sheetData>
  <mergeCells count="37">
    <mergeCell ref="B51:J51"/>
    <mergeCell ref="B28:J28"/>
    <mergeCell ref="AH104:AK104"/>
    <mergeCell ref="B2:U2"/>
    <mergeCell ref="B6:J6"/>
    <mergeCell ref="R91:S91"/>
    <mergeCell ref="AH103:AK103"/>
    <mergeCell ref="B52:J52"/>
    <mergeCell ref="B90:J90"/>
    <mergeCell ref="B91:J91"/>
    <mergeCell ref="B65:J65"/>
    <mergeCell ref="B53:J53"/>
    <mergeCell ref="B82:J82"/>
    <mergeCell ref="B165:J165"/>
    <mergeCell ref="B177:J177"/>
    <mergeCell ref="B258:J258"/>
    <mergeCell ref="B259:J259"/>
    <mergeCell ref="B283:J283"/>
    <mergeCell ref="B277:J277"/>
    <mergeCell ref="B260:J260"/>
    <mergeCell ref="B176:J176"/>
    <mergeCell ref="B310:J310"/>
    <mergeCell ref="AU103:AX103"/>
    <mergeCell ref="B178:J178"/>
    <mergeCell ref="B297:J297"/>
    <mergeCell ref="B44:J44"/>
    <mergeCell ref="B92:J92"/>
    <mergeCell ref="B95:J95"/>
    <mergeCell ref="B100:J100"/>
    <mergeCell ref="B167:G167"/>
    <mergeCell ref="B107:J107"/>
    <mergeCell ref="B106:J106"/>
    <mergeCell ref="B108:J108"/>
    <mergeCell ref="AU104:AX104"/>
    <mergeCell ref="B298:J298"/>
    <mergeCell ref="B299:J299"/>
    <mergeCell ref="B309:J309"/>
  </mergeCells>
  <pageMargins left="0.25" right="0.25" top="0.75" bottom="0.75" header="0.3" footer="0.3"/>
  <pageSetup paperSize="9" scale="5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15"/>
  <sheetViews>
    <sheetView zoomScale="90" zoomScaleNormal="90" workbookViewId="0">
      <selection activeCell="M28" sqref="M28"/>
    </sheetView>
  </sheetViews>
  <sheetFormatPr defaultRowHeight="15" x14ac:dyDescent="0.25"/>
  <cols>
    <col min="1" max="1" width="40.140625" customWidth="1"/>
    <col min="2" max="2" width="10.42578125" customWidth="1"/>
    <col min="6" max="6" width="9.85546875" bestFit="1" customWidth="1"/>
    <col min="7" max="7" width="13.140625" customWidth="1"/>
    <col min="8" max="8" width="14" bestFit="1" customWidth="1"/>
    <col min="10" max="10" width="14" bestFit="1" customWidth="1"/>
    <col min="12" max="12" width="14" bestFit="1" customWidth="1"/>
  </cols>
  <sheetData>
    <row r="1" spans="1:8" x14ac:dyDescent="0.25">
      <c r="F1" t="s">
        <v>603</v>
      </c>
    </row>
    <row r="2" spans="1:8" x14ac:dyDescent="0.25">
      <c r="A2" s="992" t="s">
        <v>614</v>
      </c>
      <c r="B2" s="992"/>
      <c r="C2" s="992"/>
      <c r="D2" s="992"/>
      <c r="E2" s="992"/>
      <c r="F2" s="992"/>
    </row>
    <row r="3" spans="1:8" x14ac:dyDescent="0.25">
      <c r="A3" s="992"/>
      <c r="B3" s="992"/>
      <c r="C3" s="992"/>
      <c r="D3" s="992"/>
      <c r="E3" s="992"/>
      <c r="F3" s="992"/>
    </row>
    <row r="4" spans="1:8" ht="15.75" thickBot="1" x14ac:dyDescent="0.3">
      <c r="G4" s="445" t="s">
        <v>605</v>
      </c>
    </row>
    <row r="5" spans="1:8" ht="15.75" x14ac:dyDescent="0.25">
      <c r="A5" s="985" t="s">
        <v>0</v>
      </c>
      <c r="B5" s="986"/>
      <c r="C5" s="986"/>
      <c r="D5" s="986"/>
      <c r="E5" s="986"/>
      <c r="F5" s="986"/>
      <c r="G5" s="987"/>
    </row>
    <row r="6" spans="1:8" x14ac:dyDescent="0.25">
      <c r="A6" s="993" t="s">
        <v>163</v>
      </c>
      <c r="B6" s="995" t="s">
        <v>164</v>
      </c>
      <c r="C6" s="997" t="s">
        <v>165</v>
      </c>
      <c r="D6" s="997" t="s">
        <v>166</v>
      </c>
      <c r="E6" s="997" t="s">
        <v>399</v>
      </c>
      <c r="F6" s="999" t="s">
        <v>167</v>
      </c>
      <c r="G6" s="983" t="s">
        <v>637</v>
      </c>
    </row>
    <row r="7" spans="1:8" ht="68.25" customHeight="1" thickBot="1" x14ac:dyDescent="0.3">
      <c r="A7" s="994"/>
      <c r="B7" s="996"/>
      <c r="C7" s="998"/>
      <c r="D7" s="998"/>
      <c r="E7" s="998"/>
      <c r="F7" s="1000"/>
      <c r="G7" s="984"/>
    </row>
    <row r="8" spans="1:8" ht="15.75" thickBot="1" x14ac:dyDescent="0.3">
      <c r="A8" s="988" t="s">
        <v>113</v>
      </c>
      <c r="B8" s="989"/>
      <c r="C8" s="989"/>
      <c r="D8" s="989"/>
      <c r="E8" s="989"/>
      <c r="F8" s="989"/>
      <c r="G8" s="453"/>
    </row>
    <row r="9" spans="1:8" x14ac:dyDescent="0.25">
      <c r="A9" s="990" t="s">
        <v>162</v>
      </c>
      <c r="B9" s="991"/>
      <c r="C9" s="991"/>
      <c r="D9" s="991"/>
      <c r="E9" s="991"/>
      <c r="F9" s="991"/>
      <c r="G9" s="378"/>
    </row>
    <row r="10" spans="1:8" x14ac:dyDescent="0.25">
      <c r="A10" s="38" t="s">
        <v>168</v>
      </c>
      <c r="B10" s="39"/>
      <c r="C10" s="40"/>
      <c r="D10" s="40"/>
      <c r="E10" s="40"/>
      <c r="F10" s="446"/>
      <c r="G10" s="454"/>
    </row>
    <row r="11" spans="1:8" x14ac:dyDescent="0.25">
      <c r="A11" s="33" t="s">
        <v>259</v>
      </c>
      <c r="B11" s="31"/>
      <c r="C11" s="32"/>
      <c r="D11" s="32"/>
      <c r="E11" s="32"/>
      <c r="F11" s="447"/>
      <c r="G11" s="455"/>
    </row>
    <row r="12" spans="1:8" x14ac:dyDescent="0.25">
      <c r="A12" s="22" t="s">
        <v>170</v>
      </c>
      <c r="B12" s="333">
        <v>2</v>
      </c>
      <c r="C12" s="355">
        <v>1702</v>
      </c>
      <c r="D12" s="71">
        <f t="shared" ref="D12:D47" si="0">C12*0.03</f>
        <v>51.059999999999995</v>
      </c>
      <c r="E12" s="71"/>
      <c r="F12" s="403">
        <f>(C12+D12+E12)</f>
        <v>1753.06</v>
      </c>
      <c r="G12" s="372">
        <f>ROUND((C12+D12+E12)*('29_01_H_2020'!$F$14)*B12*12*1.2409,2)</f>
        <v>5220.8900000000003</v>
      </c>
      <c r="H12" s="95"/>
    </row>
    <row r="13" spans="1:8" x14ac:dyDescent="0.25">
      <c r="A13" s="22" t="s">
        <v>170</v>
      </c>
      <c r="B13" s="333">
        <v>2</v>
      </c>
      <c r="C13" s="355">
        <v>1855</v>
      </c>
      <c r="D13" s="71">
        <f t="shared" si="0"/>
        <v>55.65</v>
      </c>
      <c r="E13" s="71"/>
      <c r="F13" s="403">
        <f t="shared" ref="F13:F47" si="1">(C13+D13+E13)</f>
        <v>1910.65</v>
      </c>
      <c r="G13" s="372">
        <f>ROUND((C13+D13+E13)*('29_01_H_2020'!$F$14)*B13*12*1.2409,2)</f>
        <v>5690.22</v>
      </c>
      <c r="H13" s="95"/>
    </row>
    <row r="14" spans="1:8" x14ac:dyDescent="0.25">
      <c r="A14" s="22" t="s">
        <v>171</v>
      </c>
      <c r="B14" s="333">
        <v>4</v>
      </c>
      <c r="C14" s="355">
        <v>1613</v>
      </c>
      <c r="D14" s="71">
        <f t="shared" si="0"/>
        <v>48.39</v>
      </c>
      <c r="E14" s="71"/>
      <c r="F14" s="403">
        <f t="shared" si="1"/>
        <v>1661.39</v>
      </c>
      <c r="G14" s="372">
        <f>ROUND((C14+D14+E14)*('29_01_H_2020'!$F$14)*B14*12*1.2409,2)</f>
        <v>9895.77</v>
      </c>
      <c r="H14" s="95"/>
    </row>
    <row r="15" spans="1:8" x14ac:dyDescent="0.25">
      <c r="A15" s="22" t="s">
        <v>61</v>
      </c>
      <c r="B15" s="333">
        <v>4</v>
      </c>
      <c r="C15" s="355">
        <v>1450</v>
      </c>
      <c r="D15" s="71">
        <f t="shared" si="0"/>
        <v>43.5</v>
      </c>
      <c r="E15" s="71"/>
      <c r="F15" s="403">
        <f t="shared" si="1"/>
        <v>1493.5</v>
      </c>
      <c r="G15" s="372">
        <f>ROUND((C15+D15+E15)*('29_01_H_2020'!$F$14)*B15*12*1.2409,2)</f>
        <v>8895.76</v>
      </c>
      <c r="H15" s="95"/>
    </row>
    <row r="16" spans="1:8" x14ac:dyDescent="0.25">
      <c r="A16" s="22" t="s">
        <v>172</v>
      </c>
      <c r="B16" s="333">
        <v>1</v>
      </c>
      <c r="C16" s="355">
        <v>1647</v>
      </c>
      <c r="D16" s="71">
        <f t="shared" si="0"/>
        <v>49.41</v>
      </c>
      <c r="E16" s="71"/>
      <c r="F16" s="403">
        <f t="shared" si="1"/>
        <v>1696.41</v>
      </c>
      <c r="G16" s="372">
        <f>ROUND((C16+D16+E16)*('29_01_H_2020'!$F$14)*B16*12*1.2409,2)</f>
        <v>2526.09</v>
      </c>
      <c r="H16" s="95"/>
    </row>
    <row r="17" spans="1:8" ht="25.5" x14ac:dyDescent="0.25">
      <c r="A17" s="22" t="s">
        <v>173</v>
      </c>
      <c r="B17" s="333">
        <v>27</v>
      </c>
      <c r="C17" s="355">
        <v>1440</v>
      </c>
      <c r="D17" s="71">
        <f t="shared" si="0"/>
        <v>43.199999999999996</v>
      </c>
      <c r="E17" s="71">
        <f>C17*0.4075</f>
        <v>586.79999999999995</v>
      </c>
      <c r="F17" s="403">
        <f t="shared" si="1"/>
        <v>2070</v>
      </c>
      <c r="G17" s="372">
        <f>ROUND((C17+D17+E17)*('29_01_H_2020'!$F$14)*B17*12*1.2409,2)</f>
        <v>83224.679999999993</v>
      </c>
      <c r="H17" s="95"/>
    </row>
    <row r="18" spans="1:8" x14ac:dyDescent="0.25">
      <c r="A18" s="22" t="s">
        <v>174</v>
      </c>
      <c r="B18" s="333">
        <v>63</v>
      </c>
      <c r="C18" s="355">
        <v>1260</v>
      </c>
      <c r="D18" s="71">
        <f t="shared" si="0"/>
        <v>37.799999999999997</v>
      </c>
      <c r="E18" s="71">
        <f>C18*0.4075</f>
        <v>513.44999999999993</v>
      </c>
      <c r="F18" s="403">
        <f t="shared" si="1"/>
        <v>1811.25</v>
      </c>
      <c r="G18" s="372">
        <f>ROUND((C18+D18+E18)*('29_01_H_2020'!$F$14)*B18*12*1.2409,2)</f>
        <v>169917.06</v>
      </c>
      <c r="H18" s="95"/>
    </row>
    <row r="19" spans="1:8" ht="25.5" x14ac:dyDescent="0.25">
      <c r="A19" s="22" t="s">
        <v>175</v>
      </c>
      <c r="B19" s="333">
        <v>9</v>
      </c>
      <c r="C19" s="355">
        <v>1375</v>
      </c>
      <c r="D19" s="71">
        <f t="shared" si="0"/>
        <v>41.25</v>
      </c>
      <c r="E19" s="71">
        <f>C19*0.4075</f>
        <v>560.3125</v>
      </c>
      <c r="F19" s="403">
        <f t="shared" si="1"/>
        <v>1976.5625</v>
      </c>
      <c r="G19" s="372">
        <f>ROUND((C19+D19+E19)*('29_01_H_2020'!$F$14)*B19*12*1.2409,2)</f>
        <v>26489.34</v>
      </c>
      <c r="H19" s="95"/>
    </row>
    <row r="20" spans="1:8" x14ac:dyDescent="0.25">
      <c r="A20" s="22" t="s">
        <v>176</v>
      </c>
      <c r="B20" s="333">
        <v>10</v>
      </c>
      <c r="C20" s="355">
        <v>1440</v>
      </c>
      <c r="D20" s="71">
        <f t="shared" si="0"/>
        <v>43.199999999999996</v>
      </c>
      <c r="E20" s="71">
        <f>C20*0.4275</f>
        <v>615.6</v>
      </c>
      <c r="F20" s="403">
        <f t="shared" si="1"/>
        <v>2098.8000000000002</v>
      </c>
      <c r="G20" s="372">
        <f>ROUND((C20+D20+E20)*('29_01_H_2020'!$F$14)*B20*12*1.2409,2)</f>
        <v>31252.81</v>
      </c>
      <c r="H20" s="95"/>
    </row>
    <row r="21" spans="1:8" x14ac:dyDescent="0.25">
      <c r="A21" s="22" t="s">
        <v>177</v>
      </c>
      <c r="B21" s="333">
        <v>5</v>
      </c>
      <c r="C21" s="355">
        <v>1440</v>
      </c>
      <c r="D21" s="71">
        <f t="shared" si="0"/>
        <v>43.199999999999996</v>
      </c>
      <c r="E21" s="71">
        <f>C21*0.4275</f>
        <v>615.6</v>
      </c>
      <c r="F21" s="403">
        <f t="shared" si="1"/>
        <v>2098.8000000000002</v>
      </c>
      <c r="G21" s="372">
        <f>ROUND((C21+D21+E21)*('29_01_H_2020'!$F$14)*B21*12*1.2409,2)</f>
        <v>15626.41</v>
      </c>
      <c r="H21" s="95"/>
    </row>
    <row r="22" spans="1:8" x14ac:dyDescent="0.25">
      <c r="A22" s="22" t="s">
        <v>178</v>
      </c>
      <c r="B22" s="333">
        <v>9.5</v>
      </c>
      <c r="C22" s="355">
        <v>1440</v>
      </c>
      <c r="D22" s="71">
        <f t="shared" si="0"/>
        <v>43.199999999999996</v>
      </c>
      <c r="E22" s="71">
        <f>C22*0.4275</f>
        <v>615.6</v>
      </c>
      <c r="F22" s="403">
        <f t="shared" si="1"/>
        <v>2098.8000000000002</v>
      </c>
      <c r="G22" s="372">
        <f>ROUND((C22+D22+E22)*('29_01_H_2020'!$F$14)*B22*12*1.2409,2)</f>
        <v>29690.17</v>
      </c>
      <c r="H22" s="95"/>
    </row>
    <row r="23" spans="1:8" x14ac:dyDescent="0.25">
      <c r="A23" s="22" t="s">
        <v>179</v>
      </c>
      <c r="B23" s="333">
        <v>5</v>
      </c>
      <c r="C23" s="355">
        <v>1930</v>
      </c>
      <c r="D23" s="71">
        <f t="shared" si="0"/>
        <v>57.9</v>
      </c>
      <c r="E23" s="71"/>
      <c r="F23" s="403">
        <f t="shared" si="1"/>
        <v>1987.9</v>
      </c>
      <c r="G23" s="372">
        <f>ROUND((C23+D23+E23)*('29_01_H_2020'!$F$14)*B23*12*1.2409,2)</f>
        <v>14800.71</v>
      </c>
      <c r="H23" s="95"/>
    </row>
    <row r="24" spans="1:8" x14ac:dyDescent="0.25">
      <c r="A24" s="22" t="s">
        <v>180</v>
      </c>
      <c r="B24" s="333">
        <v>5</v>
      </c>
      <c r="C24" s="355">
        <v>1930</v>
      </c>
      <c r="D24" s="71">
        <f t="shared" si="0"/>
        <v>57.9</v>
      </c>
      <c r="E24" s="71"/>
      <c r="F24" s="403">
        <f t="shared" si="1"/>
        <v>1987.9</v>
      </c>
      <c r="G24" s="372">
        <f>ROUND((C24+D24+E24)*('29_01_H_2020'!$F$14)*B24*12*1.2409,2)</f>
        <v>14800.71</v>
      </c>
      <c r="H24" s="95"/>
    </row>
    <row r="25" spans="1:8" x14ac:dyDescent="0.25">
      <c r="A25" s="22" t="s">
        <v>181</v>
      </c>
      <c r="B25" s="333">
        <v>5</v>
      </c>
      <c r="C25" s="355">
        <v>1930</v>
      </c>
      <c r="D25" s="71">
        <f t="shared" si="0"/>
        <v>57.9</v>
      </c>
      <c r="E25" s="71"/>
      <c r="F25" s="403">
        <f t="shared" si="1"/>
        <v>1987.9</v>
      </c>
      <c r="G25" s="372">
        <f>ROUND((C25+D25+E25)*('29_01_H_2020'!$F$14)*B25*12*1.2409,2)</f>
        <v>14800.71</v>
      </c>
      <c r="H25" s="95"/>
    </row>
    <row r="26" spans="1:8" x14ac:dyDescent="0.25">
      <c r="A26" s="22" t="s">
        <v>182</v>
      </c>
      <c r="B26" s="333">
        <v>5</v>
      </c>
      <c r="C26" s="355">
        <v>1930</v>
      </c>
      <c r="D26" s="71">
        <f t="shared" si="0"/>
        <v>57.9</v>
      </c>
      <c r="E26" s="71"/>
      <c r="F26" s="403">
        <f>(C26+D26+E26)</f>
        <v>1987.9</v>
      </c>
      <c r="G26" s="372">
        <f>ROUND((C26+D26+E26)*('29_01_H_2020'!$F$14)*B26*12*1.2409,2)</f>
        <v>14800.71</v>
      </c>
      <c r="H26" s="95"/>
    </row>
    <row r="27" spans="1:8" x14ac:dyDescent="0.25">
      <c r="A27" s="22" t="s">
        <v>183</v>
      </c>
      <c r="B27" s="333">
        <v>5</v>
      </c>
      <c r="C27" s="355">
        <v>1930</v>
      </c>
      <c r="D27" s="71">
        <f t="shared" si="0"/>
        <v>57.9</v>
      </c>
      <c r="E27" s="71"/>
      <c r="F27" s="403">
        <f t="shared" si="1"/>
        <v>1987.9</v>
      </c>
      <c r="G27" s="372">
        <f>ROUND((C27+D27+E27)*('29_01_H_2020'!$F$14)*B27*12*1.2409,2)</f>
        <v>14800.71</v>
      </c>
      <c r="H27" s="95"/>
    </row>
    <row r="28" spans="1:8" x14ac:dyDescent="0.25">
      <c r="A28" s="22" t="s">
        <v>184</v>
      </c>
      <c r="B28" s="333">
        <v>5</v>
      </c>
      <c r="C28" s="355">
        <v>1930</v>
      </c>
      <c r="D28" s="71">
        <f t="shared" si="0"/>
        <v>57.9</v>
      </c>
      <c r="E28" s="71"/>
      <c r="F28" s="403">
        <f t="shared" si="1"/>
        <v>1987.9</v>
      </c>
      <c r="G28" s="372">
        <f>ROUND((C28+D28+E28)*('29_01_H_2020'!$F$14)*B28*12*1.2409,2)</f>
        <v>14800.71</v>
      </c>
      <c r="H28" s="95"/>
    </row>
    <row r="29" spans="1:8" x14ac:dyDescent="0.25">
      <c r="A29" s="22" t="s">
        <v>185</v>
      </c>
      <c r="B29" s="333">
        <v>5</v>
      </c>
      <c r="C29" s="355">
        <v>1930</v>
      </c>
      <c r="D29" s="71">
        <f t="shared" si="0"/>
        <v>57.9</v>
      </c>
      <c r="E29" s="71"/>
      <c r="F29" s="403">
        <f t="shared" si="1"/>
        <v>1987.9</v>
      </c>
      <c r="G29" s="372">
        <f>ROUND((C29+D29+E29)*('29_01_H_2020'!$F$14)*B29*12*1.2409,2)</f>
        <v>14800.71</v>
      </c>
      <c r="H29" s="95"/>
    </row>
    <row r="30" spans="1:8" x14ac:dyDescent="0.25">
      <c r="A30" s="22" t="s">
        <v>186</v>
      </c>
      <c r="B30" s="333">
        <v>5</v>
      </c>
      <c r="C30" s="355">
        <v>1585</v>
      </c>
      <c r="D30" s="71">
        <f t="shared" si="0"/>
        <v>47.55</v>
      </c>
      <c r="E30" s="71"/>
      <c r="F30" s="403">
        <f t="shared" si="1"/>
        <v>1632.55</v>
      </c>
      <c r="G30" s="372">
        <f>ROUND((C30+D30+E30)*('29_01_H_2020'!$F$14)*B30*12*1.2409,2)</f>
        <v>12154.99</v>
      </c>
      <c r="H30" s="95"/>
    </row>
    <row r="31" spans="1:8" x14ac:dyDescent="0.25">
      <c r="A31" s="22" t="s">
        <v>187</v>
      </c>
      <c r="B31" s="333">
        <v>5</v>
      </c>
      <c r="C31" s="355">
        <v>1585</v>
      </c>
      <c r="D31" s="71">
        <f t="shared" si="0"/>
        <v>47.55</v>
      </c>
      <c r="E31" s="71"/>
      <c r="F31" s="403">
        <f t="shared" si="1"/>
        <v>1632.55</v>
      </c>
      <c r="G31" s="372">
        <f>ROUND((C31+D31+E31)*('29_01_H_2020'!$F$14)*B31*12*1.2409,2)</f>
        <v>12154.99</v>
      </c>
      <c r="H31" s="95"/>
    </row>
    <row r="32" spans="1:8" x14ac:dyDescent="0.25">
      <c r="A32" s="22" t="s">
        <v>188</v>
      </c>
      <c r="B32" s="333">
        <v>1</v>
      </c>
      <c r="C32" s="355">
        <v>1050</v>
      </c>
      <c r="D32" s="71">
        <f t="shared" si="0"/>
        <v>31.5</v>
      </c>
      <c r="E32" s="71"/>
      <c r="F32" s="403">
        <f t="shared" si="1"/>
        <v>1081.5</v>
      </c>
      <c r="G32" s="372">
        <f>ROUND((C32+D32+E32)*('29_01_H_2020'!$F$14)*B32*12*1.2409,2)</f>
        <v>1610.44</v>
      </c>
      <c r="H32" s="95"/>
    </row>
    <row r="33" spans="1:8" x14ac:dyDescent="0.25">
      <c r="A33" s="22" t="s">
        <v>189</v>
      </c>
      <c r="B33" s="333">
        <v>5</v>
      </c>
      <c r="C33" s="355">
        <v>1930</v>
      </c>
      <c r="D33" s="71">
        <f t="shared" si="0"/>
        <v>57.9</v>
      </c>
      <c r="E33" s="71"/>
      <c r="F33" s="403">
        <f t="shared" si="1"/>
        <v>1987.9</v>
      </c>
      <c r="G33" s="372">
        <f>ROUND((C33+D33+E33)*('29_01_H_2020'!$F$14)*B33*12*1.2409,2)</f>
        <v>14800.71</v>
      </c>
      <c r="H33" s="95"/>
    </row>
    <row r="34" spans="1:8" x14ac:dyDescent="0.25">
      <c r="A34" s="22" t="s">
        <v>190</v>
      </c>
      <c r="B34" s="333">
        <v>5</v>
      </c>
      <c r="C34" s="355">
        <v>1930</v>
      </c>
      <c r="D34" s="71">
        <f t="shared" si="0"/>
        <v>57.9</v>
      </c>
      <c r="E34" s="71"/>
      <c r="F34" s="403">
        <f t="shared" si="1"/>
        <v>1987.9</v>
      </c>
      <c r="G34" s="372">
        <f>ROUND((C34+D34+E34)*('29_01_H_2020'!$F$14)*B34*12*1.2409,2)</f>
        <v>14800.71</v>
      </c>
      <c r="H34" s="95"/>
    </row>
    <row r="35" spans="1:8" x14ac:dyDescent="0.25">
      <c r="A35" s="22" t="s">
        <v>191</v>
      </c>
      <c r="B35" s="333">
        <v>4</v>
      </c>
      <c r="C35" s="355">
        <v>1585</v>
      </c>
      <c r="D35" s="71">
        <f t="shared" si="0"/>
        <v>47.55</v>
      </c>
      <c r="E35" s="71"/>
      <c r="F35" s="403">
        <f t="shared" si="1"/>
        <v>1632.55</v>
      </c>
      <c r="G35" s="372">
        <f>ROUND((C35+D35+E35)*('29_01_H_2020'!$F$14)*B35*12*1.2409,2)</f>
        <v>9723.99</v>
      </c>
      <c r="H35" s="95"/>
    </row>
    <row r="36" spans="1:8" x14ac:dyDescent="0.25">
      <c r="A36" s="22" t="s">
        <v>192</v>
      </c>
      <c r="B36" s="333">
        <v>5</v>
      </c>
      <c r="C36" s="355">
        <v>1930</v>
      </c>
      <c r="D36" s="71">
        <f t="shared" si="0"/>
        <v>57.9</v>
      </c>
      <c r="E36" s="71"/>
      <c r="F36" s="403">
        <f t="shared" si="1"/>
        <v>1987.9</v>
      </c>
      <c r="G36" s="372">
        <f>ROUND((C36+D36+E36)*('29_01_H_2020'!$F$14)*B36*12*1.2409,2)</f>
        <v>14800.71</v>
      </c>
      <c r="H36" s="95"/>
    </row>
    <row r="37" spans="1:8" x14ac:dyDescent="0.25">
      <c r="A37" s="22" t="s">
        <v>193</v>
      </c>
      <c r="B37" s="333">
        <v>5</v>
      </c>
      <c r="C37" s="355">
        <v>1930</v>
      </c>
      <c r="D37" s="71">
        <f t="shared" si="0"/>
        <v>57.9</v>
      </c>
      <c r="E37" s="71"/>
      <c r="F37" s="403">
        <f t="shared" si="1"/>
        <v>1987.9</v>
      </c>
      <c r="G37" s="372">
        <f>ROUND((C37+D37+E37)*('29_01_H_2020'!$F$14)*B37*12*1.2409,2)</f>
        <v>14800.71</v>
      </c>
      <c r="H37" s="95"/>
    </row>
    <row r="38" spans="1:8" x14ac:dyDescent="0.25">
      <c r="A38" s="22" t="s">
        <v>194</v>
      </c>
      <c r="B38" s="333">
        <v>5</v>
      </c>
      <c r="C38" s="355">
        <v>1930</v>
      </c>
      <c r="D38" s="71">
        <f t="shared" si="0"/>
        <v>57.9</v>
      </c>
      <c r="E38" s="71"/>
      <c r="F38" s="403">
        <f t="shared" si="1"/>
        <v>1987.9</v>
      </c>
      <c r="G38" s="372">
        <f>ROUND((C38+D38+E38)*('29_01_H_2020'!$F$14)*B38*12*1.2409,2)</f>
        <v>14800.71</v>
      </c>
      <c r="H38" s="95"/>
    </row>
    <row r="39" spans="1:8" x14ac:dyDescent="0.25">
      <c r="A39" s="22" t="s">
        <v>195</v>
      </c>
      <c r="B39" s="333">
        <v>5</v>
      </c>
      <c r="C39" s="355">
        <v>1930</v>
      </c>
      <c r="D39" s="71">
        <f t="shared" si="0"/>
        <v>57.9</v>
      </c>
      <c r="E39" s="71"/>
      <c r="F39" s="403">
        <f t="shared" si="1"/>
        <v>1987.9</v>
      </c>
      <c r="G39" s="372">
        <f>ROUND((C39+D39+E39)*('29_01_H_2020'!$F$14)*B39*12*1.2409,2)</f>
        <v>14800.71</v>
      </c>
      <c r="H39" s="95"/>
    </row>
    <row r="40" spans="1:8" x14ac:dyDescent="0.25">
      <c r="A40" s="22" t="s">
        <v>196</v>
      </c>
      <c r="B40" s="333">
        <v>5</v>
      </c>
      <c r="C40" s="355">
        <v>1930</v>
      </c>
      <c r="D40" s="71">
        <f t="shared" si="0"/>
        <v>57.9</v>
      </c>
      <c r="E40" s="71"/>
      <c r="F40" s="403">
        <f t="shared" si="1"/>
        <v>1987.9</v>
      </c>
      <c r="G40" s="372">
        <f>ROUND((C40+D40+E40)*('29_01_H_2020'!$F$14)*B40*12*1.2409,2)</f>
        <v>14800.71</v>
      </c>
      <c r="H40" s="95"/>
    </row>
    <row r="41" spans="1:8" x14ac:dyDescent="0.25">
      <c r="A41" s="22" t="s">
        <v>197</v>
      </c>
      <c r="B41" s="334">
        <v>4.5</v>
      </c>
      <c r="C41" s="355">
        <v>1590</v>
      </c>
      <c r="D41" s="71">
        <f t="shared" si="0"/>
        <v>47.699999999999996</v>
      </c>
      <c r="E41" s="71">
        <f>C41*0.2575</f>
        <v>409.42500000000001</v>
      </c>
      <c r="F41" s="403">
        <f t="shared" si="1"/>
        <v>2047.125</v>
      </c>
      <c r="G41" s="372">
        <f>ROUND((C41+D41+E41)*('29_01_H_2020'!$F$14)*B41*12*1.2409,2)</f>
        <v>13717.5</v>
      </c>
      <c r="H41" s="95"/>
    </row>
    <row r="42" spans="1:8" x14ac:dyDescent="0.25">
      <c r="A42" s="22" t="s">
        <v>198</v>
      </c>
      <c r="B42" s="334">
        <v>11.5</v>
      </c>
      <c r="C42" s="355">
        <v>1545</v>
      </c>
      <c r="D42" s="71">
        <f t="shared" si="0"/>
        <v>46.35</v>
      </c>
      <c r="E42" s="71">
        <f>C42*0.2575</f>
        <v>397.83750000000003</v>
      </c>
      <c r="F42" s="403">
        <f t="shared" si="1"/>
        <v>1989.1875</v>
      </c>
      <c r="G42" s="372">
        <f>ROUND((C42+D42+E42)*('29_01_H_2020'!$F$14)*B42*12*1.2409,2)</f>
        <v>34063.68</v>
      </c>
      <c r="H42" s="95"/>
    </row>
    <row r="43" spans="1:8" x14ac:dyDescent="0.25">
      <c r="A43" s="22" t="s">
        <v>199</v>
      </c>
      <c r="B43" s="334">
        <v>4.5</v>
      </c>
      <c r="C43" s="355">
        <v>1545</v>
      </c>
      <c r="D43" s="71">
        <f t="shared" si="0"/>
        <v>46.35</v>
      </c>
      <c r="E43" s="71">
        <f>C43*0.2575</f>
        <v>397.83750000000003</v>
      </c>
      <c r="F43" s="403">
        <f t="shared" si="1"/>
        <v>1989.1875</v>
      </c>
      <c r="G43" s="372">
        <f>ROUND((C43+D43+E43)*('29_01_H_2020'!$F$14)*B43*12*1.2409,2)</f>
        <v>13329.27</v>
      </c>
      <c r="H43" s="95"/>
    </row>
    <row r="44" spans="1:8" x14ac:dyDescent="0.25">
      <c r="A44" s="22" t="s">
        <v>200</v>
      </c>
      <c r="B44" s="334">
        <v>14.5</v>
      </c>
      <c r="C44" s="355">
        <v>1500</v>
      </c>
      <c r="D44" s="71">
        <f t="shared" si="0"/>
        <v>45</v>
      </c>
      <c r="E44" s="71">
        <f>C44*0.2575</f>
        <v>386.25</v>
      </c>
      <c r="F44" s="403">
        <f t="shared" si="1"/>
        <v>1931.25</v>
      </c>
      <c r="G44" s="372">
        <f>ROUND((C44+D44+E44)*('29_01_H_2020'!$F$14)*B44*12*1.2409,2)</f>
        <v>41698.89</v>
      </c>
      <c r="H44" s="95"/>
    </row>
    <row r="45" spans="1:8" x14ac:dyDescent="0.25">
      <c r="A45" s="22" t="s">
        <v>201</v>
      </c>
      <c r="B45" s="333">
        <v>1</v>
      </c>
      <c r="C45" s="355">
        <v>1382</v>
      </c>
      <c r="D45" s="71">
        <f t="shared" si="0"/>
        <v>41.46</v>
      </c>
      <c r="E45" s="71"/>
      <c r="F45" s="403">
        <f t="shared" si="1"/>
        <v>1423.46</v>
      </c>
      <c r="G45" s="372">
        <f>ROUND((C45+D45+E45)*('29_01_H_2020'!$F$14)*B45*12*1.2409,2)</f>
        <v>2119.65</v>
      </c>
      <c r="H45" s="95"/>
    </row>
    <row r="46" spans="1:8" ht="25.5" x14ac:dyDescent="0.25">
      <c r="A46" s="22" t="s">
        <v>202</v>
      </c>
      <c r="B46" s="333">
        <v>6</v>
      </c>
      <c r="C46" s="355">
        <v>1450</v>
      </c>
      <c r="D46" s="71">
        <f t="shared" si="0"/>
        <v>43.5</v>
      </c>
      <c r="E46" s="71">
        <f>C46*0.2575</f>
        <v>373.375</v>
      </c>
      <c r="F46" s="403">
        <f t="shared" si="1"/>
        <v>1866.875</v>
      </c>
      <c r="G46" s="372">
        <f>ROUND((C46+D46+E46)*('29_01_H_2020'!$F$14)*B46*12*1.2409,2)</f>
        <v>16679.560000000001</v>
      </c>
      <c r="H46" s="95"/>
    </row>
    <row r="47" spans="1:8" ht="25.5" x14ac:dyDescent="0.25">
      <c r="A47" s="22" t="s">
        <v>203</v>
      </c>
      <c r="B47" s="333">
        <v>0.5</v>
      </c>
      <c r="C47" s="355">
        <v>1050</v>
      </c>
      <c r="D47" s="71">
        <f t="shared" si="0"/>
        <v>31.5</v>
      </c>
      <c r="E47" s="71"/>
      <c r="F47" s="403">
        <f t="shared" si="1"/>
        <v>1081.5</v>
      </c>
      <c r="G47" s="372">
        <f>ROUND((C47+D47+E47)*('29_01_H_2020'!$F$14)*B47*12*1.2409,2)</f>
        <v>805.22</v>
      </c>
      <c r="H47" s="95"/>
    </row>
    <row r="48" spans="1:8" ht="38.25" x14ac:dyDescent="0.25">
      <c r="A48" s="30" t="s">
        <v>204</v>
      </c>
      <c r="B48" s="43" t="s">
        <v>52</v>
      </c>
      <c r="C48" s="34" t="s">
        <v>52</v>
      </c>
      <c r="D48" s="34" t="s">
        <v>52</v>
      </c>
      <c r="E48" s="34" t="s">
        <v>52</v>
      </c>
      <c r="F48" s="448" t="s">
        <v>52</v>
      </c>
      <c r="G48" s="455"/>
    </row>
    <row r="49" spans="1:8" ht="38.25" x14ac:dyDescent="0.25">
      <c r="A49" s="30" t="s">
        <v>205</v>
      </c>
      <c r="B49" s="43"/>
      <c r="C49" s="34"/>
      <c r="D49" s="34"/>
      <c r="E49" s="34"/>
      <c r="F49" s="448"/>
      <c r="G49" s="455"/>
    </row>
    <row r="50" spans="1:8" x14ac:dyDescent="0.25">
      <c r="A50" s="538" t="s">
        <v>206</v>
      </c>
      <c r="B50" s="539">
        <v>1</v>
      </c>
      <c r="C50" s="540">
        <v>1530</v>
      </c>
      <c r="D50" s="541">
        <f>C50*0.03</f>
        <v>45.9</v>
      </c>
      <c r="E50" s="541"/>
      <c r="F50" s="542">
        <f>(C50+D50+E50)</f>
        <v>1575.9</v>
      </c>
      <c r="G50" s="493">
        <f>ROUND((C50+D50+E50)*('29_01_H_2020'!$F$10)*B50*12*1.2409,2)</f>
        <v>2346.64</v>
      </c>
      <c r="H50" s="95"/>
    </row>
    <row r="51" spans="1:8" x14ac:dyDescent="0.25">
      <c r="A51" s="538" t="s">
        <v>207</v>
      </c>
      <c r="B51" s="539">
        <v>1</v>
      </c>
      <c r="C51" s="540">
        <v>1302</v>
      </c>
      <c r="D51" s="541">
        <f>C51*0.03</f>
        <v>39.059999999999995</v>
      </c>
      <c r="E51" s="541"/>
      <c r="F51" s="542">
        <f>C51+D51+E51</f>
        <v>1341.06</v>
      </c>
      <c r="G51" s="493">
        <f>ROUND((C51+D51+E51)*('29_01_H_2020'!$F$10)*B51*12*1.2409,2)</f>
        <v>1996.95</v>
      </c>
      <c r="H51" s="95"/>
    </row>
    <row r="52" spans="1:8" x14ac:dyDescent="0.25">
      <c r="A52" s="538" t="s">
        <v>207</v>
      </c>
      <c r="B52" s="539">
        <v>10</v>
      </c>
      <c r="C52" s="540">
        <v>1426</v>
      </c>
      <c r="D52" s="541">
        <f t="shared" ref="D52:D90" si="2">C52*0.03</f>
        <v>42.78</v>
      </c>
      <c r="E52" s="541"/>
      <c r="F52" s="542">
        <f t="shared" ref="F52:F90" si="3">C52+D52+E52</f>
        <v>1468.78</v>
      </c>
      <c r="G52" s="493">
        <f>ROUND((C52+D52+E52)*('29_01_H_2020'!$F$10)*B52*12*1.2409,2)</f>
        <v>21871.31</v>
      </c>
      <c r="H52" s="95"/>
    </row>
    <row r="53" spans="1:8" x14ac:dyDescent="0.25">
      <c r="A53" s="538" t="s">
        <v>207</v>
      </c>
      <c r="B53" s="539">
        <v>4</v>
      </c>
      <c r="C53" s="540">
        <v>1516</v>
      </c>
      <c r="D53" s="541">
        <f t="shared" si="2"/>
        <v>45.48</v>
      </c>
      <c r="E53" s="541"/>
      <c r="F53" s="542">
        <f t="shared" si="3"/>
        <v>1561.48</v>
      </c>
      <c r="G53" s="493">
        <f>ROUND((C53+D53+E53)*('29_01_H_2020'!$F$10)*B53*12*1.2409,2)</f>
        <v>9300.67</v>
      </c>
      <c r="H53" s="95"/>
    </row>
    <row r="54" spans="1:8" x14ac:dyDescent="0.25">
      <c r="A54" s="538" t="s">
        <v>208</v>
      </c>
      <c r="B54" s="539">
        <v>1</v>
      </c>
      <c r="C54" s="540">
        <v>1240</v>
      </c>
      <c r="D54" s="541">
        <f t="shared" si="2"/>
        <v>37.199999999999996</v>
      </c>
      <c r="E54" s="541"/>
      <c r="F54" s="542">
        <f t="shared" si="3"/>
        <v>1277.2</v>
      </c>
      <c r="G54" s="493">
        <f>ROUND((C54+D54+E54)*('29_01_H_2020'!$F$10)*B54*12*1.2409,2)</f>
        <v>1901.85</v>
      </c>
      <c r="H54" s="95"/>
    </row>
    <row r="55" spans="1:8" x14ac:dyDescent="0.25">
      <c r="A55" s="538" t="s">
        <v>208</v>
      </c>
      <c r="B55" s="539">
        <v>8</v>
      </c>
      <c r="C55" s="540">
        <v>1318</v>
      </c>
      <c r="D55" s="541">
        <f t="shared" si="2"/>
        <v>39.54</v>
      </c>
      <c r="E55" s="541"/>
      <c r="F55" s="542">
        <f t="shared" si="3"/>
        <v>1357.54</v>
      </c>
      <c r="G55" s="493">
        <f>ROUND((C55+D55+E55)*('29_01_H_2020'!$F$10)*B55*12*1.2409,2)</f>
        <v>16171.89</v>
      </c>
      <c r="H55" s="95"/>
    </row>
    <row r="56" spans="1:8" x14ac:dyDescent="0.25">
      <c r="A56" s="538" t="s">
        <v>208</v>
      </c>
      <c r="B56" s="539">
        <v>6.25</v>
      </c>
      <c r="C56" s="540">
        <v>1349</v>
      </c>
      <c r="D56" s="541">
        <f t="shared" si="2"/>
        <v>40.47</v>
      </c>
      <c r="E56" s="541"/>
      <c r="F56" s="542">
        <f t="shared" si="3"/>
        <v>1389.47</v>
      </c>
      <c r="G56" s="493">
        <f>ROUND((C56+D56+E56)*('29_01_H_2020'!$F$10)*B56*12*1.2409,2)</f>
        <v>12931.45</v>
      </c>
      <c r="H56" s="95"/>
    </row>
    <row r="57" spans="1:8" x14ac:dyDescent="0.25">
      <c r="A57" s="538" t="s">
        <v>209</v>
      </c>
      <c r="B57" s="539">
        <v>5</v>
      </c>
      <c r="C57" s="540">
        <v>1544</v>
      </c>
      <c r="D57" s="541">
        <f t="shared" si="2"/>
        <v>46.32</v>
      </c>
      <c r="E57" s="541"/>
      <c r="F57" s="542">
        <f t="shared" si="3"/>
        <v>1590.32</v>
      </c>
      <c r="G57" s="493">
        <f>ROUND((C57+D57+E57)*('29_01_H_2020'!$F$10)*B57*12*1.2409,2)</f>
        <v>11840.57</v>
      </c>
      <c r="H57" s="95"/>
    </row>
    <row r="58" spans="1:8" x14ac:dyDescent="0.25">
      <c r="A58" s="538" t="s">
        <v>210</v>
      </c>
      <c r="B58" s="539">
        <v>1</v>
      </c>
      <c r="C58" s="540">
        <v>1349</v>
      </c>
      <c r="D58" s="541">
        <f t="shared" si="2"/>
        <v>40.47</v>
      </c>
      <c r="E58" s="541"/>
      <c r="F58" s="542">
        <f t="shared" si="3"/>
        <v>1389.47</v>
      </c>
      <c r="G58" s="493">
        <f>ROUND((C58+D58+E58)*('29_01_H_2020'!$F$10)*B58*12*1.2409,2)</f>
        <v>2069.0300000000002</v>
      </c>
      <c r="H58" s="95"/>
    </row>
    <row r="59" spans="1:8" x14ac:dyDescent="0.25">
      <c r="A59" s="538" t="s">
        <v>211</v>
      </c>
      <c r="B59" s="539">
        <v>25.5</v>
      </c>
      <c r="C59" s="540">
        <v>1175</v>
      </c>
      <c r="D59" s="541">
        <f t="shared" si="2"/>
        <v>35.25</v>
      </c>
      <c r="E59" s="541">
        <f>C59*0.16</f>
        <v>188</v>
      </c>
      <c r="F59" s="542">
        <f t="shared" si="3"/>
        <v>1398.25</v>
      </c>
      <c r="G59" s="493">
        <f>ROUND((C59+D59+E59)*('29_01_H_2020'!$F$10)*B59*12*1.2409,2)</f>
        <v>53093.71</v>
      </c>
      <c r="H59" s="95"/>
    </row>
    <row r="60" spans="1:8" x14ac:dyDescent="0.25">
      <c r="A60" s="543" t="s">
        <v>212</v>
      </c>
      <c r="B60" s="544">
        <f>604.5+38</f>
        <v>642.5</v>
      </c>
      <c r="C60" s="541">
        <v>920</v>
      </c>
      <c r="D60" s="541">
        <f t="shared" si="2"/>
        <v>27.599999999999998</v>
      </c>
      <c r="E60" s="541">
        <f>C60*0.4075</f>
        <v>374.9</v>
      </c>
      <c r="F60" s="542">
        <f t="shared" si="3"/>
        <v>1322.5</v>
      </c>
      <c r="G60" s="493">
        <f>ROUND((C60+D60+E60)*('29_01_H_2020'!$F$10)*B60*12*1.2409,2)</f>
        <v>1265280.58</v>
      </c>
      <c r="H60" s="95"/>
    </row>
    <row r="61" spans="1:8" ht="25.5" x14ac:dyDescent="0.25">
      <c r="A61" s="543" t="s">
        <v>213</v>
      </c>
      <c r="B61" s="544">
        <v>63</v>
      </c>
      <c r="C61" s="541">
        <v>828</v>
      </c>
      <c r="D61" s="541">
        <f t="shared" si="2"/>
        <v>24.84</v>
      </c>
      <c r="E61" s="541">
        <f t="shared" ref="E61:E67" si="4">C61*0.4075</f>
        <v>337.40999999999997</v>
      </c>
      <c r="F61" s="542">
        <f t="shared" si="3"/>
        <v>1190.25</v>
      </c>
      <c r="G61" s="493">
        <f>ROUND((C61+D61+E61)*('29_01_H_2020'!$F$10)*B61*12*1.2409,2)</f>
        <v>111659.78</v>
      </c>
      <c r="H61" s="95"/>
    </row>
    <row r="62" spans="1:8" ht="25.5" x14ac:dyDescent="0.25">
      <c r="A62" s="543" t="s">
        <v>214</v>
      </c>
      <c r="B62" s="544">
        <v>41.5</v>
      </c>
      <c r="C62" s="541">
        <v>950</v>
      </c>
      <c r="D62" s="541">
        <f t="shared" si="2"/>
        <v>28.5</v>
      </c>
      <c r="E62" s="541">
        <f t="shared" si="4"/>
        <v>387.125</v>
      </c>
      <c r="F62" s="542">
        <f t="shared" si="3"/>
        <v>1365.625</v>
      </c>
      <c r="G62" s="493">
        <f>ROUND((C62+D62+E62)*('29_01_H_2020'!$F$10)*B62*12*1.2409,2)</f>
        <v>84391.28</v>
      </c>
      <c r="H62" s="95"/>
    </row>
    <row r="63" spans="1:8" ht="25.5" x14ac:dyDescent="0.25">
      <c r="A63" s="543" t="s">
        <v>215</v>
      </c>
      <c r="B63" s="544">
        <v>9</v>
      </c>
      <c r="C63" s="541">
        <v>950</v>
      </c>
      <c r="D63" s="541">
        <f t="shared" si="2"/>
        <v>28.5</v>
      </c>
      <c r="E63" s="541">
        <f t="shared" si="4"/>
        <v>387.125</v>
      </c>
      <c r="F63" s="542">
        <f t="shared" si="3"/>
        <v>1365.625</v>
      </c>
      <c r="G63" s="493">
        <f>ROUND((C63+D63+E63)*('29_01_H_2020'!$F$10)*B63*12*1.2409,2)</f>
        <v>18301.72</v>
      </c>
      <c r="H63" s="95"/>
    </row>
    <row r="64" spans="1:8" ht="25.5" x14ac:dyDescent="0.25">
      <c r="A64" s="543" t="s">
        <v>216</v>
      </c>
      <c r="B64" s="544">
        <v>2</v>
      </c>
      <c r="C64" s="541">
        <v>950</v>
      </c>
      <c r="D64" s="541">
        <f t="shared" si="2"/>
        <v>28.5</v>
      </c>
      <c r="E64" s="541">
        <f t="shared" si="4"/>
        <v>387.125</v>
      </c>
      <c r="F64" s="542">
        <f t="shared" si="3"/>
        <v>1365.625</v>
      </c>
      <c r="G64" s="493">
        <f>ROUND((C64+D64+E64)*('29_01_H_2020'!$F$10)*B64*12*1.2409,2)</f>
        <v>4067.05</v>
      </c>
      <c r="H64" s="95"/>
    </row>
    <row r="65" spans="1:8" ht="25.5" x14ac:dyDescent="0.25">
      <c r="A65" s="543" t="s">
        <v>217</v>
      </c>
      <c r="B65" s="544">
        <v>63</v>
      </c>
      <c r="C65" s="541">
        <v>920</v>
      </c>
      <c r="D65" s="541">
        <f t="shared" si="2"/>
        <v>27.599999999999998</v>
      </c>
      <c r="E65" s="541">
        <f t="shared" si="4"/>
        <v>374.9</v>
      </c>
      <c r="F65" s="542">
        <f t="shared" si="3"/>
        <v>1322.5</v>
      </c>
      <c r="G65" s="493">
        <f>ROUND((C65+D65+E65)*('29_01_H_2020'!$F$10)*B65*12*1.2409,2)</f>
        <v>124066.42</v>
      </c>
      <c r="H65" s="95"/>
    </row>
    <row r="66" spans="1:8" ht="25.5" x14ac:dyDescent="0.25">
      <c r="A66" s="543" t="s">
        <v>218</v>
      </c>
      <c r="B66" s="544">
        <v>9</v>
      </c>
      <c r="C66" s="541">
        <v>920</v>
      </c>
      <c r="D66" s="541">
        <f t="shared" si="2"/>
        <v>27.599999999999998</v>
      </c>
      <c r="E66" s="541">
        <f t="shared" si="4"/>
        <v>374.9</v>
      </c>
      <c r="F66" s="542">
        <f t="shared" si="3"/>
        <v>1322.5</v>
      </c>
      <c r="G66" s="493">
        <f>ROUND((C66+D66+E66)*('29_01_H_2020'!$F$10)*B66*12*1.2409,2)</f>
        <v>17723.77</v>
      </c>
      <c r="H66" s="95"/>
    </row>
    <row r="67" spans="1:8" ht="25.5" x14ac:dyDescent="0.25">
      <c r="A67" s="543" t="s">
        <v>219</v>
      </c>
      <c r="B67" s="544">
        <v>27</v>
      </c>
      <c r="C67" s="541">
        <v>1058</v>
      </c>
      <c r="D67" s="541">
        <f t="shared" si="2"/>
        <v>31.74</v>
      </c>
      <c r="E67" s="541">
        <f t="shared" si="4"/>
        <v>431.13499999999999</v>
      </c>
      <c r="F67" s="542">
        <f t="shared" si="3"/>
        <v>1520.875</v>
      </c>
      <c r="G67" s="493">
        <f>ROUND((C67+D67+E67)*('29_01_H_2020'!$F$10)*B67*12*1.2409,2)</f>
        <v>61147.02</v>
      </c>
      <c r="H67" s="95"/>
    </row>
    <row r="68" spans="1:8" x14ac:dyDescent="0.25">
      <c r="A68" s="543" t="s">
        <v>220</v>
      </c>
      <c r="B68" s="544">
        <v>4.5</v>
      </c>
      <c r="C68" s="541">
        <v>1280</v>
      </c>
      <c r="D68" s="541">
        <f t="shared" si="2"/>
        <v>38.4</v>
      </c>
      <c r="E68" s="541">
        <f>C68*0.2575</f>
        <v>329.6</v>
      </c>
      <c r="F68" s="542">
        <f t="shared" si="3"/>
        <v>1648</v>
      </c>
      <c r="G68" s="493">
        <f>ROUND((C68+D68+E68)*('29_01_H_2020'!$F$10)*B68*12*1.2409,2)</f>
        <v>11043.02</v>
      </c>
      <c r="H68" s="95"/>
    </row>
    <row r="69" spans="1:8" x14ac:dyDescent="0.25">
      <c r="A69" s="543" t="s">
        <v>221</v>
      </c>
      <c r="B69" s="544">
        <v>31.5</v>
      </c>
      <c r="C69" s="541">
        <v>1105</v>
      </c>
      <c r="D69" s="541">
        <f t="shared" si="2"/>
        <v>33.15</v>
      </c>
      <c r="E69" s="541">
        <f t="shared" ref="E69:E76" si="5">C69*0.2575</f>
        <v>284.53750000000002</v>
      </c>
      <c r="F69" s="542">
        <f t="shared" si="3"/>
        <v>1422.6875</v>
      </c>
      <c r="G69" s="493">
        <f>ROUND((C69+D69+E69)*('29_01_H_2020'!$F$10)*B69*12*1.2409,2)</f>
        <v>66732.61</v>
      </c>
      <c r="H69" s="95"/>
    </row>
    <row r="70" spans="1:8" x14ac:dyDescent="0.25">
      <c r="A70" s="545" t="s">
        <v>222</v>
      </c>
      <c r="B70" s="544">
        <v>9</v>
      </c>
      <c r="C70" s="541">
        <v>1060</v>
      </c>
      <c r="D70" s="541">
        <f t="shared" si="2"/>
        <v>31.799999999999997</v>
      </c>
      <c r="E70" s="541">
        <f t="shared" si="5"/>
        <v>272.95</v>
      </c>
      <c r="F70" s="542">
        <f t="shared" si="3"/>
        <v>1364.75</v>
      </c>
      <c r="G70" s="493">
        <f>ROUND((C70+D70+E70)*('29_01_H_2020'!$F$10)*B70*12*1.2409,2)</f>
        <v>18290</v>
      </c>
      <c r="H70" s="95"/>
    </row>
    <row r="71" spans="1:8" x14ac:dyDescent="0.25">
      <c r="A71" s="543" t="s">
        <v>223</v>
      </c>
      <c r="B71" s="544">
        <v>18</v>
      </c>
      <c r="C71" s="541">
        <v>851</v>
      </c>
      <c r="D71" s="541">
        <f t="shared" si="2"/>
        <v>25.529999999999998</v>
      </c>
      <c r="E71" s="541">
        <f t="shared" si="5"/>
        <v>219.13249999999999</v>
      </c>
      <c r="F71" s="542">
        <f t="shared" si="3"/>
        <v>1095.6624999999999</v>
      </c>
      <c r="G71" s="493">
        <f>ROUND((C71+D71+E71)*('29_01_H_2020'!$F$10)*B71*12*1.2409,2)</f>
        <v>29367.52</v>
      </c>
      <c r="H71" s="95"/>
    </row>
    <row r="72" spans="1:8" x14ac:dyDescent="0.25">
      <c r="A72" s="543" t="s">
        <v>224</v>
      </c>
      <c r="B72" s="544">
        <v>36</v>
      </c>
      <c r="C72" s="541">
        <v>696</v>
      </c>
      <c r="D72" s="541">
        <f t="shared" si="2"/>
        <v>20.88</v>
      </c>
      <c r="E72" s="541">
        <f t="shared" si="5"/>
        <v>179.22</v>
      </c>
      <c r="F72" s="542">
        <f t="shared" si="3"/>
        <v>896.1</v>
      </c>
      <c r="G72" s="493">
        <f>ROUND((C72+D72+E72)*('29_01_H_2020'!$F$10)*B72*12*1.2409,2)</f>
        <v>48037.13</v>
      </c>
      <c r="H72" s="95"/>
    </row>
    <row r="73" spans="1:8" x14ac:dyDescent="0.25">
      <c r="A73" s="543" t="s">
        <v>225</v>
      </c>
      <c r="B73" s="544">
        <v>34.5</v>
      </c>
      <c r="C73" s="541">
        <v>920</v>
      </c>
      <c r="D73" s="541">
        <f t="shared" si="2"/>
        <v>27.599999999999998</v>
      </c>
      <c r="E73" s="541">
        <f t="shared" si="5"/>
        <v>236.9</v>
      </c>
      <c r="F73" s="542">
        <f t="shared" si="3"/>
        <v>1184.5</v>
      </c>
      <c r="G73" s="493">
        <f>ROUND((C73+D73+E73)*('29_01_H_2020'!$F$10)*B73*12*1.2409,2)</f>
        <v>60851.63</v>
      </c>
      <c r="H73" s="95"/>
    </row>
    <row r="74" spans="1:8" ht="25.5" x14ac:dyDescent="0.25">
      <c r="A74" s="543" t="s">
        <v>226</v>
      </c>
      <c r="B74" s="544">
        <v>53</v>
      </c>
      <c r="C74" s="541">
        <v>1025</v>
      </c>
      <c r="D74" s="541">
        <f t="shared" si="2"/>
        <v>30.75</v>
      </c>
      <c r="E74" s="541">
        <f t="shared" si="5"/>
        <v>263.9375</v>
      </c>
      <c r="F74" s="542">
        <f t="shared" si="3"/>
        <v>1319.6875</v>
      </c>
      <c r="G74" s="493">
        <f>ROUND((C74+D74+E74)*('29_01_H_2020'!$F$10)*B74*12*1.2409,2)</f>
        <v>104151.37</v>
      </c>
      <c r="H74" s="95"/>
    </row>
    <row r="75" spans="1:8" ht="25.5" x14ac:dyDescent="0.25">
      <c r="A75" s="543" t="s">
        <v>227</v>
      </c>
      <c r="B75" s="544">
        <v>14.5</v>
      </c>
      <c r="C75" s="541">
        <v>1025</v>
      </c>
      <c r="D75" s="541">
        <f t="shared" si="2"/>
        <v>30.75</v>
      </c>
      <c r="E75" s="541">
        <f t="shared" si="5"/>
        <v>263.9375</v>
      </c>
      <c r="F75" s="542">
        <f t="shared" si="3"/>
        <v>1319.6875</v>
      </c>
      <c r="G75" s="493">
        <f>ROUND((C75+D75+E75)*('29_01_H_2020'!$F$10)*B75*12*1.2409,2)</f>
        <v>28494.240000000002</v>
      </c>
      <c r="H75" s="95"/>
    </row>
    <row r="76" spans="1:8" x14ac:dyDescent="0.25">
      <c r="A76" s="543" t="s">
        <v>228</v>
      </c>
      <c r="B76" s="544">
        <v>10</v>
      </c>
      <c r="C76" s="541">
        <v>1105</v>
      </c>
      <c r="D76" s="541">
        <f t="shared" si="2"/>
        <v>33.15</v>
      </c>
      <c r="E76" s="541">
        <f t="shared" si="5"/>
        <v>284.53750000000002</v>
      </c>
      <c r="F76" s="542">
        <f t="shared" si="3"/>
        <v>1422.6875</v>
      </c>
      <c r="G76" s="493">
        <f>ROUND((C76+D76+E76)*('29_01_H_2020'!$F$10)*B76*12*1.2409,2)</f>
        <v>21184.959999999999</v>
      </c>
      <c r="H76" s="95"/>
    </row>
    <row r="77" spans="1:8" x14ac:dyDescent="0.25">
      <c r="A77" s="543" t="s">
        <v>229</v>
      </c>
      <c r="B77" s="544">
        <v>1</v>
      </c>
      <c r="C77" s="541">
        <v>1426</v>
      </c>
      <c r="D77" s="541">
        <f t="shared" si="2"/>
        <v>42.78</v>
      </c>
      <c r="E77" s="541"/>
      <c r="F77" s="542">
        <f t="shared" si="3"/>
        <v>1468.78</v>
      </c>
      <c r="G77" s="493">
        <f>ROUND((C77+D77+E77)*('29_01_H_2020'!$F$10)*B77*12*1.2409,2)</f>
        <v>2187.13</v>
      </c>
      <c r="H77" s="95"/>
    </row>
    <row r="78" spans="1:8" x14ac:dyDescent="0.25">
      <c r="A78" s="543" t="s">
        <v>230</v>
      </c>
      <c r="B78" s="544">
        <v>10</v>
      </c>
      <c r="C78" s="541">
        <v>920</v>
      </c>
      <c r="D78" s="541">
        <f t="shared" si="2"/>
        <v>27.599999999999998</v>
      </c>
      <c r="E78" s="541">
        <f>C78*0.4275</f>
        <v>393.3</v>
      </c>
      <c r="F78" s="542">
        <f t="shared" si="3"/>
        <v>1340.9</v>
      </c>
      <c r="G78" s="493">
        <f>ROUND((C78+D78+E78)*('29_01_H_2020'!$F$10)*B78*12*1.2409,2)</f>
        <v>19967.07</v>
      </c>
      <c r="H78" s="95"/>
    </row>
    <row r="79" spans="1:8" x14ac:dyDescent="0.25">
      <c r="A79" s="546" t="s">
        <v>231</v>
      </c>
      <c r="B79" s="441">
        <v>1</v>
      </c>
      <c r="C79" s="541">
        <v>920</v>
      </c>
      <c r="D79" s="541">
        <f t="shared" si="2"/>
        <v>27.599999999999998</v>
      </c>
      <c r="E79" s="541">
        <f>C79*0.4275</f>
        <v>393.3</v>
      </c>
      <c r="F79" s="542">
        <f t="shared" si="3"/>
        <v>1340.9</v>
      </c>
      <c r="G79" s="493">
        <f>ROUND((C79+D79+E79)*('29_01_H_2020'!$F$10)*B79*12*1.2409,2)</f>
        <v>1996.71</v>
      </c>
      <c r="H79" s="95"/>
    </row>
    <row r="80" spans="1:8" x14ac:dyDescent="0.25">
      <c r="A80" s="546" t="s">
        <v>232</v>
      </c>
      <c r="B80" s="441">
        <v>5</v>
      </c>
      <c r="C80" s="541">
        <v>920</v>
      </c>
      <c r="D80" s="541">
        <f t="shared" si="2"/>
        <v>27.599999999999998</v>
      </c>
      <c r="E80" s="541">
        <f>C80*0.4275</f>
        <v>393.3</v>
      </c>
      <c r="F80" s="542">
        <f t="shared" si="3"/>
        <v>1340.9</v>
      </c>
      <c r="G80" s="493">
        <f>ROUND((C80+D80+E80)*('29_01_H_2020'!$F$10)*B80*12*1.2409,2)</f>
        <v>9983.5400000000009</v>
      </c>
      <c r="H80" s="95"/>
    </row>
    <row r="81" spans="1:8" x14ac:dyDescent="0.25">
      <c r="A81" s="546" t="s">
        <v>233</v>
      </c>
      <c r="B81" s="441">
        <v>9.5</v>
      </c>
      <c r="C81" s="541">
        <v>920</v>
      </c>
      <c r="D81" s="541">
        <f t="shared" si="2"/>
        <v>27.599999999999998</v>
      </c>
      <c r="E81" s="541">
        <f>C81*0.4275</f>
        <v>393.3</v>
      </c>
      <c r="F81" s="542">
        <f t="shared" si="3"/>
        <v>1340.9</v>
      </c>
      <c r="G81" s="493">
        <f>ROUND((C81+D81+E81)*('29_01_H_2020'!$F$10)*B81*12*1.2409,2)</f>
        <v>18968.72</v>
      </c>
      <c r="H81" s="95"/>
    </row>
    <row r="82" spans="1:8" x14ac:dyDescent="0.25">
      <c r="A82" s="546" t="s">
        <v>234</v>
      </c>
      <c r="B82" s="441">
        <v>2</v>
      </c>
      <c r="C82" s="541">
        <v>920</v>
      </c>
      <c r="D82" s="541">
        <f t="shared" si="2"/>
        <v>27.599999999999998</v>
      </c>
      <c r="E82" s="541">
        <f>C82*0.4275</f>
        <v>393.3</v>
      </c>
      <c r="F82" s="542">
        <f t="shared" si="3"/>
        <v>1340.9</v>
      </c>
      <c r="G82" s="493">
        <f>ROUND((C82+D82+E82)*('29_01_H_2020'!$F$10)*B82*12*1.2409,2)</f>
        <v>3993.41</v>
      </c>
      <c r="H82" s="95"/>
    </row>
    <row r="83" spans="1:8" x14ac:dyDescent="0.25">
      <c r="A83" s="547" t="s">
        <v>235</v>
      </c>
      <c r="B83" s="441">
        <v>6.25</v>
      </c>
      <c r="C83" s="541">
        <v>983</v>
      </c>
      <c r="D83" s="541">
        <f t="shared" si="2"/>
        <v>29.49</v>
      </c>
      <c r="E83" s="548"/>
      <c r="F83" s="542">
        <f t="shared" si="3"/>
        <v>1012.49</v>
      </c>
      <c r="G83" s="493">
        <f>ROUND((C83+D83+E83)*('29_01_H_2020'!$F$10)*B83*12*1.2409,2)</f>
        <v>9422.99</v>
      </c>
      <c r="H83" s="95"/>
    </row>
    <row r="84" spans="1:8" x14ac:dyDescent="0.25">
      <c r="A84" s="547" t="s">
        <v>236</v>
      </c>
      <c r="B84" s="441">
        <v>1</v>
      </c>
      <c r="C84" s="541">
        <v>1205</v>
      </c>
      <c r="D84" s="541">
        <f t="shared" si="2"/>
        <v>36.15</v>
      </c>
      <c r="E84" s="548"/>
      <c r="F84" s="542">
        <f t="shared" si="3"/>
        <v>1241.1500000000001</v>
      </c>
      <c r="G84" s="493">
        <f>ROUND((C84+D84+E84)*('29_01_H_2020'!$F$10)*B84*12*1.2409,2)</f>
        <v>1848.17</v>
      </c>
      <c r="H84" s="95"/>
    </row>
    <row r="85" spans="1:8" ht="25.5" x14ac:dyDescent="0.25">
      <c r="A85" s="543" t="s">
        <v>237</v>
      </c>
      <c r="B85" s="544">
        <v>3</v>
      </c>
      <c r="C85" s="541">
        <v>1000</v>
      </c>
      <c r="D85" s="541">
        <f t="shared" si="2"/>
        <v>30</v>
      </c>
      <c r="E85" s="541"/>
      <c r="F85" s="542">
        <f t="shared" si="3"/>
        <v>1030</v>
      </c>
      <c r="G85" s="493">
        <f>ROUND((C85+D85+E85)*('29_01_H_2020'!$F$10)*B85*12*1.2409,2)</f>
        <v>4601.26</v>
      </c>
      <c r="H85" s="95"/>
    </row>
    <row r="86" spans="1:8" ht="25.5" x14ac:dyDescent="0.25">
      <c r="A86" s="543" t="s">
        <v>238</v>
      </c>
      <c r="B86" s="544">
        <v>1</v>
      </c>
      <c r="C86" s="541">
        <v>1114</v>
      </c>
      <c r="D86" s="541">
        <f t="shared" si="2"/>
        <v>33.42</v>
      </c>
      <c r="E86" s="541"/>
      <c r="F86" s="542">
        <f t="shared" si="3"/>
        <v>1147.42</v>
      </c>
      <c r="G86" s="493">
        <f>ROUND((C86+D86+E86)*('29_01_H_2020'!$F$10)*B86*12*1.2409,2)</f>
        <v>1708.6</v>
      </c>
      <c r="H86" s="95"/>
    </row>
    <row r="87" spans="1:8" ht="25.5" x14ac:dyDescent="0.25">
      <c r="A87" s="543" t="s">
        <v>239</v>
      </c>
      <c r="B87" s="544">
        <v>1</v>
      </c>
      <c r="C87" s="541">
        <v>1240</v>
      </c>
      <c r="D87" s="541">
        <f t="shared" si="2"/>
        <v>37.199999999999996</v>
      </c>
      <c r="E87" s="541"/>
      <c r="F87" s="542">
        <f t="shared" si="3"/>
        <v>1277.2</v>
      </c>
      <c r="G87" s="493">
        <f>ROUND((C87+D87+E87)*('29_01_H_2020'!$F$10)*B87*12*1.2409,2)</f>
        <v>1901.85</v>
      </c>
      <c r="H87" s="95"/>
    </row>
    <row r="88" spans="1:8" ht="25.5" x14ac:dyDescent="0.25">
      <c r="A88" s="543" t="s">
        <v>240</v>
      </c>
      <c r="B88" s="544">
        <v>0.5</v>
      </c>
      <c r="C88" s="541">
        <v>1100</v>
      </c>
      <c r="D88" s="541">
        <f t="shared" si="2"/>
        <v>33</v>
      </c>
      <c r="E88" s="541"/>
      <c r="F88" s="542">
        <f t="shared" si="3"/>
        <v>1133</v>
      </c>
      <c r="G88" s="493">
        <f>ROUND((C88+D88+E88)*('29_01_H_2020'!$F$10)*B88*12*1.2409,2)</f>
        <v>843.56</v>
      </c>
      <c r="H88" s="95"/>
    </row>
    <row r="89" spans="1:8" ht="25.5" x14ac:dyDescent="0.25">
      <c r="A89" s="543" t="s">
        <v>241</v>
      </c>
      <c r="B89" s="544">
        <v>4</v>
      </c>
      <c r="C89" s="541">
        <v>1138</v>
      </c>
      <c r="D89" s="541">
        <f t="shared" si="2"/>
        <v>34.14</v>
      </c>
      <c r="E89" s="541"/>
      <c r="F89" s="542">
        <f t="shared" si="3"/>
        <v>1172.1400000000001</v>
      </c>
      <c r="G89" s="493">
        <f>ROUND((C89+D89+E89)*('29_01_H_2020'!$F$10)*B89*12*1.2409,2)</f>
        <v>6981.64</v>
      </c>
      <c r="H89" s="95"/>
    </row>
    <row r="90" spans="1:8" ht="25.5" x14ac:dyDescent="0.25">
      <c r="A90" s="543" t="s">
        <v>242</v>
      </c>
      <c r="B90" s="544">
        <v>3</v>
      </c>
      <c r="C90" s="541">
        <v>851</v>
      </c>
      <c r="D90" s="541">
        <f t="shared" si="2"/>
        <v>25.529999999999998</v>
      </c>
      <c r="E90" s="541"/>
      <c r="F90" s="542">
        <f t="shared" si="3"/>
        <v>876.53</v>
      </c>
      <c r="G90" s="493">
        <f>ROUND((C90+D90+E90)*('29_01_H_2020'!$F$10)*B90*12*1.2409,2)</f>
        <v>3915.67</v>
      </c>
      <c r="H90" s="95"/>
    </row>
    <row r="91" spans="1:8" ht="51" x14ac:dyDescent="0.25">
      <c r="A91" s="37" t="s">
        <v>260</v>
      </c>
      <c r="B91" s="44" t="s">
        <v>52</v>
      </c>
      <c r="C91" s="34" t="s">
        <v>52</v>
      </c>
      <c r="D91" s="34" t="s">
        <v>52</v>
      </c>
      <c r="E91" s="34" t="s">
        <v>52</v>
      </c>
      <c r="F91" s="448" t="s">
        <v>52</v>
      </c>
      <c r="G91" s="455"/>
    </row>
    <row r="92" spans="1:8" x14ac:dyDescent="0.25">
      <c r="A92" s="45" t="s">
        <v>244</v>
      </c>
      <c r="B92" s="41"/>
      <c r="C92" s="42"/>
      <c r="D92" s="42"/>
      <c r="E92" s="42"/>
      <c r="F92" s="449"/>
      <c r="G92" s="454"/>
    </row>
    <row r="93" spans="1:8" x14ac:dyDescent="0.25">
      <c r="A93" s="37" t="s">
        <v>261</v>
      </c>
      <c r="B93" s="35"/>
      <c r="C93" s="32"/>
      <c r="D93" s="32"/>
      <c r="E93" s="32"/>
      <c r="F93" s="450"/>
      <c r="G93" s="455"/>
    </row>
    <row r="94" spans="1:8" x14ac:dyDescent="0.25">
      <c r="A94" s="23" t="s">
        <v>245</v>
      </c>
      <c r="B94" s="54">
        <v>2</v>
      </c>
      <c r="C94" s="357">
        <v>1505</v>
      </c>
      <c r="D94" s="357">
        <f>C94*0.03</f>
        <v>45.15</v>
      </c>
      <c r="E94" s="357">
        <f>C94*0.2575</f>
        <v>387.53750000000002</v>
      </c>
      <c r="F94" s="405">
        <f>C94+D94+E94</f>
        <v>1937.6875</v>
      </c>
      <c r="G94" s="493">
        <f>ROUND((C94+D94+E94)*('29_01_H_2020'!$F$14)*B94*12*1.2409,2)</f>
        <v>5770.74</v>
      </c>
      <c r="H94" s="95"/>
    </row>
    <row r="95" spans="1:8" x14ac:dyDescent="0.25">
      <c r="A95" s="24" t="s">
        <v>246</v>
      </c>
      <c r="B95" s="54">
        <v>18</v>
      </c>
      <c r="C95" s="357">
        <v>1135</v>
      </c>
      <c r="D95" s="357">
        <f>C95*0.03</f>
        <v>34.049999999999997</v>
      </c>
      <c r="E95" s="357">
        <f>C95*0.4075</f>
        <v>462.51249999999999</v>
      </c>
      <c r="F95" s="405">
        <f>C95+D95+E95</f>
        <v>1631.5625</v>
      </c>
      <c r="G95" s="493">
        <f>ROUND((C95+D95+E95)*('29_01_H_2020'!$F$14)*B95*12*1.2409,2)</f>
        <v>43731.49</v>
      </c>
      <c r="H95" s="95"/>
    </row>
    <row r="96" spans="1:8" ht="38.25" x14ac:dyDescent="0.25">
      <c r="A96" s="37" t="s">
        <v>262</v>
      </c>
      <c r="B96" s="35"/>
      <c r="C96" s="32"/>
      <c r="D96" s="32"/>
      <c r="E96" s="32"/>
      <c r="F96" s="36"/>
      <c r="G96" s="455"/>
    </row>
    <row r="97" spans="1:8" ht="25.5" x14ac:dyDescent="0.25">
      <c r="A97" s="543" t="s">
        <v>247</v>
      </c>
      <c r="B97" s="336">
        <f>62-18</f>
        <v>44</v>
      </c>
      <c r="C97" s="71">
        <v>920</v>
      </c>
      <c r="D97" s="71">
        <f>C97*0.03</f>
        <v>27.599999999999998</v>
      </c>
      <c r="E97" s="71">
        <f>C97*0.4075</f>
        <v>374.9</v>
      </c>
      <c r="F97" s="403">
        <f>C97+D97+E97</f>
        <v>1322.5</v>
      </c>
      <c r="G97" s="493">
        <f>ROUND((C97+D97+E97)*('29_01_H_2020'!$F$10)*B97*12*1.2409,2)</f>
        <v>86649.57</v>
      </c>
      <c r="H97" s="95"/>
    </row>
    <row r="98" spans="1:8" ht="38.25" x14ac:dyDescent="0.25">
      <c r="A98" s="37" t="s">
        <v>263</v>
      </c>
      <c r="B98" s="35"/>
      <c r="C98" s="34"/>
      <c r="D98" s="34"/>
      <c r="E98" s="34"/>
      <c r="F98" s="448"/>
      <c r="G98" s="455"/>
    </row>
    <row r="99" spans="1:8" x14ac:dyDescent="0.25">
      <c r="A99" s="543" t="s">
        <v>248</v>
      </c>
      <c r="B99" s="335">
        <f>615.25-13.5-18-49</f>
        <v>534.75</v>
      </c>
      <c r="C99" s="71">
        <v>670</v>
      </c>
      <c r="D99" s="71">
        <f>C99*0.03</f>
        <v>20.099999999999998</v>
      </c>
      <c r="E99" s="71">
        <f>C99*0.4075</f>
        <v>273.02499999999998</v>
      </c>
      <c r="F99" s="403">
        <f>C99+D99+E99</f>
        <v>963.125</v>
      </c>
      <c r="G99" s="493">
        <f>ROUND((C99+D99+E99)*('29_01_H_2020'!$F$10)*B99*12*1.2409,2)</f>
        <v>766922.5</v>
      </c>
      <c r="H99" s="95"/>
    </row>
    <row r="100" spans="1:8" ht="25.5" x14ac:dyDescent="0.25">
      <c r="A100" s="543" t="s">
        <v>249</v>
      </c>
      <c r="B100" s="335">
        <v>32</v>
      </c>
      <c r="C100" s="71">
        <v>650</v>
      </c>
      <c r="D100" s="71">
        <f>C100*0.03</f>
        <v>19.5</v>
      </c>
      <c r="E100" s="71">
        <f>C100*0.4075</f>
        <v>264.875</v>
      </c>
      <c r="F100" s="403">
        <f>C100+D100+E100</f>
        <v>934.375</v>
      </c>
      <c r="G100" s="493">
        <f>ROUND((C100+D100+E100)*('29_01_H_2020'!$F$10)*B100*12*1.2409,2)</f>
        <v>44523.49</v>
      </c>
      <c r="H100" s="95"/>
    </row>
    <row r="101" spans="1:8" ht="25.5" x14ac:dyDescent="0.25">
      <c r="A101" s="543" t="s">
        <v>250</v>
      </c>
      <c r="B101" s="335">
        <v>25.5</v>
      </c>
      <c r="C101" s="71">
        <v>835</v>
      </c>
      <c r="D101" s="71">
        <f>C101*0.03</f>
        <v>25.05</v>
      </c>
      <c r="E101" s="71">
        <f>C101*0.4075</f>
        <v>340.26249999999999</v>
      </c>
      <c r="F101" s="403">
        <f>C101+D101+E101</f>
        <v>1200.3125</v>
      </c>
      <c r="G101" s="493">
        <f>ROUND((C101+D101+E101)*('29_01_H_2020'!$F$10)*B101*12*1.2409,2)</f>
        <v>45577.71</v>
      </c>
      <c r="H101" s="95"/>
    </row>
    <row r="102" spans="1:8" ht="51" x14ac:dyDescent="0.25">
      <c r="A102" s="37" t="s">
        <v>264</v>
      </c>
      <c r="B102" s="44" t="s">
        <v>52</v>
      </c>
      <c r="C102" s="34" t="s">
        <v>52</v>
      </c>
      <c r="D102" s="34" t="s">
        <v>52</v>
      </c>
      <c r="E102" s="34" t="s">
        <v>52</v>
      </c>
      <c r="F102" s="448" t="s">
        <v>52</v>
      </c>
      <c r="G102" s="455"/>
    </row>
    <row r="103" spans="1:8" ht="25.5" x14ac:dyDescent="0.25">
      <c r="A103" s="37" t="s">
        <v>265</v>
      </c>
      <c r="B103" s="44" t="s">
        <v>52</v>
      </c>
      <c r="C103" s="34" t="s">
        <v>52</v>
      </c>
      <c r="D103" s="34" t="s">
        <v>52</v>
      </c>
      <c r="E103" s="34" t="s">
        <v>52</v>
      </c>
      <c r="F103" s="448" t="s">
        <v>52</v>
      </c>
      <c r="G103" s="455"/>
    </row>
    <row r="104" spans="1:8" x14ac:dyDescent="0.25">
      <c r="A104" s="45" t="s">
        <v>252</v>
      </c>
      <c r="B104" s="41"/>
      <c r="C104" s="42"/>
      <c r="D104" s="42"/>
      <c r="E104" s="42"/>
      <c r="F104" s="449"/>
      <c r="G104" s="454"/>
    </row>
    <row r="105" spans="1:8" x14ac:dyDescent="0.25">
      <c r="A105" s="37" t="s">
        <v>266</v>
      </c>
      <c r="B105" s="35"/>
      <c r="C105" s="36"/>
      <c r="D105" s="32"/>
      <c r="E105" s="32"/>
      <c r="F105" s="451"/>
      <c r="G105" s="455"/>
    </row>
    <row r="106" spans="1:8" x14ac:dyDescent="0.25">
      <c r="A106" s="25" t="s">
        <v>253</v>
      </c>
      <c r="B106" s="337">
        <v>732.5</v>
      </c>
      <c r="C106" s="73">
        <v>600</v>
      </c>
      <c r="D106" s="71">
        <f>C106*0.03</f>
        <v>18</v>
      </c>
      <c r="E106" s="71">
        <f>C106*0.4075</f>
        <v>244.49999999999997</v>
      </c>
      <c r="F106" s="403">
        <f>C106+D106+E106</f>
        <v>862.5</v>
      </c>
      <c r="G106" s="493">
        <f>ROUND((C106+D106+E106)*('29_01_H_2020'!$F$14)*B106*12*1.2409,2)</f>
        <v>940772.82</v>
      </c>
      <c r="H106" s="95"/>
    </row>
    <row r="107" spans="1:8" x14ac:dyDescent="0.25">
      <c r="A107" s="26" t="s">
        <v>254</v>
      </c>
      <c r="B107" s="337">
        <v>50</v>
      </c>
      <c r="C107" s="73">
        <v>650</v>
      </c>
      <c r="D107" s="71">
        <f>C107*0.03</f>
        <v>19.5</v>
      </c>
      <c r="E107" s="71">
        <f>C107*0.4075</f>
        <v>264.875</v>
      </c>
      <c r="F107" s="403">
        <f>C107+D107+E107</f>
        <v>934.375</v>
      </c>
      <c r="G107" s="493">
        <f>ROUND((C107+D107+E107)*('29_01_H_2020'!$F$14)*B107*12*1.2409,2)</f>
        <v>69567.960000000006</v>
      </c>
      <c r="H107" s="95"/>
    </row>
    <row r="108" spans="1:8" x14ac:dyDescent="0.25">
      <c r="A108" s="26" t="s">
        <v>255</v>
      </c>
      <c r="B108" s="337">
        <v>37</v>
      </c>
      <c r="C108" s="73">
        <v>650</v>
      </c>
      <c r="D108" s="71">
        <f>C108*0.03</f>
        <v>19.5</v>
      </c>
      <c r="E108" s="71">
        <f>C108*0.4075</f>
        <v>264.875</v>
      </c>
      <c r="F108" s="403">
        <f>C108+D108+E108</f>
        <v>934.375</v>
      </c>
      <c r="G108" s="493">
        <f>ROUND((C108+D108+E108)*('29_01_H_2020'!$F$14)*B108*12*1.2409,2)</f>
        <v>51480.29</v>
      </c>
      <c r="H108" s="95"/>
    </row>
    <row r="109" spans="1:8" x14ac:dyDescent="0.25">
      <c r="A109" s="26" t="s">
        <v>256</v>
      </c>
      <c r="B109" s="337">
        <v>16</v>
      </c>
      <c r="C109" s="73">
        <v>650</v>
      </c>
      <c r="D109" s="71">
        <f>C109*0.03</f>
        <v>19.5</v>
      </c>
      <c r="E109" s="71">
        <f>C109*0.4075</f>
        <v>264.875</v>
      </c>
      <c r="F109" s="403">
        <f>C109+D109+E109</f>
        <v>934.375</v>
      </c>
      <c r="G109" s="493">
        <f>ROUND((C109+D109+E109)*('29_01_H_2020'!$F$14)*B109*12*1.2409,2)</f>
        <v>22261.75</v>
      </c>
      <c r="H109" s="95"/>
    </row>
    <row r="110" spans="1:8" ht="15.75" thickBot="1" x14ac:dyDescent="0.3">
      <c r="A110" s="26" t="s">
        <v>257</v>
      </c>
      <c r="B110" s="337">
        <v>33.5</v>
      </c>
      <c r="C110" s="73">
        <v>630</v>
      </c>
      <c r="D110" s="71">
        <f>C110*0.03</f>
        <v>18.899999999999999</v>
      </c>
      <c r="E110" s="71">
        <f>C110*0.4275</f>
        <v>269.32499999999999</v>
      </c>
      <c r="F110" s="403">
        <f>C110+D110+E110</f>
        <v>918.22499999999991</v>
      </c>
      <c r="G110" s="493">
        <f>ROUND((C110+D110+E110)*('29_01_H_2020'!$F$14)*B110*12*1.2409,2)</f>
        <v>45804.9</v>
      </c>
      <c r="H110" s="95"/>
    </row>
    <row r="111" spans="1:8" ht="15.75" thickBot="1" x14ac:dyDescent="0.3">
      <c r="A111" s="338" t="s">
        <v>55</v>
      </c>
      <c r="B111" s="523">
        <f>SUM(B12:B47,B50:B90,B94:B95,B97,B99:B101,B106:B110)</f>
        <v>2968.25</v>
      </c>
      <c r="C111" s="339" t="s">
        <v>258</v>
      </c>
      <c r="D111" s="339" t="s">
        <v>258</v>
      </c>
      <c r="E111" s="339" t="s">
        <v>258</v>
      </c>
      <c r="F111" s="452"/>
      <c r="G111" s="456">
        <f>SUM(G12:G47,G50:G90,G94:G95,G97,G99:G101,G106:G110)</f>
        <v>5173395.03</v>
      </c>
    </row>
    <row r="112" spans="1:8" x14ac:dyDescent="0.25">
      <c r="A112" s="27"/>
      <c r="B112" s="28"/>
      <c r="C112" s="27"/>
      <c r="D112" s="27"/>
      <c r="E112" s="27"/>
      <c r="F112" s="29"/>
    </row>
    <row r="113" spans="1:12" ht="15" customHeight="1" x14ac:dyDescent="0.25">
      <c r="A113" s="457"/>
      <c r="B113" s="457"/>
      <c r="C113" s="457"/>
      <c r="D113" s="457"/>
      <c r="E113" s="457"/>
      <c r="F113" s="457"/>
      <c r="H113" s="109"/>
      <c r="J113" s="109"/>
      <c r="L113" s="109"/>
    </row>
    <row r="114" spans="1:12" x14ac:dyDescent="0.25">
      <c r="A114" s="457"/>
      <c r="B114" s="457"/>
      <c r="C114" s="457"/>
      <c r="D114" s="457"/>
      <c r="E114" s="457"/>
      <c r="F114" s="457"/>
      <c r="J114" s="96"/>
      <c r="L114" s="96"/>
    </row>
    <row r="115" spans="1:12" x14ac:dyDescent="0.25">
      <c r="A115" s="457"/>
      <c r="B115" s="457"/>
      <c r="C115" s="457"/>
      <c r="D115" s="457"/>
      <c r="E115" s="457"/>
      <c r="F115" s="457"/>
    </row>
  </sheetData>
  <mergeCells count="11">
    <mergeCell ref="G6:G7"/>
    <mergeCell ref="A5:G5"/>
    <mergeCell ref="A8:F8"/>
    <mergeCell ref="A9:F9"/>
    <mergeCell ref="A2:F3"/>
    <mergeCell ref="A6:A7"/>
    <mergeCell ref="B6:B7"/>
    <mergeCell ref="C6:C7"/>
    <mergeCell ref="D6:D7"/>
    <mergeCell ref="E6:E7"/>
    <mergeCell ref="F6:F7"/>
  </mergeCells>
  <pageMargins left="0.25" right="0.25" top="0.75" bottom="0.75" header="0.3" footer="0.3"/>
  <pageSetup paperSize="9" scale="5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sheetPr>
  <dimension ref="A1:M566"/>
  <sheetViews>
    <sheetView zoomScale="90" zoomScaleNormal="90" workbookViewId="0">
      <pane xSplit="1" ySplit="6" topLeftCell="B160" activePane="bottomRight" state="frozen"/>
      <selection activeCell="V212" sqref="V212"/>
      <selection pane="topRight" activeCell="V212" sqref="V212"/>
      <selection pane="bottomLeft" activeCell="V212" sqref="V212"/>
      <selection pane="bottomRight" activeCell="P170" sqref="P170"/>
    </sheetView>
  </sheetViews>
  <sheetFormatPr defaultRowHeight="15" x14ac:dyDescent="0.25"/>
  <cols>
    <col min="1" max="1" width="43" style="114" customWidth="1"/>
    <col min="2" max="2" width="11.28515625" style="114" customWidth="1"/>
    <col min="3" max="3" width="11.5703125" style="114" customWidth="1"/>
    <col min="4" max="4" width="10.28515625" style="114" customWidth="1"/>
    <col min="5" max="5" width="11.85546875" style="158" customWidth="1"/>
    <col min="6" max="6" width="10" style="114" customWidth="1"/>
    <col min="7" max="8" width="13.42578125" style="114" bestFit="1" customWidth="1"/>
    <col min="9" max="9" width="0" style="114" hidden="1" customWidth="1"/>
    <col min="10" max="10" width="9.140625" style="114"/>
    <col min="11" max="11" width="9.5703125" style="114" bestFit="1" customWidth="1"/>
    <col min="12" max="16384" width="9.140625" style="114"/>
  </cols>
  <sheetData>
    <row r="1" spans="1:13" ht="21" customHeight="1" x14ac:dyDescent="0.3">
      <c r="A1" s="112"/>
      <c r="B1" s="113"/>
      <c r="C1" s="113"/>
      <c r="D1" s="934"/>
      <c r="E1" s="934"/>
      <c r="G1" s="114" t="s">
        <v>613</v>
      </c>
      <c r="I1" s="112"/>
      <c r="J1" s="112"/>
      <c r="K1" s="112"/>
    </row>
    <row r="2" spans="1:13" s="115" customFormat="1" ht="53.25" customHeight="1" x14ac:dyDescent="0.25">
      <c r="A2" s="1001" t="s">
        <v>607</v>
      </c>
      <c r="B2" s="1001"/>
      <c r="C2" s="1001"/>
      <c r="D2" s="1001"/>
      <c r="E2" s="1001"/>
      <c r="F2" s="1001"/>
      <c r="G2" s="1001"/>
      <c r="H2" s="1001"/>
    </row>
    <row r="3" spans="1:13" s="115" customFormat="1" ht="16.5" thickBot="1" x14ac:dyDescent="0.3">
      <c r="A3" s="299"/>
      <c r="B3" s="299"/>
      <c r="C3" s="299"/>
      <c r="D3" s="299"/>
      <c r="E3" s="299"/>
      <c r="F3" s="404"/>
      <c r="G3" s="404"/>
      <c r="H3" s="460" t="s">
        <v>605</v>
      </c>
    </row>
    <row r="4" spans="1:13" s="116" customFormat="1" ht="16.5" customHeight="1" x14ac:dyDescent="0.25">
      <c r="A4" s="1002" t="s">
        <v>0</v>
      </c>
      <c r="B4" s="1002"/>
      <c r="C4" s="1002"/>
      <c r="D4" s="1002"/>
      <c r="E4" s="1003"/>
      <c r="F4" s="1004" t="s">
        <v>397</v>
      </c>
      <c r="G4" s="1005"/>
      <c r="H4" s="1006"/>
    </row>
    <row r="5" spans="1:13" s="117" customFormat="1" ht="36.75" customHeight="1" x14ac:dyDescent="0.25">
      <c r="A5" s="1007" t="s">
        <v>163</v>
      </c>
      <c r="B5" s="1007" t="s">
        <v>164</v>
      </c>
      <c r="C5" s="1007" t="s">
        <v>398</v>
      </c>
      <c r="D5" s="1007" t="s">
        <v>399</v>
      </c>
      <c r="E5" s="1008" t="s">
        <v>400</v>
      </c>
      <c r="F5" s="1009" t="s">
        <v>639</v>
      </c>
      <c r="G5" s="1007" t="s">
        <v>401</v>
      </c>
      <c r="H5" s="1010" t="s">
        <v>402</v>
      </c>
    </row>
    <row r="6" spans="1:13" s="117" customFormat="1" ht="36" customHeight="1" x14ac:dyDescent="0.25">
      <c r="A6" s="1007"/>
      <c r="B6" s="1007"/>
      <c r="C6" s="1007"/>
      <c r="D6" s="1007"/>
      <c r="E6" s="1008"/>
      <c r="F6" s="1009"/>
      <c r="G6" s="1007"/>
      <c r="H6" s="1010"/>
    </row>
    <row r="7" spans="1:13" s="117" customFormat="1" ht="12" customHeight="1" x14ac:dyDescent="0.25">
      <c r="A7" s="118"/>
      <c r="B7" s="119"/>
      <c r="C7" s="119"/>
      <c r="D7" s="119"/>
      <c r="E7" s="119"/>
      <c r="F7" s="119"/>
      <c r="G7" s="119"/>
      <c r="H7" s="120"/>
    </row>
    <row r="8" spans="1:13" s="121" customFormat="1" ht="12.75" x14ac:dyDescent="0.25">
      <c r="A8" s="1011" t="s">
        <v>403</v>
      </c>
      <c r="B8" s="1012"/>
      <c r="C8" s="1012"/>
      <c r="D8" s="1012"/>
      <c r="E8" s="1012"/>
      <c r="F8" s="1012"/>
      <c r="G8" s="1012"/>
      <c r="H8" s="1013"/>
    </row>
    <row r="9" spans="1:13" ht="31.5" customHeight="1" x14ac:dyDescent="0.25">
      <c r="A9" s="911" t="s">
        <v>404</v>
      </c>
      <c r="B9" s="975"/>
      <c r="C9" s="975"/>
      <c r="D9" s="975"/>
      <c r="E9" s="975"/>
      <c r="F9" s="975"/>
      <c r="G9" s="975"/>
      <c r="H9" s="979"/>
      <c r="I9" s="122">
        <v>7000</v>
      </c>
      <c r="J9" s="123"/>
    </row>
    <row r="10" spans="1:13" x14ac:dyDescent="0.25">
      <c r="A10" s="124" t="s">
        <v>10</v>
      </c>
      <c r="B10" s="125"/>
      <c r="C10" s="125"/>
      <c r="D10" s="125"/>
      <c r="E10" s="126"/>
      <c r="F10" s="127"/>
      <c r="G10" s="125"/>
      <c r="H10" s="128"/>
    </row>
    <row r="11" spans="1:13" x14ac:dyDescent="0.25">
      <c r="A11" s="129" t="s">
        <v>405</v>
      </c>
      <c r="B11" s="340">
        <v>0.5</v>
      </c>
      <c r="C11" s="340">
        <v>820</v>
      </c>
      <c r="D11" s="340">
        <v>20.5</v>
      </c>
      <c r="E11" s="358">
        <f>C11+D11</f>
        <v>840.5</v>
      </c>
      <c r="F11" s="359">
        <f>E11*('29_01_H_2020'!$F$14)</f>
        <v>84.050000000000011</v>
      </c>
      <c r="G11" s="340">
        <f>B11*12*F11</f>
        <v>504.30000000000007</v>
      </c>
      <c r="H11" s="360">
        <f>ROUND(G11*1.2409,2)</f>
        <v>625.79</v>
      </c>
      <c r="I11" s="135"/>
      <c r="J11" s="135"/>
      <c r="M11" s="170"/>
    </row>
    <row r="12" spans="1:13" x14ac:dyDescent="0.25">
      <c r="A12" s="136" t="s">
        <v>27</v>
      </c>
      <c r="B12" s="137"/>
      <c r="C12" s="137"/>
      <c r="D12" s="137"/>
      <c r="E12" s="138"/>
      <c r="F12" s="139"/>
      <c r="G12" s="140"/>
      <c r="H12" s="141"/>
      <c r="I12" s="135"/>
    </row>
    <row r="13" spans="1:13" x14ac:dyDescent="0.25">
      <c r="A13" s="575" t="s">
        <v>269</v>
      </c>
      <c r="B13" s="340">
        <v>1</v>
      </c>
      <c r="C13" s="340">
        <v>600</v>
      </c>
      <c r="D13" s="340">
        <v>42</v>
      </c>
      <c r="E13" s="358">
        <f>C13+D13</f>
        <v>642</v>
      </c>
      <c r="F13" s="549">
        <f>E13*('29_01_H_2020'!$F$10)</f>
        <v>64.2</v>
      </c>
      <c r="G13" s="340">
        <f>B13*12*F13</f>
        <v>770.40000000000009</v>
      </c>
      <c r="H13" s="360">
        <f>ROUND(G13*1.2409,2)</f>
        <v>955.99</v>
      </c>
      <c r="I13" s="135"/>
      <c r="J13" s="135"/>
      <c r="L13" s="387"/>
      <c r="M13" s="170"/>
    </row>
    <row r="14" spans="1:13" x14ac:dyDescent="0.25">
      <c r="A14" s="575" t="s">
        <v>406</v>
      </c>
      <c r="B14" s="340">
        <v>1</v>
      </c>
      <c r="C14" s="340">
        <v>540</v>
      </c>
      <c r="D14" s="340">
        <v>37.799999999999997</v>
      </c>
      <c r="E14" s="358">
        <f>C14+D14</f>
        <v>577.79999999999995</v>
      </c>
      <c r="F14" s="549">
        <f>E14*('29_01_H_2020'!$F$10)</f>
        <v>57.78</v>
      </c>
      <c r="G14" s="340">
        <f>B14*12*F14</f>
        <v>693.36</v>
      </c>
      <c r="H14" s="360">
        <f>ROUND(G14*1.2409,2)</f>
        <v>860.39</v>
      </c>
      <c r="I14" s="135"/>
      <c r="J14" s="135"/>
      <c r="L14" s="387"/>
      <c r="M14" s="170"/>
    </row>
    <row r="15" spans="1:13" x14ac:dyDescent="0.25">
      <c r="A15" s="143" t="s">
        <v>407</v>
      </c>
      <c r="B15" s="152">
        <f>B14+B13+B11</f>
        <v>2.5</v>
      </c>
      <c r="C15" s="145"/>
      <c r="D15" s="145"/>
      <c r="E15" s="146"/>
      <c r="F15" s="361">
        <f>F14+F13+F11</f>
        <v>206.03000000000003</v>
      </c>
      <c r="G15" s="362">
        <f>G14+G13+G11</f>
        <v>1968.0600000000004</v>
      </c>
      <c r="H15" s="363">
        <f>H14+H13+H11</f>
        <v>2442.17</v>
      </c>
      <c r="I15" s="135"/>
      <c r="J15" s="135"/>
    </row>
    <row r="16" spans="1:13" ht="31.5" customHeight="1" x14ac:dyDescent="0.25">
      <c r="A16" s="911" t="s">
        <v>408</v>
      </c>
      <c r="B16" s="975"/>
      <c r="C16" s="975"/>
      <c r="D16" s="975"/>
      <c r="E16" s="975"/>
      <c r="F16" s="975"/>
      <c r="G16" s="975"/>
      <c r="H16" s="979"/>
      <c r="I16" s="135"/>
      <c r="J16" s="135"/>
    </row>
    <row r="17" spans="1:13" x14ac:dyDescent="0.25">
      <c r="A17" s="124" t="s">
        <v>10</v>
      </c>
      <c r="B17" s="125"/>
      <c r="C17" s="125"/>
      <c r="D17" s="125"/>
      <c r="E17" s="126"/>
      <c r="F17" s="127"/>
      <c r="G17" s="125"/>
      <c r="H17" s="128"/>
      <c r="I17" s="135">
        <v>3000</v>
      </c>
      <c r="J17" s="135"/>
    </row>
    <row r="18" spans="1:13" x14ac:dyDescent="0.25">
      <c r="A18" s="57" t="s">
        <v>291</v>
      </c>
      <c r="B18" s="340">
        <v>0.5</v>
      </c>
      <c r="C18" s="340">
        <v>1355</v>
      </c>
      <c r="D18" s="340">
        <v>303</v>
      </c>
      <c r="E18" s="358">
        <f>C18+D18</f>
        <v>1658</v>
      </c>
      <c r="F18" s="359">
        <f>E18*('29_01_H_2020'!$F$14)</f>
        <v>165.8</v>
      </c>
      <c r="G18" s="340">
        <f>B18*12*F18</f>
        <v>994.80000000000007</v>
      </c>
      <c r="H18" s="360">
        <f>ROUND(G18*1.2409,2)</f>
        <v>1234.45</v>
      </c>
      <c r="I18" s="135"/>
      <c r="J18" s="135"/>
      <c r="L18" s="387"/>
      <c r="M18" s="170"/>
    </row>
    <row r="19" spans="1:13" x14ac:dyDescent="0.25">
      <c r="A19" s="150" t="s">
        <v>27</v>
      </c>
      <c r="B19" s="125"/>
      <c r="C19" s="125"/>
      <c r="D19" s="125"/>
      <c r="E19" s="126"/>
      <c r="F19" s="127"/>
      <c r="G19" s="125"/>
      <c r="H19" s="128"/>
      <c r="I19" s="135"/>
      <c r="J19" s="135"/>
    </row>
    <row r="20" spans="1:13" x14ac:dyDescent="0.25">
      <c r="A20" s="489" t="s">
        <v>297</v>
      </c>
      <c r="B20" s="340">
        <v>2</v>
      </c>
      <c r="C20" s="340">
        <v>787</v>
      </c>
      <c r="D20" s="340">
        <v>168</v>
      </c>
      <c r="E20" s="358">
        <f>C20+D20</f>
        <v>955</v>
      </c>
      <c r="F20" s="549">
        <f>E20*('29_01_H_2020'!$F$10)</f>
        <v>95.5</v>
      </c>
      <c r="G20" s="340">
        <f>B20*12*F20</f>
        <v>2292</v>
      </c>
      <c r="H20" s="360">
        <f>ROUND(G20*1.2409,2)</f>
        <v>2844.14</v>
      </c>
      <c r="I20" s="135"/>
      <c r="J20" s="135"/>
      <c r="L20" s="387"/>
      <c r="M20" s="170"/>
    </row>
    <row r="21" spans="1:13" hidden="1" x14ac:dyDescent="0.25">
      <c r="A21" s="57" t="s">
        <v>39</v>
      </c>
      <c r="B21" s="340"/>
      <c r="C21" s="130"/>
      <c r="D21" s="130"/>
      <c r="E21" s="131">
        <f>C21+D21</f>
        <v>0</v>
      </c>
      <c r="F21" s="132">
        <f>E21*0.2</f>
        <v>0</v>
      </c>
      <c r="G21" s="133">
        <f>B21*12*F21</f>
        <v>0</v>
      </c>
      <c r="H21" s="134">
        <f>G21*1.2409</f>
        <v>0</v>
      </c>
      <c r="I21" s="135"/>
      <c r="J21" s="135"/>
    </row>
    <row r="22" spans="1:13" hidden="1" x14ac:dyDescent="0.25">
      <c r="A22" s="150" t="s">
        <v>46</v>
      </c>
      <c r="B22" s="341"/>
      <c r="C22" s="125"/>
      <c r="D22" s="125"/>
      <c r="E22" s="126"/>
      <c r="F22" s="127"/>
      <c r="G22" s="125"/>
      <c r="H22" s="128"/>
      <c r="I22" s="135"/>
      <c r="J22" s="135"/>
    </row>
    <row r="23" spans="1:13" hidden="1" x14ac:dyDescent="0.25">
      <c r="A23" s="57" t="s">
        <v>47</v>
      </c>
      <c r="B23" s="340"/>
      <c r="C23" s="130"/>
      <c r="D23" s="130"/>
      <c r="E23" s="131">
        <f>C23+D23</f>
        <v>0</v>
      </c>
      <c r="F23" s="132">
        <f>E23*0.2</f>
        <v>0</v>
      </c>
      <c r="G23" s="133">
        <f>B23*12*F23</f>
        <v>0</v>
      </c>
      <c r="H23" s="134">
        <f>G23*1.2409</f>
        <v>0</v>
      </c>
      <c r="I23" s="135"/>
      <c r="J23" s="135"/>
    </row>
    <row r="24" spans="1:13" x14ac:dyDescent="0.25">
      <c r="A24" s="143" t="s">
        <v>407</v>
      </c>
      <c r="B24" s="152">
        <f>B23+B21+B20+B18</f>
        <v>2.5</v>
      </c>
      <c r="C24" s="145"/>
      <c r="D24" s="145"/>
      <c r="E24" s="146"/>
      <c r="F24" s="361">
        <f>F23+F21+F20+F18</f>
        <v>261.3</v>
      </c>
      <c r="G24" s="362">
        <f>G23+G21+G20+G18</f>
        <v>3286.8</v>
      </c>
      <c r="H24" s="363">
        <f>H23+H21+H20+H18</f>
        <v>4078.59</v>
      </c>
      <c r="I24" s="135"/>
      <c r="J24" s="135"/>
    </row>
    <row r="25" spans="1:13" ht="42" customHeight="1" x14ac:dyDescent="0.25">
      <c r="A25" s="911" t="s">
        <v>409</v>
      </c>
      <c r="B25" s="975"/>
      <c r="C25" s="975"/>
      <c r="D25" s="975"/>
      <c r="E25" s="975"/>
      <c r="F25" s="975"/>
      <c r="G25" s="975"/>
      <c r="H25" s="979"/>
      <c r="I25" s="135">
        <v>3000</v>
      </c>
      <c r="J25" s="135"/>
    </row>
    <row r="26" spans="1:13" x14ac:dyDescent="0.25">
      <c r="A26" s="150" t="s">
        <v>10</v>
      </c>
      <c r="B26" s="125"/>
      <c r="C26" s="125"/>
      <c r="D26" s="125"/>
      <c r="E26" s="126"/>
      <c r="F26" s="127"/>
      <c r="G26" s="125"/>
      <c r="H26" s="128"/>
      <c r="I26" s="135"/>
      <c r="J26" s="135"/>
    </row>
    <row r="27" spans="1:13" x14ac:dyDescent="0.25">
      <c r="A27" s="57" t="s">
        <v>291</v>
      </c>
      <c r="B27" s="130">
        <v>0.625</v>
      </c>
      <c r="C27" s="340">
        <v>1380</v>
      </c>
      <c r="D27" s="340">
        <v>124.2</v>
      </c>
      <c r="E27" s="358">
        <f>C27+D27</f>
        <v>1504.2</v>
      </c>
      <c r="F27" s="359">
        <f>E27*('29_01_H_2020'!$F$14)</f>
        <v>150.42000000000002</v>
      </c>
      <c r="G27" s="340">
        <f>B27*12*F27</f>
        <v>1128.1500000000001</v>
      </c>
      <c r="H27" s="360">
        <f>ROUND(G27*1.2409,2)</f>
        <v>1399.92</v>
      </c>
      <c r="I27" s="135"/>
      <c r="J27" s="135"/>
      <c r="L27" s="387"/>
      <c r="M27" s="170"/>
    </row>
    <row r="28" spans="1:13" x14ac:dyDescent="0.25">
      <c r="A28" s="150" t="s">
        <v>27</v>
      </c>
      <c r="B28" s="125"/>
      <c r="C28" s="125"/>
      <c r="D28" s="125"/>
      <c r="E28" s="126"/>
      <c r="F28" s="127"/>
      <c r="G28" s="125"/>
      <c r="H28" s="128"/>
      <c r="I28" s="135"/>
      <c r="J28" s="135"/>
    </row>
    <row r="29" spans="1:13" x14ac:dyDescent="0.25">
      <c r="A29" s="489" t="s">
        <v>271</v>
      </c>
      <c r="B29" s="340">
        <v>1</v>
      </c>
      <c r="C29" s="340">
        <v>918</v>
      </c>
      <c r="D29" s="340">
        <v>92.32</v>
      </c>
      <c r="E29" s="358">
        <f>C29+D29</f>
        <v>1010.3199999999999</v>
      </c>
      <c r="F29" s="549">
        <f>E29*('29_01_H_2020'!$F$10)</f>
        <v>101.032</v>
      </c>
      <c r="G29" s="340">
        <f>B29*12*F29</f>
        <v>1212.384</v>
      </c>
      <c r="H29" s="360">
        <f>ROUND(G29*1.2409,2)</f>
        <v>1504.45</v>
      </c>
      <c r="I29" s="135"/>
      <c r="J29" s="135"/>
      <c r="L29" s="387"/>
      <c r="M29" s="170"/>
    </row>
    <row r="30" spans="1:13" x14ac:dyDescent="0.25">
      <c r="A30" s="489" t="s">
        <v>297</v>
      </c>
      <c r="B30" s="340">
        <v>2</v>
      </c>
      <c r="C30" s="340">
        <v>812</v>
      </c>
      <c r="D30" s="340">
        <v>190.3</v>
      </c>
      <c r="E30" s="358">
        <f>C30+D30</f>
        <v>1002.3</v>
      </c>
      <c r="F30" s="549">
        <f>E30*('29_01_H_2020'!$F$10)</f>
        <v>100.23</v>
      </c>
      <c r="G30" s="340">
        <f>B30*12*F30</f>
        <v>2405.52</v>
      </c>
      <c r="H30" s="360">
        <f t="shared" ref="H30:H32" si="0">ROUND(G30*1.2409,2)</f>
        <v>2985.01</v>
      </c>
      <c r="I30" s="135"/>
      <c r="J30" s="135"/>
      <c r="L30" s="387"/>
      <c r="M30" s="170"/>
    </row>
    <row r="31" spans="1:13" x14ac:dyDescent="0.25">
      <c r="A31" s="489" t="s">
        <v>297</v>
      </c>
      <c r="B31" s="340">
        <v>1.5</v>
      </c>
      <c r="C31" s="340">
        <v>800</v>
      </c>
      <c r="D31" s="340">
        <v>187.48</v>
      </c>
      <c r="E31" s="358">
        <f>C31+D31</f>
        <v>987.48</v>
      </c>
      <c r="F31" s="549">
        <f>E31*('29_01_H_2020'!$F$10)</f>
        <v>98.748000000000005</v>
      </c>
      <c r="G31" s="340">
        <f>B31*12*F31</f>
        <v>1777.4640000000002</v>
      </c>
      <c r="H31" s="360">
        <f t="shared" si="0"/>
        <v>2205.66</v>
      </c>
      <c r="I31" s="135"/>
      <c r="J31" s="135"/>
      <c r="L31" s="387"/>
      <c r="M31" s="170"/>
    </row>
    <row r="32" spans="1:13" x14ac:dyDescent="0.25">
      <c r="A32" s="574" t="s">
        <v>39</v>
      </c>
      <c r="B32" s="340">
        <v>2</v>
      </c>
      <c r="C32" s="340">
        <v>776</v>
      </c>
      <c r="D32" s="340">
        <v>181.86</v>
      </c>
      <c r="E32" s="358">
        <f>C32+D32</f>
        <v>957.86</v>
      </c>
      <c r="F32" s="549">
        <f>E32*('29_01_H_2020'!$F$10)</f>
        <v>95.786000000000001</v>
      </c>
      <c r="G32" s="340">
        <f>B32*12*F32</f>
        <v>2298.864</v>
      </c>
      <c r="H32" s="360">
        <f t="shared" si="0"/>
        <v>2852.66</v>
      </c>
      <c r="I32" s="135"/>
      <c r="J32" s="135"/>
      <c r="L32" s="387"/>
      <c r="M32" s="170"/>
    </row>
    <row r="33" spans="1:13" x14ac:dyDescent="0.25">
      <c r="A33" s="143" t="s">
        <v>407</v>
      </c>
      <c r="B33" s="152">
        <f>B27+B29+B30+B31+B32</f>
        <v>7.125</v>
      </c>
      <c r="C33" s="145"/>
      <c r="D33" s="145"/>
      <c r="E33" s="146"/>
      <c r="F33" s="361">
        <f>F27+F29+F30+F31+F32</f>
        <v>546.21600000000001</v>
      </c>
      <c r="G33" s="362">
        <f>G27+G29+G30+G31+G32</f>
        <v>8822.3819999999996</v>
      </c>
      <c r="H33" s="363">
        <f>H27+H29+H30+H31+H32</f>
        <v>10947.7</v>
      </c>
      <c r="I33" s="135"/>
      <c r="J33" s="135"/>
    </row>
    <row r="34" spans="1:13" ht="36" customHeight="1" x14ac:dyDescent="0.25">
      <c r="A34" s="911" t="s">
        <v>410</v>
      </c>
      <c r="B34" s="975"/>
      <c r="C34" s="975"/>
      <c r="D34" s="975"/>
      <c r="E34" s="975"/>
      <c r="F34" s="975"/>
      <c r="G34" s="975"/>
      <c r="H34" s="979"/>
      <c r="I34" s="135">
        <v>3000</v>
      </c>
      <c r="J34" s="135"/>
    </row>
    <row r="35" spans="1:13" x14ac:dyDescent="0.25">
      <c r="A35" s="150" t="s">
        <v>10</v>
      </c>
      <c r="B35" s="125"/>
      <c r="C35" s="125"/>
      <c r="D35" s="125"/>
      <c r="E35" s="126"/>
      <c r="F35" s="127"/>
      <c r="G35" s="125"/>
      <c r="H35" s="128"/>
      <c r="I35" s="135"/>
      <c r="J35" s="135"/>
    </row>
    <row r="36" spans="1:13" x14ac:dyDescent="0.25">
      <c r="A36" s="57" t="s">
        <v>278</v>
      </c>
      <c r="B36" s="340">
        <v>0.5</v>
      </c>
      <c r="C36" s="340">
        <v>1200</v>
      </c>
      <c r="D36" s="340">
        <v>0</v>
      </c>
      <c r="E36" s="358">
        <f t="shared" ref="E36:E41" si="1">C36+D36</f>
        <v>1200</v>
      </c>
      <c r="F36" s="359">
        <f>E36*('29_01_H_2020'!$F$14)</f>
        <v>120</v>
      </c>
      <c r="G36" s="340">
        <f t="shared" ref="G36:G41" si="2">B36*12*F36</f>
        <v>720</v>
      </c>
      <c r="H36" s="360">
        <f t="shared" ref="H36:H46" si="3">ROUND(G36*1.2409,2)</f>
        <v>893.45</v>
      </c>
      <c r="I36" s="135"/>
      <c r="J36" s="135"/>
      <c r="L36" s="387"/>
      <c r="M36" s="170"/>
    </row>
    <row r="37" spans="1:13" x14ac:dyDescent="0.25">
      <c r="A37" s="57" t="s">
        <v>411</v>
      </c>
      <c r="B37" s="340">
        <v>0.5</v>
      </c>
      <c r="C37" s="340">
        <v>900</v>
      </c>
      <c r="D37" s="340">
        <v>0</v>
      </c>
      <c r="E37" s="358">
        <f t="shared" si="1"/>
        <v>900</v>
      </c>
      <c r="F37" s="359">
        <f>E37*('29_01_H_2020'!$F$14)</f>
        <v>90</v>
      </c>
      <c r="G37" s="340">
        <f t="shared" si="2"/>
        <v>540</v>
      </c>
      <c r="H37" s="360">
        <f t="shared" si="3"/>
        <v>670.09</v>
      </c>
      <c r="I37" s="135"/>
      <c r="J37" s="135"/>
      <c r="L37" s="387"/>
      <c r="M37" s="170"/>
    </row>
    <row r="38" spans="1:13" x14ac:dyDescent="0.25">
      <c r="A38" s="57" t="s">
        <v>316</v>
      </c>
      <c r="B38" s="340">
        <v>0.5</v>
      </c>
      <c r="C38" s="340">
        <v>1015</v>
      </c>
      <c r="D38" s="340">
        <v>0</v>
      </c>
      <c r="E38" s="358">
        <f t="shared" si="1"/>
        <v>1015</v>
      </c>
      <c r="F38" s="359">
        <f>E38*('29_01_H_2020'!$F$14)</f>
        <v>101.5</v>
      </c>
      <c r="G38" s="340">
        <f t="shared" si="2"/>
        <v>609</v>
      </c>
      <c r="H38" s="360">
        <f t="shared" si="3"/>
        <v>755.71</v>
      </c>
      <c r="I38" s="135"/>
      <c r="J38" s="135"/>
      <c r="L38" s="387"/>
      <c r="M38" s="170"/>
    </row>
    <row r="39" spans="1:13" x14ac:dyDescent="0.25">
      <c r="A39" s="57" t="s">
        <v>291</v>
      </c>
      <c r="B39" s="340">
        <v>0.25</v>
      </c>
      <c r="C39" s="340">
        <v>1190</v>
      </c>
      <c r="D39" s="340">
        <v>0</v>
      </c>
      <c r="E39" s="358">
        <f t="shared" si="1"/>
        <v>1190</v>
      </c>
      <c r="F39" s="359">
        <f>E39*('29_01_H_2020'!$F$14)</f>
        <v>119</v>
      </c>
      <c r="G39" s="340">
        <f t="shared" si="2"/>
        <v>357</v>
      </c>
      <c r="H39" s="360">
        <f t="shared" si="3"/>
        <v>443</v>
      </c>
      <c r="I39" s="135"/>
      <c r="J39" s="135"/>
      <c r="L39" s="387"/>
      <c r="M39" s="170"/>
    </row>
    <row r="40" spans="1:13" x14ac:dyDescent="0.25">
      <c r="A40" s="57" t="s">
        <v>309</v>
      </c>
      <c r="B40" s="340">
        <v>0.75</v>
      </c>
      <c r="C40" s="340">
        <v>714</v>
      </c>
      <c r="D40" s="340">
        <v>0</v>
      </c>
      <c r="E40" s="358">
        <f t="shared" si="1"/>
        <v>714</v>
      </c>
      <c r="F40" s="359">
        <f>E40*('29_01_H_2020'!$F$14)</f>
        <v>71.400000000000006</v>
      </c>
      <c r="G40" s="340">
        <f t="shared" si="2"/>
        <v>642.6</v>
      </c>
      <c r="H40" s="360">
        <f t="shared" si="3"/>
        <v>797.4</v>
      </c>
      <c r="I40" s="135"/>
      <c r="J40" s="135"/>
      <c r="L40" s="387"/>
      <c r="M40" s="170"/>
    </row>
    <row r="41" spans="1:13" x14ac:dyDescent="0.25">
      <c r="A41" s="57" t="s">
        <v>294</v>
      </c>
      <c r="B41" s="340">
        <v>0.5</v>
      </c>
      <c r="C41" s="340">
        <v>1015</v>
      </c>
      <c r="D41" s="340">
        <v>0</v>
      </c>
      <c r="E41" s="358">
        <f t="shared" si="1"/>
        <v>1015</v>
      </c>
      <c r="F41" s="359">
        <f>E41*('29_01_H_2020'!$F$14)</f>
        <v>101.5</v>
      </c>
      <c r="G41" s="340">
        <f t="shared" si="2"/>
        <v>609</v>
      </c>
      <c r="H41" s="360">
        <f t="shared" si="3"/>
        <v>755.71</v>
      </c>
      <c r="I41" s="135"/>
      <c r="J41" s="135"/>
      <c r="L41" s="387"/>
      <c r="M41" s="170"/>
    </row>
    <row r="42" spans="1:13" x14ac:dyDescent="0.25">
      <c r="A42" s="150" t="s">
        <v>27</v>
      </c>
      <c r="B42" s="125"/>
      <c r="C42" s="125"/>
      <c r="D42" s="125"/>
      <c r="E42" s="126"/>
      <c r="F42" s="127"/>
      <c r="G42" s="125"/>
      <c r="H42" s="128"/>
      <c r="I42" s="135"/>
      <c r="J42" s="135"/>
    </row>
    <row r="43" spans="1:13" x14ac:dyDescent="0.25">
      <c r="A43" s="489" t="s">
        <v>271</v>
      </c>
      <c r="B43" s="340">
        <v>0.5</v>
      </c>
      <c r="C43" s="356">
        <v>1052</v>
      </c>
      <c r="D43" s="356">
        <v>0</v>
      </c>
      <c r="E43" s="364">
        <f>C43+D43</f>
        <v>1052</v>
      </c>
      <c r="F43" s="549">
        <f>E43*('29_01_H_2020'!$F$10)</f>
        <v>105.2</v>
      </c>
      <c r="G43" s="356">
        <f>B43*12*F43</f>
        <v>631.20000000000005</v>
      </c>
      <c r="H43" s="360">
        <f t="shared" si="3"/>
        <v>783.26</v>
      </c>
      <c r="I43" s="135"/>
      <c r="J43" s="135"/>
      <c r="L43" s="387"/>
      <c r="M43" s="170"/>
    </row>
    <row r="44" spans="1:13" x14ac:dyDescent="0.25">
      <c r="A44" s="489" t="s">
        <v>310</v>
      </c>
      <c r="B44" s="340">
        <v>2</v>
      </c>
      <c r="C44" s="356">
        <v>750</v>
      </c>
      <c r="D44" s="356">
        <v>0</v>
      </c>
      <c r="E44" s="364">
        <f>C44+D44</f>
        <v>750</v>
      </c>
      <c r="F44" s="549">
        <f>E44*('29_01_H_2020'!$F$10)</f>
        <v>75</v>
      </c>
      <c r="G44" s="356">
        <f>B44*12*F44</f>
        <v>1800</v>
      </c>
      <c r="H44" s="360">
        <f t="shared" si="3"/>
        <v>2233.62</v>
      </c>
      <c r="I44" s="135"/>
      <c r="J44" s="135"/>
      <c r="L44" s="387"/>
      <c r="M44" s="170"/>
    </row>
    <row r="45" spans="1:13" x14ac:dyDescent="0.25">
      <c r="A45" s="489" t="s">
        <v>406</v>
      </c>
      <c r="B45" s="340">
        <v>2.5</v>
      </c>
      <c r="C45" s="356">
        <v>800</v>
      </c>
      <c r="D45" s="356">
        <v>0</v>
      </c>
      <c r="E45" s="364">
        <f>C45+D45</f>
        <v>800</v>
      </c>
      <c r="F45" s="549">
        <f>E45*('29_01_H_2020'!$F$10)</f>
        <v>80</v>
      </c>
      <c r="G45" s="356">
        <f>B45*12*F45</f>
        <v>2400</v>
      </c>
      <c r="H45" s="360">
        <f t="shared" si="3"/>
        <v>2978.16</v>
      </c>
      <c r="I45" s="135"/>
      <c r="J45" s="135"/>
      <c r="L45" s="387"/>
      <c r="M45" s="170"/>
    </row>
    <row r="46" spans="1:13" x14ac:dyDescent="0.25">
      <c r="A46" s="489" t="s">
        <v>412</v>
      </c>
      <c r="B46" s="340">
        <v>1</v>
      </c>
      <c r="C46" s="356">
        <v>559</v>
      </c>
      <c r="D46" s="356">
        <v>0</v>
      </c>
      <c r="E46" s="364">
        <f>C46+D46</f>
        <v>559</v>
      </c>
      <c r="F46" s="549">
        <f>E46*('29_01_H_2020'!$F$10)</f>
        <v>55.900000000000006</v>
      </c>
      <c r="G46" s="356">
        <f>B46*12*F46</f>
        <v>670.80000000000007</v>
      </c>
      <c r="H46" s="360">
        <f t="shared" si="3"/>
        <v>832.4</v>
      </c>
      <c r="I46" s="135"/>
      <c r="J46" s="135"/>
      <c r="L46" s="387"/>
      <c r="M46" s="170"/>
    </row>
    <row r="47" spans="1:13" x14ac:dyDescent="0.25">
      <c r="A47" s="150" t="s">
        <v>46</v>
      </c>
      <c r="B47" s="125"/>
      <c r="C47" s="125"/>
      <c r="D47" s="125"/>
      <c r="E47" s="126"/>
      <c r="F47" s="127"/>
      <c r="G47" s="125"/>
      <c r="H47" s="128"/>
      <c r="I47" s="135"/>
      <c r="J47" s="135"/>
    </row>
    <row r="48" spans="1:13" hidden="1" x14ac:dyDescent="0.25">
      <c r="A48" s="153"/>
      <c r="B48" s="154"/>
      <c r="C48" s="154"/>
      <c r="D48" s="154"/>
      <c r="E48" s="155">
        <f>C48+D48</f>
        <v>0</v>
      </c>
      <c r="F48" s="132">
        <f>E48*0.2</f>
        <v>0</v>
      </c>
      <c r="G48" s="133">
        <f>B48*12*F48</f>
        <v>0</v>
      </c>
      <c r="H48" s="134">
        <f>G48*1.2409</f>
        <v>0</v>
      </c>
      <c r="I48" s="135"/>
      <c r="J48" s="135"/>
    </row>
    <row r="49" spans="1:13" x14ac:dyDescent="0.25">
      <c r="A49" s="153" t="s">
        <v>413</v>
      </c>
      <c r="B49" s="342">
        <v>0.5</v>
      </c>
      <c r="C49" s="365">
        <v>550</v>
      </c>
      <c r="D49" s="365">
        <v>0</v>
      </c>
      <c r="E49" s="366">
        <f>C49+D49</f>
        <v>550</v>
      </c>
      <c r="F49" s="359">
        <f>E49*('29_01_H_2020'!$F$14)</f>
        <v>55</v>
      </c>
      <c r="G49" s="356">
        <f>B49*12*F49</f>
        <v>330</v>
      </c>
      <c r="H49" s="360">
        <f t="shared" ref="H49" si="4">ROUND(G49*1.2409,2)</f>
        <v>409.5</v>
      </c>
      <c r="I49" s="135"/>
      <c r="J49" s="135"/>
      <c r="L49" s="387"/>
      <c r="M49" s="170"/>
    </row>
    <row r="50" spans="1:13" x14ac:dyDescent="0.25">
      <c r="A50" s="143" t="s">
        <v>407</v>
      </c>
      <c r="B50" s="152">
        <f>B49+B46+B44+B43+B41+B39+B38+B37+B36+B40+B45+B48</f>
        <v>9.5</v>
      </c>
      <c r="C50" s="145"/>
      <c r="D50" s="145"/>
      <c r="E50" s="146"/>
      <c r="F50" s="361">
        <f t="shared" ref="F50:H50" si="5">F49+F46+F44+F43+F41+F39+F38+F37+F36+F40+F45+F48</f>
        <v>974.5</v>
      </c>
      <c r="G50" s="362">
        <f t="shared" si="5"/>
        <v>9309.6</v>
      </c>
      <c r="H50" s="363">
        <f t="shared" si="5"/>
        <v>11552.3</v>
      </c>
      <c r="I50" s="135"/>
      <c r="J50" s="135"/>
    </row>
    <row r="51" spans="1:13" ht="31.5" customHeight="1" x14ac:dyDescent="0.25">
      <c r="A51" s="911" t="s">
        <v>414</v>
      </c>
      <c r="B51" s="975"/>
      <c r="C51" s="975"/>
      <c r="D51" s="975"/>
      <c r="E51" s="975"/>
      <c r="F51" s="975"/>
      <c r="G51" s="975"/>
      <c r="H51" s="979"/>
      <c r="I51" s="135">
        <v>3000</v>
      </c>
      <c r="J51" s="135"/>
    </row>
    <row r="52" spans="1:13" x14ac:dyDescent="0.25">
      <c r="A52" s="150" t="s">
        <v>10</v>
      </c>
      <c r="B52" s="125"/>
      <c r="C52" s="125"/>
      <c r="D52" s="125"/>
      <c r="E52" s="126"/>
      <c r="F52" s="127"/>
      <c r="G52" s="125"/>
      <c r="H52" s="128"/>
      <c r="I52" s="135"/>
      <c r="J52" s="135"/>
    </row>
    <row r="53" spans="1:13" x14ac:dyDescent="0.25">
      <c r="A53" s="57" t="s">
        <v>291</v>
      </c>
      <c r="B53" s="142">
        <v>2</v>
      </c>
      <c r="C53" s="356">
        <v>1170</v>
      </c>
      <c r="D53" s="356">
        <v>160</v>
      </c>
      <c r="E53" s="364">
        <f>C53+D53</f>
        <v>1330</v>
      </c>
      <c r="F53" s="359">
        <f>E53*('29_01_H_2020'!$F$14)</f>
        <v>133</v>
      </c>
      <c r="G53" s="356">
        <f>B53*12*F53</f>
        <v>3192</v>
      </c>
      <c r="H53" s="360">
        <f t="shared" ref="H53:H56" si="6">ROUND(G53*1.2409,2)</f>
        <v>3960.95</v>
      </c>
      <c r="I53" s="135"/>
      <c r="J53" s="135"/>
      <c r="L53" s="387"/>
      <c r="M53" s="170"/>
    </row>
    <row r="54" spans="1:13" x14ac:dyDescent="0.25">
      <c r="A54" s="150" t="s">
        <v>27</v>
      </c>
      <c r="B54" s="125"/>
      <c r="C54" s="125"/>
      <c r="D54" s="125"/>
      <c r="E54" s="126"/>
      <c r="F54" s="127"/>
      <c r="G54" s="125"/>
      <c r="H54" s="128"/>
      <c r="I54" s="135"/>
      <c r="J54" s="135"/>
    </row>
    <row r="55" spans="1:13" x14ac:dyDescent="0.25">
      <c r="A55" s="57" t="s">
        <v>32</v>
      </c>
      <c r="B55" s="142">
        <v>1</v>
      </c>
      <c r="C55" s="356">
        <v>900</v>
      </c>
      <c r="D55" s="356">
        <v>99</v>
      </c>
      <c r="E55" s="364">
        <f>C55+D55</f>
        <v>999</v>
      </c>
      <c r="F55" s="359">
        <f>E55*('29_01_H_2020'!$F$14)</f>
        <v>99.9</v>
      </c>
      <c r="G55" s="356">
        <f>B55*12*F55</f>
        <v>1198.8000000000002</v>
      </c>
      <c r="H55" s="360">
        <f t="shared" si="6"/>
        <v>1487.59</v>
      </c>
      <c r="I55" s="135"/>
      <c r="J55" s="135"/>
      <c r="L55" s="387"/>
      <c r="M55" s="170"/>
    </row>
    <row r="56" spans="1:13" x14ac:dyDescent="0.25">
      <c r="A56" s="57" t="s">
        <v>39</v>
      </c>
      <c r="B56" s="142">
        <v>13</v>
      </c>
      <c r="C56" s="356">
        <v>650</v>
      </c>
      <c r="D56" s="356">
        <v>240</v>
      </c>
      <c r="E56" s="364">
        <f>C56+D56</f>
        <v>890</v>
      </c>
      <c r="F56" s="359">
        <f>E56*('29_01_H_2020'!$F$14)</f>
        <v>89</v>
      </c>
      <c r="G56" s="356">
        <f>B56*12*F56</f>
        <v>13884</v>
      </c>
      <c r="H56" s="360">
        <f t="shared" si="6"/>
        <v>17228.66</v>
      </c>
      <c r="I56" s="135"/>
      <c r="J56" s="135"/>
      <c r="L56" s="387"/>
      <c r="M56" s="170"/>
    </row>
    <row r="57" spans="1:13" x14ac:dyDescent="0.25">
      <c r="A57" s="143" t="s">
        <v>407</v>
      </c>
      <c r="B57" s="144">
        <f>B56+B55+B53</f>
        <v>16</v>
      </c>
      <c r="C57" s="145"/>
      <c r="D57" s="145"/>
      <c r="E57" s="146"/>
      <c r="F57" s="361">
        <f>F56+F55+F53</f>
        <v>321.89999999999998</v>
      </c>
      <c r="G57" s="362">
        <f>G56+G55+G53</f>
        <v>18274.8</v>
      </c>
      <c r="H57" s="363">
        <f>H56+H55+H53</f>
        <v>22677.200000000001</v>
      </c>
      <c r="I57" s="135"/>
      <c r="J57" s="135"/>
    </row>
    <row r="58" spans="1:13" ht="31.5" customHeight="1" x14ac:dyDescent="0.25">
      <c r="A58" s="911" t="s">
        <v>415</v>
      </c>
      <c r="B58" s="975"/>
      <c r="C58" s="975"/>
      <c r="D58" s="975"/>
      <c r="E58" s="975"/>
      <c r="F58" s="975"/>
      <c r="G58" s="975"/>
      <c r="H58" s="979"/>
      <c r="I58" s="135">
        <v>3000</v>
      </c>
      <c r="J58" s="135"/>
    </row>
    <row r="59" spans="1:13" x14ac:dyDescent="0.25">
      <c r="A59" s="150" t="s">
        <v>10</v>
      </c>
      <c r="B59" s="125"/>
      <c r="C59" s="125"/>
      <c r="D59" s="125"/>
      <c r="E59" s="126"/>
      <c r="F59" s="127"/>
      <c r="G59" s="125"/>
      <c r="H59" s="128"/>
      <c r="I59" s="135"/>
      <c r="J59" s="135"/>
    </row>
    <row r="60" spans="1:13" x14ac:dyDescent="0.25">
      <c r="A60" s="57" t="s">
        <v>291</v>
      </c>
      <c r="B60" s="342">
        <v>1</v>
      </c>
      <c r="C60" s="365">
        <v>1500</v>
      </c>
      <c r="D60" s="365">
        <v>0</v>
      </c>
      <c r="E60" s="366">
        <f>C60+D60</f>
        <v>1500</v>
      </c>
      <c r="F60" s="359">
        <f>E60*('29_01_H_2020'!$F$14)</f>
        <v>150</v>
      </c>
      <c r="G60" s="356">
        <f>B60*12*F60</f>
        <v>1800</v>
      </c>
      <c r="H60" s="360">
        <f t="shared" ref="H60:H65" si="7">ROUND(G60*1.2409,2)</f>
        <v>2233.62</v>
      </c>
      <c r="I60" s="135"/>
      <c r="J60" s="135"/>
      <c r="L60" s="387"/>
      <c r="M60" s="170"/>
    </row>
    <row r="61" spans="1:13" x14ac:dyDescent="0.25">
      <c r="A61" s="150" t="s">
        <v>27</v>
      </c>
      <c r="B61" s="125"/>
      <c r="C61" s="125"/>
      <c r="D61" s="125"/>
      <c r="E61" s="126"/>
      <c r="F61" s="127"/>
      <c r="G61" s="125"/>
      <c r="H61" s="128"/>
      <c r="I61" s="135"/>
      <c r="J61" s="135"/>
    </row>
    <row r="62" spans="1:13" x14ac:dyDescent="0.25">
      <c r="A62" s="57" t="s">
        <v>269</v>
      </c>
      <c r="B62" s="340">
        <v>0.5</v>
      </c>
      <c r="C62" s="356">
        <v>1000</v>
      </c>
      <c r="D62" s="356">
        <v>0</v>
      </c>
      <c r="E62" s="364">
        <f>C62+D62</f>
        <v>1000</v>
      </c>
      <c r="F62" s="359">
        <f>E62*('29_01_H_2020'!$F$14)</f>
        <v>100</v>
      </c>
      <c r="G62" s="356">
        <f>B62*12*F62</f>
        <v>600</v>
      </c>
      <c r="H62" s="360">
        <f t="shared" si="7"/>
        <v>744.54</v>
      </c>
      <c r="I62" s="135"/>
      <c r="J62" s="135"/>
      <c r="L62" s="387"/>
      <c r="M62" s="170"/>
    </row>
    <row r="63" spans="1:13" x14ac:dyDescent="0.25">
      <c r="A63" s="57" t="s">
        <v>312</v>
      </c>
      <c r="B63" s="340">
        <v>0.5</v>
      </c>
      <c r="C63" s="356">
        <v>950</v>
      </c>
      <c r="D63" s="356">
        <v>0</v>
      </c>
      <c r="E63" s="364">
        <f>C63+D63</f>
        <v>950</v>
      </c>
      <c r="F63" s="359">
        <f>E63*('29_01_H_2020'!$F$14)</f>
        <v>95</v>
      </c>
      <c r="G63" s="356">
        <f>B63*12*F63</f>
        <v>570</v>
      </c>
      <c r="H63" s="360">
        <f t="shared" si="7"/>
        <v>707.31</v>
      </c>
      <c r="I63" s="135"/>
      <c r="J63" s="135"/>
      <c r="L63" s="387"/>
      <c r="M63" s="170"/>
    </row>
    <row r="64" spans="1:13" x14ac:dyDescent="0.25">
      <c r="A64" s="57" t="s">
        <v>39</v>
      </c>
      <c r="B64" s="340">
        <v>3</v>
      </c>
      <c r="C64" s="356">
        <v>714</v>
      </c>
      <c r="D64" s="356">
        <v>0</v>
      </c>
      <c r="E64" s="364">
        <f>C64+D64</f>
        <v>714</v>
      </c>
      <c r="F64" s="359">
        <f>E64*('29_01_H_2020'!$F$14)</f>
        <v>71.400000000000006</v>
      </c>
      <c r="G64" s="356">
        <f>B64*12*F64</f>
        <v>2570.4</v>
      </c>
      <c r="H64" s="360">
        <f t="shared" si="7"/>
        <v>3189.61</v>
      </c>
      <c r="I64" s="135"/>
      <c r="J64" s="135"/>
      <c r="L64" s="387"/>
      <c r="M64" s="170"/>
    </row>
    <row r="65" spans="1:13" x14ac:dyDescent="0.25">
      <c r="A65" s="151" t="s">
        <v>39</v>
      </c>
      <c r="B65" s="340">
        <v>1</v>
      </c>
      <c r="C65" s="356">
        <v>629</v>
      </c>
      <c r="D65" s="356">
        <v>0</v>
      </c>
      <c r="E65" s="364">
        <f>C65+D65</f>
        <v>629</v>
      </c>
      <c r="F65" s="359">
        <f>E65*('29_01_H_2020'!$F$14)</f>
        <v>62.900000000000006</v>
      </c>
      <c r="G65" s="356">
        <f>B65*12*F65</f>
        <v>754.80000000000007</v>
      </c>
      <c r="H65" s="360">
        <f t="shared" si="7"/>
        <v>936.63</v>
      </c>
      <c r="I65" s="135"/>
      <c r="J65" s="135"/>
      <c r="L65" s="387"/>
      <c r="M65" s="170"/>
    </row>
    <row r="66" spans="1:13" x14ac:dyDescent="0.25">
      <c r="A66" s="143" t="s">
        <v>407</v>
      </c>
      <c r="B66" s="152">
        <f>B65+B64+B63+B62+B60</f>
        <v>6</v>
      </c>
      <c r="C66" s="145"/>
      <c r="D66" s="145"/>
      <c r="E66" s="146"/>
      <c r="F66" s="361">
        <f>F65+F64+F63+F62+F60</f>
        <v>479.3</v>
      </c>
      <c r="G66" s="362">
        <f>G65+G64+G63+G62+G60</f>
        <v>6295.2000000000007</v>
      </c>
      <c r="H66" s="363">
        <f>H65+H64+H63+H62+H60</f>
        <v>7811.7099999999991</v>
      </c>
      <c r="I66" s="135"/>
      <c r="J66" s="135"/>
    </row>
    <row r="67" spans="1:13" ht="44.25" customHeight="1" x14ac:dyDescent="0.25">
      <c r="A67" s="911" t="s">
        <v>416</v>
      </c>
      <c r="B67" s="975"/>
      <c r="C67" s="975"/>
      <c r="D67" s="975"/>
      <c r="E67" s="975"/>
      <c r="F67" s="975"/>
      <c r="G67" s="975"/>
      <c r="H67" s="979"/>
      <c r="I67" s="135">
        <v>3000</v>
      </c>
      <c r="J67" s="135"/>
    </row>
    <row r="68" spans="1:13" x14ac:dyDescent="0.25">
      <c r="A68" s="150" t="s">
        <v>10</v>
      </c>
      <c r="B68" s="125"/>
      <c r="C68" s="125"/>
      <c r="D68" s="125"/>
      <c r="E68" s="126"/>
      <c r="F68" s="127"/>
      <c r="G68" s="125"/>
      <c r="H68" s="128"/>
      <c r="I68" s="135"/>
      <c r="J68" s="135"/>
    </row>
    <row r="69" spans="1:13" x14ac:dyDescent="0.25">
      <c r="A69" s="57" t="s">
        <v>291</v>
      </c>
      <c r="B69" s="340">
        <v>0.3</v>
      </c>
      <c r="C69" s="356">
        <v>2020.7</v>
      </c>
      <c r="D69" s="356">
        <v>0</v>
      </c>
      <c r="E69" s="364">
        <f>C69+D69</f>
        <v>2020.7</v>
      </c>
      <c r="F69" s="359">
        <f>E69*('29_01_H_2020'!$F$14)</f>
        <v>202.07000000000002</v>
      </c>
      <c r="G69" s="356">
        <f>B69*12*F69</f>
        <v>727.452</v>
      </c>
      <c r="H69" s="360">
        <f t="shared" ref="H69:H73" si="8">ROUND(G69*1.2409,2)</f>
        <v>902.7</v>
      </c>
      <c r="I69" s="135"/>
      <c r="J69" s="135"/>
      <c r="L69" s="387"/>
      <c r="M69" s="170"/>
    </row>
    <row r="70" spans="1:13" x14ac:dyDescent="0.25">
      <c r="A70" s="57" t="s">
        <v>294</v>
      </c>
      <c r="B70" s="340">
        <v>0.1</v>
      </c>
      <c r="C70" s="356">
        <v>1900</v>
      </c>
      <c r="D70" s="356">
        <v>0</v>
      </c>
      <c r="E70" s="364">
        <f>C70+D70</f>
        <v>1900</v>
      </c>
      <c r="F70" s="359">
        <f>E70*('29_01_H_2020'!$F$14)</f>
        <v>190</v>
      </c>
      <c r="G70" s="356">
        <f>B70*12*F70</f>
        <v>228.00000000000003</v>
      </c>
      <c r="H70" s="360">
        <f t="shared" si="8"/>
        <v>282.93</v>
      </c>
      <c r="I70" s="135"/>
      <c r="J70" s="135"/>
      <c r="L70" s="387"/>
      <c r="M70" s="170"/>
    </row>
    <row r="71" spans="1:13" x14ac:dyDescent="0.25">
      <c r="A71" s="150" t="s">
        <v>27</v>
      </c>
      <c r="B71" s="125"/>
      <c r="C71" s="125"/>
      <c r="D71" s="125"/>
      <c r="E71" s="126"/>
      <c r="F71" s="127"/>
      <c r="G71" s="125"/>
      <c r="H71" s="128"/>
      <c r="I71" s="135"/>
      <c r="J71" s="135"/>
    </row>
    <row r="72" spans="1:13" x14ac:dyDescent="0.25">
      <c r="A72" s="489" t="s">
        <v>271</v>
      </c>
      <c r="B72" s="340">
        <v>1</v>
      </c>
      <c r="C72" s="356">
        <v>1100</v>
      </c>
      <c r="D72" s="356">
        <v>0</v>
      </c>
      <c r="E72" s="364">
        <f>C72+D72</f>
        <v>1100</v>
      </c>
      <c r="F72" s="549">
        <f>E72*('29_01_H_2020'!$F$10)</f>
        <v>110</v>
      </c>
      <c r="G72" s="356">
        <f>B72*12*F72</f>
        <v>1320</v>
      </c>
      <c r="H72" s="360">
        <f t="shared" si="8"/>
        <v>1637.99</v>
      </c>
      <c r="I72" s="135"/>
      <c r="J72" s="135"/>
      <c r="L72" s="387"/>
      <c r="M72" s="170"/>
    </row>
    <row r="73" spans="1:13" x14ac:dyDescent="0.25">
      <c r="A73" s="489" t="s">
        <v>39</v>
      </c>
      <c r="B73" s="340">
        <v>2</v>
      </c>
      <c r="C73" s="356">
        <v>747</v>
      </c>
      <c r="D73" s="356">
        <v>0</v>
      </c>
      <c r="E73" s="364">
        <f>C73+D73</f>
        <v>747</v>
      </c>
      <c r="F73" s="549">
        <f>E73*('29_01_H_2020'!$F$10)</f>
        <v>74.7</v>
      </c>
      <c r="G73" s="356">
        <f>B73*12*F73</f>
        <v>1792.8000000000002</v>
      </c>
      <c r="H73" s="360">
        <f t="shared" si="8"/>
        <v>2224.69</v>
      </c>
      <c r="I73" s="135"/>
      <c r="J73" s="135"/>
      <c r="L73" s="387"/>
      <c r="M73" s="170"/>
    </row>
    <row r="74" spans="1:13" x14ac:dyDescent="0.25">
      <c r="A74" s="143" t="s">
        <v>407</v>
      </c>
      <c r="B74" s="152">
        <f>B73+B72+B70+B69</f>
        <v>3.4</v>
      </c>
      <c r="C74" s="145"/>
      <c r="D74" s="145"/>
      <c r="E74" s="146"/>
      <c r="F74" s="361">
        <f>F73+F72+F70+F69</f>
        <v>576.77</v>
      </c>
      <c r="G74" s="362">
        <f>G73+G72+G70+G69</f>
        <v>4068.2520000000004</v>
      </c>
      <c r="H74" s="363">
        <f>H73+H72+H70+H69</f>
        <v>5048.3100000000004</v>
      </c>
      <c r="I74" s="135"/>
      <c r="J74" s="135"/>
    </row>
    <row r="75" spans="1:13" ht="32.25" customHeight="1" x14ac:dyDescent="0.25">
      <c r="A75" s="911" t="s">
        <v>417</v>
      </c>
      <c r="B75" s="975"/>
      <c r="C75" s="975"/>
      <c r="D75" s="975"/>
      <c r="E75" s="975"/>
      <c r="F75" s="975"/>
      <c r="G75" s="975"/>
      <c r="H75" s="979"/>
      <c r="I75" s="135">
        <v>3000</v>
      </c>
      <c r="J75" s="135"/>
    </row>
    <row r="76" spans="1:13" x14ac:dyDescent="0.25">
      <c r="A76" s="150" t="s">
        <v>10</v>
      </c>
      <c r="B76" s="125"/>
      <c r="C76" s="125"/>
      <c r="D76" s="125"/>
      <c r="E76" s="126"/>
      <c r="F76" s="127"/>
      <c r="G76" s="125"/>
      <c r="H76" s="128"/>
      <c r="I76" s="135"/>
      <c r="J76" s="135"/>
    </row>
    <row r="77" spans="1:13" x14ac:dyDescent="0.25">
      <c r="A77" s="57" t="s">
        <v>316</v>
      </c>
      <c r="B77" s="340">
        <v>1</v>
      </c>
      <c r="C77" s="340">
        <v>950</v>
      </c>
      <c r="D77" s="340">
        <v>20</v>
      </c>
      <c r="E77" s="358">
        <f>C77+D77</f>
        <v>970</v>
      </c>
      <c r="F77" s="359">
        <f>E77*('29_01_H_2020'!$F$14)</f>
        <v>97</v>
      </c>
      <c r="G77" s="340">
        <f>B77*12*F77</f>
        <v>1164</v>
      </c>
      <c r="H77" s="360">
        <f t="shared" ref="H77:H96" si="9">ROUND(G77*1.2409,2)</f>
        <v>1444.41</v>
      </c>
      <c r="I77" s="135"/>
      <c r="J77" s="135"/>
      <c r="L77" s="387"/>
      <c r="M77" s="170"/>
    </row>
    <row r="78" spans="1:13" x14ac:dyDescent="0.25">
      <c r="A78" s="57" t="s">
        <v>294</v>
      </c>
      <c r="B78" s="340">
        <v>0.25</v>
      </c>
      <c r="C78" s="340">
        <v>950</v>
      </c>
      <c r="D78" s="340">
        <v>96</v>
      </c>
      <c r="E78" s="358">
        <f t="shared" ref="E78:E80" si="10">C78+D78</f>
        <v>1046</v>
      </c>
      <c r="F78" s="359">
        <f>E78*('29_01_H_2020'!$F$14)</f>
        <v>104.60000000000001</v>
      </c>
      <c r="G78" s="340">
        <f t="shared" ref="G78:G80" si="11">B78*12*F78</f>
        <v>313.8</v>
      </c>
      <c r="H78" s="360">
        <f t="shared" si="9"/>
        <v>389.39</v>
      </c>
      <c r="I78" s="135"/>
      <c r="J78" s="135"/>
      <c r="L78" s="387"/>
      <c r="M78" s="170"/>
    </row>
    <row r="79" spans="1:13" x14ac:dyDescent="0.25">
      <c r="A79" s="57" t="s">
        <v>294</v>
      </c>
      <c r="B79" s="340">
        <v>0.75</v>
      </c>
      <c r="C79" s="340">
        <v>859</v>
      </c>
      <c r="D79" s="340">
        <v>20</v>
      </c>
      <c r="E79" s="358">
        <f t="shared" si="10"/>
        <v>879</v>
      </c>
      <c r="F79" s="359">
        <f>E79*('29_01_H_2020'!$F$14)</f>
        <v>87.9</v>
      </c>
      <c r="G79" s="340">
        <f t="shared" si="11"/>
        <v>791.1</v>
      </c>
      <c r="H79" s="360">
        <f t="shared" si="9"/>
        <v>981.68</v>
      </c>
      <c r="I79" s="135"/>
      <c r="J79" s="135"/>
      <c r="L79" s="387"/>
      <c r="M79" s="170"/>
    </row>
    <row r="80" spans="1:13" x14ac:dyDescent="0.25">
      <c r="A80" s="57" t="s">
        <v>309</v>
      </c>
      <c r="B80" s="340">
        <v>0.25</v>
      </c>
      <c r="C80" s="340">
        <v>950</v>
      </c>
      <c r="D80" s="340">
        <v>39</v>
      </c>
      <c r="E80" s="358">
        <f t="shared" si="10"/>
        <v>989</v>
      </c>
      <c r="F80" s="359">
        <f>E80*('29_01_H_2020'!$F$14)</f>
        <v>98.9</v>
      </c>
      <c r="G80" s="340">
        <f t="shared" si="11"/>
        <v>296.70000000000005</v>
      </c>
      <c r="H80" s="360">
        <f t="shared" si="9"/>
        <v>368.18</v>
      </c>
      <c r="I80" s="135"/>
      <c r="J80" s="135"/>
      <c r="L80" s="387"/>
      <c r="M80" s="170"/>
    </row>
    <row r="81" spans="1:13" x14ac:dyDescent="0.25">
      <c r="A81" s="57" t="s">
        <v>309</v>
      </c>
      <c r="B81" s="340">
        <v>0.5</v>
      </c>
      <c r="C81" s="340">
        <v>950</v>
      </c>
      <c r="D81" s="340">
        <v>39</v>
      </c>
      <c r="E81" s="358">
        <f>C81+D81</f>
        <v>989</v>
      </c>
      <c r="F81" s="359">
        <f>E81*('29_01_H_2020'!$F$14)</f>
        <v>98.9</v>
      </c>
      <c r="G81" s="340">
        <f>B81*12*F81</f>
        <v>593.40000000000009</v>
      </c>
      <c r="H81" s="360">
        <f t="shared" si="9"/>
        <v>736.35</v>
      </c>
      <c r="I81" s="135"/>
      <c r="J81" s="135"/>
      <c r="L81" s="387"/>
      <c r="M81" s="170"/>
    </row>
    <row r="82" spans="1:13" x14ac:dyDescent="0.25">
      <c r="A82" s="150" t="s">
        <v>27</v>
      </c>
      <c r="B82" s="125"/>
      <c r="C82" s="125"/>
      <c r="D82" s="125"/>
      <c r="E82" s="126"/>
      <c r="F82" s="127"/>
      <c r="G82" s="125"/>
      <c r="H82" s="128"/>
      <c r="I82" s="135"/>
      <c r="J82" s="135"/>
    </row>
    <row r="83" spans="1:13" x14ac:dyDescent="0.25">
      <c r="A83" s="489" t="s">
        <v>418</v>
      </c>
      <c r="B83" s="340">
        <v>1</v>
      </c>
      <c r="C83" s="340">
        <v>1240</v>
      </c>
      <c r="D83" s="340">
        <v>119.2</v>
      </c>
      <c r="E83" s="358">
        <f t="shared" ref="E83:E91" si="12">C83+D83</f>
        <v>1359.2</v>
      </c>
      <c r="F83" s="549">
        <f>E83*('29_01_H_2020'!$F$10)</f>
        <v>135.92000000000002</v>
      </c>
      <c r="G83" s="340">
        <f t="shared" ref="G83:G91" si="13">B83*12*F83</f>
        <v>1631.0400000000002</v>
      </c>
      <c r="H83" s="360">
        <f t="shared" si="9"/>
        <v>2023.96</v>
      </c>
      <c r="I83" s="135"/>
      <c r="J83" s="135"/>
      <c r="L83" s="387"/>
      <c r="M83" s="170"/>
    </row>
    <row r="84" spans="1:13" x14ac:dyDescent="0.25">
      <c r="A84" s="489" t="s">
        <v>419</v>
      </c>
      <c r="B84" s="340">
        <v>4</v>
      </c>
      <c r="C84" s="340">
        <v>721</v>
      </c>
      <c r="D84" s="340">
        <v>77.680000000000007</v>
      </c>
      <c r="E84" s="358">
        <f t="shared" si="12"/>
        <v>798.68000000000006</v>
      </c>
      <c r="F84" s="549">
        <f>E84*('29_01_H_2020'!$F$10)</f>
        <v>79.868000000000009</v>
      </c>
      <c r="G84" s="340">
        <f t="shared" si="13"/>
        <v>3833.6640000000007</v>
      </c>
      <c r="H84" s="360">
        <f t="shared" si="9"/>
        <v>4757.1899999999996</v>
      </c>
      <c r="I84" s="135"/>
      <c r="J84" s="135"/>
      <c r="L84" s="387"/>
      <c r="M84" s="170"/>
    </row>
    <row r="85" spans="1:13" x14ac:dyDescent="0.25">
      <c r="A85" s="489" t="s">
        <v>419</v>
      </c>
      <c r="B85" s="340">
        <v>1</v>
      </c>
      <c r="C85" s="340">
        <v>721</v>
      </c>
      <c r="D85" s="340">
        <v>63.26</v>
      </c>
      <c r="E85" s="358">
        <f t="shared" si="12"/>
        <v>784.26</v>
      </c>
      <c r="F85" s="549">
        <f>E85*('29_01_H_2020'!$F$10)</f>
        <v>78.426000000000002</v>
      </c>
      <c r="G85" s="340">
        <f t="shared" si="13"/>
        <v>941.11200000000008</v>
      </c>
      <c r="H85" s="360">
        <f t="shared" si="9"/>
        <v>1167.83</v>
      </c>
      <c r="I85" s="135"/>
      <c r="J85" s="135"/>
      <c r="L85" s="387"/>
      <c r="M85" s="170"/>
    </row>
    <row r="86" spans="1:13" x14ac:dyDescent="0.25">
      <c r="A86" s="489" t="s">
        <v>39</v>
      </c>
      <c r="B86" s="340">
        <v>0.5</v>
      </c>
      <c r="C86" s="340">
        <v>721</v>
      </c>
      <c r="D86" s="340">
        <v>77.680000000000007</v>
      </c>
      <c r="E86" s="358">
        <f t="shared" si="12"/>
        <v>798.68000000000006</v>
      </c>
      <c r="F86" s="549">
        <f>E86*('29_01_H_2020'!$F$10)</f>
        <v>79.868000000000009</v>
      </c>
      <c r="G86" s="340">
        <f t="shared" si="13"/>
        <v>479.20800000000008</v>
      </c>
      <c r="H86" s="360">
        <f t="shared" si="9"/>
        <v>594.65</v>
      </c>
      <c r="I86" s="135"/>
      <c r="J86" s="135"/>
      <c r="L86" s="387"/>
      <c r="M86" s="170"/>
    </row>
    <row r="87" spans="1:13" x14ac:dyDescent="0.25">
      <c r="A87" s="489" t="s">
        <v>419</v>
      </c>
      <c r="B87" s="340">
        <v>5</v>
      </c>
      <c r="C87" s="340">
        <v>746</v>
      </c>
      <c r="D87" s="340">
        <v>34.92</v>
      </c>
      <c r="E87" s="358">
        <f t="shared" si="12"/>
        <v>780.92</v>
      </c>
      <c r="F87" s="549">
        <f>E87*('29_01_H_2020'!$F$10)</f>
        <v>78.091999999999999</v>
      </c>
      <c r="G87" s="340">
        <f t="shared" si="13"/>
        <v>4685.5199999999995</v>
      </c>
      <c r="H87" s="360">
        <f t="shared" si="9"/>
        <v>5814.26</v>
      </c>
      <c r="I87" s="135"/>
      <c r="J87" s="367"/>
      <c r="L87" s="387"/>
      <c r="M87" s="170"/>
    </row>
    <row r="88" spans="1:13" x14ac:dyDescent="0.25">
      <c r="A88" s="489" t="s">
        <v>419</v>
      </c>
      <c r="B88" s="340">
        <v>3</v>
      </c>
      <c r="C88" s="340">
        <v>746</v>
      </c>
      <c r="D88" s="340">
        <v>79.680000000000007</v>
      </c>
      <c r="E88" s="358">
        <f t="shared" si="12"/>
        <v>825.68000000000006</v>
      </c>
      <c r="F88" s="549">
        <f>E88*('29_01_H_2020'!$F$10)</f>
        <v>82.568000000000012</v>
      </c>
      <c r="G88" s="340">
        <f t="shared" si="13"/>
        <v>2972.4480000000003</v>
      </c>
      <c r="H88" s="360">
        <f t="shared" si="9"/>
        <v>3688.51</v>
      </c>
      <c r="I88" s="135"/>
      <c r="J88" s="135"/>
      <c r="L88" s="387"/>
      <c r="M88" s="170"/>
    </row>
    <row r="89" spans="1:13" x14ac:dyDescent="0.25">
      <c r="A89" s="489" t="s">
        <v>39</v>
      </c>
      <c r="B89" s="340">
        <v>1.5</v>
      </c>
      <c r="C89" s="340">
        <v>660</v>
      </c>
      <c r="D89" s="340">
        <v>72.8</v>
      </c>
      <c r="E89" s="358">
        <f t="shared" si="12"/>
        <v>732.8</v>
      </c>
      <c r="F89" s="549">
        <f>E89*('29_01_H_2020'!$F$10)</f>
        <v>73.28</v>
      </c>
      <c r="G89" s="340">
        <f t="shared" si="13"/>
        <v>1319.04</v>
      </c>
      <c r="H89" s="360">
        <f t="shared" si="9"/>
        <v>1636.8</v>
      </c>
      <c r="I89" s="135"/>
      <c r="J89" s="135"/>
      <c r="L89" s="387"/>
      <c r="M89" s="170"/>
    </row>
    <row r="90" spans="1:13" x14ac:dyDescent="0.25">
      <c r="A90" s="489" t="s">
        <v>269</v>
      </c>
      <c r="B90" s="340">
        <v>1</v>
      </c>
      <c r="C90" s="340">
        <v>815</v>
      </c>
      <c r="D90" s="340">
        <v>36.299999999999997</v>
      </c>
      <c r="E90" s="358">
        <f t="shared" si="12"/>
        <v>851.3</v>
      </c>
      <c r="F90" s="549">
        <f>E90*('29_01_H_2020'!$F$10)</f>
        <v>85.13</v>
      </c>
      <c r="G90" s="340">
        <f t="shared" si="13"/>
        <v>1021.56</v>
      </c>
      <c r="H90" s="360">
        <f t="shared" si="9"/>
        <v>1267.6500000000001</v>
      </c>
      <c r="I90" s="135"/>
      <c r="J90" s="135"/>
      <c r="L90" s="387"/>
      <c r="M90" s="170"/>
    </row>
    <row r="91" spans="1:13" x14ac:dyDescent="0.25">
      <c r="A91" s="574" t="s">
        <v>420</v>
      </c>
      <c r="B91" s="340">
        <v>1</v>
      </c>
      <c r="C91" s="340">
        <v>860</v>
      </c>
      <c r="D91" s="340">
        <v>20</v>
      </c>
      <c r="E91" s="358">
        <f t="shared" si="12"/>
        <v>880</v>
      </c>
      <c r="F91" s="549">
        <f>E91*('29_01_H_2020'!$F$10)</f>
        <v>88</v>
      </c>
      <c r="G91" s="340">
        <f t="shared" si="13"/>
        <v>1056</v>
      </c>
      <c r="H91" s="360">
        <f t="shared" si="9"/>
        <v>1310.3900000000001</v>
      </c>
      <c r="I91" s="135"/>
      <c r="J91" s="135"/>
      <c r="L91" s="387"/>
      <c r="M91" s="170"/>
    </row>
    <row r="92" spans="1:13" x14ac:dyDescent="0.25">
      <c r="A92" s="150" t="s">
        <v>46</v>
      </c>
      <c r="B92" s="125"/>
      <c r="C92" s="125"/>
      <c r="D92" s="125"/>
      <c r="E92" s="126"/>
      <c r="F92" s="127"/>
      <c r="G92" s="125"/>
      <c r="H92" s="128"/>
      <c r="I92" s="135"/>
      <c r="J92" s="135"/>
    </row>
    <row r="93" spans="1:13" x14ac:dyDescent="0.25">
      <c r="A93" s="153" t="s">
        <v>47</v>
      </c>
      <c r="B93" s="342">
        <v>6</v>
      </c>
      <c r="C93" s="342">
        <v>524</v>
      </c>
      <c r="D93" s="342">
        <v>30.48</v>
      </c>
      <c r="E93" s="358">
        <f>C93+D93</f>
        <v>554.48</v>
      </c>
      <c r="F93" s="359">
        <f>E93*('29_01_H_2020'!$F$14)</f>
        <v>55.448000000000008</v>
      </c>
      <c r="G93" s="340">
        <f>B93*12*F93</f>
        <v>3992.2560000000003</v>
      </c>
      <c r="H93" s="360">
        <f t="shared" si="9"/>
        <v>4953.99</v>
      </c>
      <c r="I93" s="135"/>
      <c r="J93" s="135"/>
      <c r="L93" s="387"/>
      <c r="M93" s="170"/>
    </row>
    <row r="94" spans="1:13" x14ac:dyDescent="0.25">
      <c r="A94" s="153" t="s">
        <v>47</v>
      </c>
      <c r="B94" s="342">
        <v>5</v>
      </c>
      <c r="C94" s="342">
        <v>524</v>
      </c>
      <c r="D94" s="342">
        <v>40.96</v>
      </c>
      <c r="E94" s="358">
        <f>C94+D94</f>
        <v>564.96</v>
      </c>
      <c r="F94" s="359">
        <f>E94*('29_01_H_2020'!$F$14)</f>
        <v>56.496000000000009</v>
      </c>
      <c r="G94" s="340">
        <f>B94*12*F94</f>
        <v>3389.7600000000007</v>
      </c>
      <c r="H94" s="360">
        <f t="shared" si="9"/>
        <v>4206.3500000000004</v>
      </c>
      <c r="I94" s="135"/>
      <c r="J94" s="135"/>
      <c r="L94" s="387"/>
      <c r="M94" s="170"/>
    </row>
    <row r="95" spans="1:13" x14ac:dyDescent="0.25">
      <c r="A95" s="153" t="s">
        <v>47</v>
      </c>
      <c r="B95" s="342">
        <v>2</v>
      </c>
      <c r="C95" s="342">
        <v>524</v>
      </c>
      <c r="D95" s="342">
        <v>61.92</v>
      </c>
      <c r="E95" s="358">
        <f>C95+D95</f>
        <v>585.91999999999996</v>
      </c>
      <c r="F95" s="359">
        <f>E95*('29_01_H_2020'!$F$14)</f>
        <v>58.591999999999999</v>
      </c>
      <c r="G95" s="340">
        <f>B95*12*F95</f>
        <v>1406.2080000000001</v>
      </c>
      <c r="H95" s="360">
        <f t="shared" si="9"/>
        <v>1744.96</v>
      </c>
      <c r="I95" s="135"/>
      <c r="J95" s="135"/>
      <c r="L95" s="387"/>
      <c r="M95" s="170"/>
    </row>
    <row r="96" spans="1:13" x14ac:dyDescent="0.25">
      <c r="A96" s="153" t="s">
        <v>47</v>
      </c>
      <c r="B96" s="342">
        <v>1</v>
      </c>
      <c r="C96" s="342">
        <v>524</v>
      </c>
      <c r="D96" s="342">
        <v>20</v>
      </c>
      <c r="E96" s="358">
        <f>C96+D96</f>
        <v>544</v>
      </c>
      <c r="F96" s="359">
        <f>E96*('29_01_H_2020'!$F$14)</f>
        <v>54.400000000000006</v>
      </c>
      <c r="G96" s="340">
        <f>B96*12*F96</f>
        <v>652.80000000000007</v>
      </c>
      <c r="H96" s="360">
        <f t="shared" si="9"/>
        <v>810.06</v>
      </c>
      <c r="I96" s="135"/>
      <c r="J96" s="135"/>
      <c r="L96" s="387"/>
      <c r="M96" s="170"/>
    </row>
    <row r="97" spans="1:13" x14ac:dyDescent="0.25">
      <c r="A97" s="143" t="s">
        <v>407</v>
      </c>
      <c r="B97" s="152">
        <f>SUM(B77:B96)</f>
        <v>34.75</v>
      </c>
      <c r="C97" s="145"/>
      <c r="D97" s="145"/>
      <c r="E97" s="146"/>
      <c r="F97" s="361">
        <f t="shared" ref="F97:H97" si="14">SUM(F77:F96)</f>
        <v>1493.3880000000006</v>
      </c>
      <c r="G97" s="362">
        <f t="shared" si="14"/>
        <v>30539.616000000005</v>
      </c>
      <c r="H97" s="363">
        <f t="shared" si="14"/>
        <v>37896.61</v>
      </c>
      <c r="I97" s="135"/>
      <c r="J97" s="135"/>
    </row>
    <row r="98" spans="1:13" ht="32.25" customHeight="1" x14ac:dyDescent="0.25">
      <c r="A98" s="911" t="s">
        <v>421</v>
      </c>
      <c r="B98" s="975"/>
      <c r="C98" s="975"/>
      <c r="D98" s="975"/>
      <c r="E98" s="975"/>
      <c r="F98" s="975"/>
      <c r="G98" s="975"/>
      <c r="H98" s="979"/>
      <c r="I98" s="135">
        <v>3000</v>
      </c>
      <c r="J98" s="135"/>
    </row>
    <row r="99" spans="1:13" x14ac:dyDescent="0.25">
      <c r="A99" s="150" t="s">
        <v>10</v>
      </c>
      <c r="B99" s="125"/>
      <c r="C99" s="125"/>
      <c r="D99" s="125"/>
      <c r="E99" s="126"/>
      <c r="F99" s="127"/>
      <c r="G99" s="125"/>
      <c r="H99" s="128"/>
      <c r="I99" s="135"/>
      <c r="J99" s="135"/>
    </row>
    <row r="100" spans="1:13" x14ac:dyDescent="0.25">
      <c r="A100" s="156" t="s">
        <v>422</v>
      </c>
      <c r="B100" s="340">
        <v>0.2</v>
      </c>
      <c r="C100" s="356">
        <v>1300</v>
      </c>
      <c r="D100" s="356">
        <v>52</v>
      </c>
      <c r="E100" s="364">
        <f t="shared" ref="E100:E106" si="15">C100+D100</f>
        <v>1352</v>
      </c>
      <c r="F100" s="359">
        <f>E100*('29_01_H_2020'!$F$14)</f>
        <v>135.20000000000002</v>
      </c>
      <c r="G100" s="356">
        <f t="shared" ref="G100:G106" si="16">B100*12*F100</f>
        <v>324.48000000000008</v>
      </c>
      <c r="H100" s="360">
        <f t="shared" ref="H100" si="17">ROUND(G100*1.2409,2)</f>
        <v>402.65</v>
      </c>
      <c r="I100" s="135"/>
      <c r="J100" s="135"/>
      <c r="L100" s="387"/>
      <c r="M100" s="170"/>
    </row>
    <row r="101" spans="1:13" hidden="1" x14ac:dyDescent="0.25">
      <c r="A101" s="57"/>
      <c r="B101" s="130"/>
      <c r="C101" s="130"/>
      <c r="D101" s="130"/>
      <c r="E101" s="131">
        <f t="shared" si="15"/>
        <v>0</v>
      </c>
      <c r="F101" s="132">
        <f t="shared" ref="F101:F106" si="18">E101*0.2</f>
        <v>0</v>
      </c>
      <c r="G101" s="133">
        <f t="shared" si="16"/>
        <v>0</v>
      </c>
      <c r="H101" s="134">
        <f t="shared" ref="H101:H106" si="19">G101*1.2409</f>
        <v>0</v>
      </c>
      <c r="I101" s="135"/>
      <c r="J101" s="135"/>
    </row>
    <row r="102" spans="1:13" hidden="1" x14ac:dyDescent="0.25">
      <c r="A102" s="57"/>
      <c r="B102" s="130"/>
      <c r="C102" s="130"/>
      <c r="D102" s="130"/>
      <c r="E102" s="131">
        <f t="shared" si="15"/>
        <v>0</v>
      </c>
      <c r="F102" s="132">
        <f t="shared" si="18"/>
        <v>0</v>
      </c>
      <c r="G102" s="133">
        <f t="shared" si="16"/>
        <v>0</v>
      </c>
      <c r="H102" s="134">
        <f t="shared" si="19"/>
        <v>0</v>
      </c>
      <c r="I102" s="135"/>
      <c r="J102" s="135"/>
    </row>
    <row r="103" spans="1:13" hidden="1" x14ac:dyDescent="0.25">
      <c r="A103" s="57"/>
      <c r="B103" s="130"/>
      <c r="C103" s="130"/>
      <c r="D103" s="130"/>
      <c r="E103" s="131">
        <f t="shared" si="15"/>
        <v>0</v>
      </c>
      <c r="F103" s="132">
        <f t="shared" si="18"/>
        <v>0</v>
      </c>
      <c r="G103" s="133">
        <f t="shared" si="16"/>
        <v>0</v>
      </c>
      <c r="H103" s="134">
        <f t="shared" si="19"/>
        <v>0</v>
      </c>
      <c r="I103" s="135"/>
      <c r="J103" s="135"/>
    </row>
    <row r="104" spans="1:13" hidden="1" x14ac:dyDescent="0.25">
      <c r="A104" s="57"/>
      <c r="B104" s="130"/>
      <c r="C104" s="130"/>
      <c r="D104" s="130"/>
      <c r="E104" s="131">
        <f t="shared" si="15"/>
        <v>0</v>
      </c>
      <c r="F104" s="132">
        <f t="shared" si="18"/>
        <v>0</v>
      </c>
      <c r="G104" s="133">
        <f t="shared" si="16"/>
        <v>0</v>
      </c>
      <c r="H104" s="134">
        <f t="shared" si="19"/>
        <v>0</v>
      </c>
      <c r="I104" s="135"/>
      <c r="J104" s="135"/>
    </row>
    <row r="105" spans="1:13" hidden="1" x14ac:dyDescent="0.25">
      <c r="A105" s="57"/>
      <c r="B105" s="130"/>
      <c r="C105" s="130"/>
      <c r="D105" s="130"/>
      <c r="E105" s="131">
        <f t="shared" si="15"/>
        <v>0</v>
      </c>
      <c r="F105" s="132">
        <f t="shared" si="18"/>
        <v>0</v>
      </c>
      <c r="G105" s="133">
        <f t="shared" si="16"/>
        <v>0</v>
      </c>
      <c r="H105" s="134">
        <f t="shared" si="19"/>
        <v>0</v>
      </c>
      <c r="I105" s="135"/>
      <c r="J105" s="135"/>
    </row>
    <row r="106" spans="1:13" hidden="1" x14ac:dyDescent="0.25">
      <c r="A106" s="57"/>
      <c r="B106" s="130"/>
      <c r="C106" s="130"/>
      <c r="D106" s="130"/>
      <c r="E106" s="131">
        <f t="shared" si="15"/>
        <v>0</v>
      </c>
      <c r="F106" s="132">
        <f t="shared" si="18"/>
        <v>0</v>
      </c>
      <c r="G106" s="133">
        <f t="shared" si="16"/>
        <v>0</v>
      </c>
      <c r="H106" s="134">
        <f t="shared" si="19"/>
        <v>0</v>
      </c>
      <c r="I106" s="135"/>
      <c r="J106" s="135"/>
    </row>
    <row r="107" spans="1:13" hidden="1" x14ac:dyDescent="0.25">
      <c r="A107" s="57"/>
      <c r="B107" s="130"/>
      <c r="C107" s="130"/>
      <c r="D107" s="130"/>
      <c r="E107" s="131">
        <f>C107+D107</f>
        <v>0</v>
      </c>
      <c r="F107" s="132">
        <f>E107*0.2</f>
        <v>0</v>
      </c>
      <c r="G107" s="133">
        <f>B107*12*F107</f>
        <v>0</v>
      </c>
      <c r="H107" s="134">
        <f>G107*1.2409</f>
        <v>0</v>
      </c>
      <c r="I107" s="135"/>
      <c r="J107" s="135"/>
    </row>
    <row r="108" spans="1:13" x14ac:dyDescent="0.25">
      <c r="A108" s="150" t="s">
        <v>27</v>
      </c>
      <c r="B108" s="125"/>
      <c r="C108" s="125"/>
      <c r="D108" s="125"/>
      <c r="E108" s="126"/>
      <c r="F108" s="127"/>
      <c r="G108" s="125"/>
      <c r="H108" s="128"/>
      <c r="I108" s="135"/>
      <c r="J108" s="135"/>
    </row>
    <row r="109" spans="1:13" x14ac:dyDescent="0.25">
      <c r="A109" s="489" t="s">
        <v>39</v>
      </c>
      <c r="B109" s="340">
        <v>0.1</v>
      </c>
      <c r="C109" s="356">
        <v>800</v>
      </c>
      <c r="D109" s="356">
        <v>32</v>
      </c>
      <c r="E109" s="364">
        <f>C109+D109</f>
        <v>832</v>
      </c>
      <c r="F109" s="549">
        <f>E109*('29_01_H_2020'!$F$10)</f>
        <v>83.2</v>
      </c>
      <c r="G109" s="356">
        <f>B109*12*F109</f>
        <v>99.840000000000018</v>
      </c>
      <c r="H109" s="360">
        <f t="shared" ref="H109" si="20">ROUND(G109*1.2409,2)</f>
        <v>123.89</v>
      </c>
      <c r="I109" s="135"/>
      <c r="J109" s="135"/>
      <c r="L109" s="387"/>
      <c r="M109" s="170"/>
    </row>
    <row r="110" spans="1:13" hidden="1" x14ac:dyDescent="0.25">
      <c r="A110" s="157"/>
      <c r="B110" s="130"/>
      <c r="C110" s="130"/>
      <c r="D110" s="130"/>
      <c r="E110" s="131">
        <f>C110+D110</f>
        <v>0</v>
      </c>
      <c r="F110" s="132">
        <f>E110*0.2</f>
        <v>0</v>
      </c>
      <c r="G110" s="133">
        <f>B110*12*F110</f>
        <v>0</v>
      </c>
      <c r="H110" s="134">
        <f>G110*1.2409</f>
        <v>0</v>
      </c>
      <c r="I110" s="135"/>
      <c r="J110" s="135"/>
    </row>
    <row r="111" spans="1:13" x14ac:dyDescent="0.25">
      <c r="A111" s="143" t="s">
        <v>407</v>
      </c>
      <c r="B111" s="152">
        <f>B100+B109</f>
        <v>0.30000000000000004</v>
      </c>
      <c r="C111" s="145"/>
      <c r="D111" s="145"/>
      <c r="E111" s="146"/>
      <c r="F111" s="361">
        <f t="shared" ref="F111:H111" si="21">F100+F109</f>
        <v>218.40000000000003</v>
      </c>
      <c r="G111" s="362">
        <f t="shared" si="21"/>
        <v>424.32000000000011</v>
      </c>
      <c r="H111" s="363">
        <f t="shared" si="21"/>
        <v>526.54</v>
      </c>
      <c r="I111" s="135"/>
      <c r="J111" s="135"/>
    </row>
    <row r="112" spans="1:13" ht="37.5" customHeight="1" x14ac:dyDescent="0.25">
      <c r="A112" s="911" t="s">
        <v>423</v>
      </c>
      <c r="B112" s="975"/>
      <c r="C112" s="975"/>
      <c r="D112" s="975"/>
      <c r="E112" s="975"/>
      <c r="F112" s="975"/>
      <c r="G112" s="975"/>
      <c r="H112" s="979"/>
      <c r="I112" s="135">
        <v>3000</v>
      </c>
      <c r="J112" s="135"/>
    </row>
    <row r="113" spans="1:13" x14ac:dyDescent="0.25">
      <c r="A113" s="150" t="s">
        <v>10</v>
      </c>
      <c r="B113" s="125"/>
      <c r="C113" s="125"/>
      <c r="D113" s="125"/>
      <c r="E113" s="126"/>
      <c r="F113" s="127"/>
      <c r="G113" s="125"/>
      <c r="H113" s="128"/>
      <c r="I113" s="135"/>
      <c r="J113" s="135"/>
    </row>
    <row r="114" spans="1:13" x14ac:dyDescent="0.25">
      <c r="A114" s="57" t="s">
        <v>291</v>
      </c>
      <c r="B114" s="340">
        <v>0.25</v>
      </c>
      <c r="C114" s="356">
        <v>1300</v>
      </c>
      <c r="D114" s="356">
        <v>104</v>
      </c>
      <c r="E114" s="364">
        <f>C114+D114</f>
        <v>1404</v>
      </c>
      <c r="F114" s="359">
        <f>E114*('29_01_H_2020'!$F$14)</f>
        <v>140.4</v>
      </c>
      <c r="G114" s="356">
        <f>B114*12*F114</f>
        <v>421.20000000000005</v>
      </c>
      <c r="H114" s="360">
        <f t="shared" ref="H114:H119" si="22">ROUND(G114*1.2409,2)</f>
        <v>522.66999999999996</v>
      </c>
      <c r="I114" s="135"/>
      <c r="J114" s="135"/>
      <c r="L114" s="387"/>
      <c r="M114" s="170"/>
    </row>
    <row r="115" spans="1:13" x14ac:dyDescent="0.25">
      <c r="A115" s="57" t="s">
        <v>316</v>
      </c>
      <c r="B115" s="340">
        <v>0.25</v>
      </c>
      <c r="C115" s="356">
        <v>950</v>
      </c>
      <c r="D115" s="356">
        <v>76</v>
      </c>
      <c r="E115" s="364">
        <f>C115+D115</f>
        <v>1026</v>
      </c>
      <c r="F115" s="359">
        <f>E115*('29_01_H_2020'!$F$14)</f>
        <v>102.60000000000001</v>
      </c>
      <c r="G115" s="356">
        <f>B115*12*F115</f>
        <v>307.8</v>
      </c>
      <c r="H115" s="360">
        <f t="shared" si="22"/>
        <v>381.95</v>
      </c>
      <c r="I115" s="135"/>
      <c r="J115" s="135"/>
      <c r="L115" s="387"/>
      <c r="M115" s="170"/>
    </row>
    <row r="116" spans="1:13" x14ac:dyDescent="0.25">
      <c r="A116" s="150" t="s">
        <v>27</v>
      </c>
      <c r="B116" s="125"/>
      <c r="C116" s="125"/>
      <c r="D116" s="125"/>
      <c r="E116" s="126"/>
      <c r="F116" s="127"/>
      <c r="G116" s="125"/>
      <c r="H116" s="128"/>
      <c r="I116" s="135"/>
      <c r="J116" s="135"/>
    </row>
    <row r="117" spans="1:13" x14ac:dyDescent="0.25">
      <c r="A117" s="489" t="s">
        <v>32</v>
      </c>
      <c r="B117" s="340">
        <v>1</v>
      </c>
      <c r="C117" s="356">
        <v>1000</v>
      </c>
      <c r="D117" s="356">
        <v>80</v>
      </c>
      <c r="E117" s="364">
        <f>C117+D117</f>
        <v>1080</v>
      </c>
      <c r="F117" s="549">
        <f>E117*('29_01_H_2020'!$F$10)</f>
        <v>108</v>
      </c>
      <c r="G117" s="356">
        <f>B117*12*F117</f>
        <v>1296</v>
      </c>
      <c r="H117" s="360">
        <f t="shared" si="22"/>
        <v>1608.21</v>
      </c>
      <c r="I117" s="135"/>
      <c r="J117" s="135"/>
      <c r="L117" s="387"/>
      <c r="M117" s="170"/>
    </row>
    <row r="118" spans="1:13" x14ac:dyDescent="0.25">
      <c r="A118" s="489" t="s">
        <v>419</v>
      </c>
      <c r="B118" s="340">
        <v>2.5</v>
      </c>
      <c r="C118" s="356">
        <v>800</v>
      </c>
      <c r="D118" s="356">
        <v>64</v>
      </c>
      <c r="E118" s="364">
        <f>C118+D118</f>
        <v>864</v>
      </c>
      <c r="F118" s="549">
        <f>E118*('29_01_H_2020'!$F$10)</f>
        <v>86.4</v>
      </c>
      <c r="G118" s="356">
        <f>B118*12*F118</f>
        <v>2592</v>
      </c>
      <c r="H118" s="360">
        <f t="shared" si="22"/>
        <v>3216.41</v>
      </c>
      <c r="I118" s="135"/>
      <c r="J118" s="135"/>
      <c r="L118" s="387"/>
      <c r="M118" s="170"/>
    </row>
    <row r="119" spans="1:13" x14ac:dyDescent="0.25">
      <c r="A119" s="489" t="s">
        <v>39</v>
      </c>
      <c r="B119" s="340">
        <v>2.2999999999999998</v>
      </c>
      <c r="C119" s="356">
        <v>714</v>
      </c>
      <c r="D119" s="356">
        <v>57.12</v>
      </c>
      <c r="E119" s="364">
        <f>C119+D119</f>
        <v>771.12</v>
      </c>
      <c r="F119" s="549">
        <f>E119*('29_01_H_2020'!$F$10)</f>
        <v>77.112000000000009</v>
      </c>
      <c r="G119" s="356">
        <f>B119*12*F119</f>
        <v>2128.2912000000001</v>
      </c>
      <c r="H119" s="360">
        <f t="shared" si="22"/>
        <v>2641</v>
      </c>
      <c r="I119" s="135"/>
      <c r="J119" s="135"/>
      <c r="L119" s="387"/>
      <c r="M119" s="170"/>
    </row>
    <row r="120" spans="1:13" x14ac:dyDescent="0.25">
      <c r="A120" s="143" t="s">
        <v>407</v>
      </c>
      <c r="B120" s="152">
        <f>B119+B117+B115+B114+B118</f>
        <v>6.3</v>
      </c>
      <c r="C120" s="145"/>
      <c r="D120" s="145"/>
      <c r="E120" s="146"/>
      <c r="F120" s="361">
        <f>F119+F117+F115+F114+F118</f>
        <v>514.51200000000006</v>
      </c>
      <c r="G120" s="362">
        <f>G119+G117+G115+G114+G118</f>
        <v>6745.2912000000006</v>
      </c>
      <c r="H120" s="363">
        <f>H119+H117+H115+H114+H118</f>
        <v>8370.24</v>
      </c>
      <c r="I120" s="135"/>
      <c r="J120" s="135"/>
    </row>
    <row r="121" spans="1:13" hidden="1" x14ac:dyDescent="0.25">
      <c r="A121" s="911"/>
      <c r="B121" s="975"/>
      <c r="C121" s="975"/>
      <c r="D121" s="975"/>
      <c r="E121" s="975"/>
      <c r="F121" s="975"/>
      <c r="G121" s="975"/>
      <c r="H121" s="979"/>
      <c r="I121" s="135">
        <v>7000</v>
      </c>
      <c r="J121" s="135"/>
    </row>
    <row r="122" spans="1:13" hidden="1" x14ac:dyDescent="0.25">
      <c r="A122" s="150" t="s">
        <v>10</v>
      </c>
      <c r="B122" s="125"/>
      <c r="C122" s="125"/>
      <c r="D122" s="125"/>
      <c r="E122" s="126"/>
      <c r="F122" s="127"/>
      <c r="G122" s="125"/>
      <c r="H122" s="128"/>
      <c r="I122" s="135"/>
      <c r="J122" s="135"/>
    </row>
    <row r="123" spans="1:13" hidden="1" x14ac:dyDescent="0.25">
      <c r="A123" s="57" t="s">
        <v>291</v>
      </c>
      <c r="B123" s="130"/>
      <c r="C123" s="130"/>
      <c r="D123" s="130">
        <v>0</v>
      </c>
      <c r="E123" s="131">
        <f>C123+D123</f>
        <v>0</v>
      </c>
      <c r="F123" s="132">
        <f>E123*0.2</f>
        <v>0</v>
      </c>
      <c r="G123" s="133">
        <f>B123*12*F123</f>
        <v>0</v>
      </c>
      <c r="H123" s="134">
        <f>G123*1.2409</f>
        <v>0</v>
      </c>
      <c r="I123" s="135"/>
      <c r="J123" s="135"/>
    </row>
    <row r="124" spans="1:13" hidden="1" x14ac:dyDescent="0.25">
      <c r="A124" s="150" t="s">
        <v>27</v>
      </c>
      <c r="B124" s="125"/>
      <c r="C124" s="125"/>
      <c r="D124" s="125"/>
      <c r="E124" s="126"/>
      <c r="F124" s="127"/>
      <c r="G124" s="125"/>
      <c r="H124" s="128"/>
      <c r="I124" s="135"/>
      <c r="J124" s="135"/>
    </row>
    <row r="125" spans="1:13" hidden="1" x14ac:dyDescent="0.25">
      <c r="A125" s="57" t="s">
        <v>39</v>
      </c>
      <c r="B125" s="130"/>
      <c r="C125" s="130"/>
      <c r="D125" s="130">
        <v>0</v>
      </c>
      <c r="E125" s="131">
        <f>C125+D125</f>
        <v>0</v>
      </c>
      <c r="F125" s="132">
        <f>E125*0.2</f>
        <v>0</v>
      </c>
      <c r="G125" s="133">
        <f>B125*12*F125</f>
        <v>0</v>
      </c>
      <c r="H125" s="134">
        <f>G125*1.2409</f>
        <v>0</v>
      </c>
      <c r="I125" s="135"/>
      <c r="J125" s="135"/>
    </row>
    <row r="126" spans="1:13" hidden="1" x14ac:dyDescent="0.25">
      <c r="A126" s="143" t="s">
        <v>407</v>
      </c>
      <c r="B126" s="152">
        <f>B125+B123</f>
        <v>0</v>
      </c>
      <c r="C126" s="145"/>
      <c r="D126" s="145"/>
      <c r="E126" s="146"/>
      <c r="F126" s="147">
        <f>F125+F123</f>
        <v>0</v>
      </c>
      <c r="G126" s="148">
        <f>G125+G123</f>
        <v>0</v>
      </c>
      <c r="H126" s="149">
        <f>H125+H123</f>
        <v>0</v>
      </c>
      <c r="I126" s="135"/>
      <c r="J126" s="135"/>
    </row>
    <row r="127" spans="1:13" ht="32.25" customHeight="1" x14ac:dyDescent="0.25">
      <c r="A127" s="911" t="s">
        <v>424</v>
      </c>
      <c r="B127" s="975"/>
      <c r="C127" s="975"/>
      <c r="D127" s="975"/>
      <c r="E127" s="975"/>
      <c r="F127" s="975"/>
      <c r="G127" s="975"/>
      <c r="H127" s="979"/>
      <c r="I127" s="135">
        <v>3000</v>
      </c>
      <c r="J127" s="135"/>
    </row>
    <row r="128" spans="1:13" x14ac:dyDescent="0.25">
      <c r="A128" s="150" t="s">
        <v>10</v>
      </c>
      <c r="B128" s="125"/>
      <c r="C128" s="125"/>
      <c r="D128" s="125"/>
      <c r="E128" s="126"/>
      <c r="F128" s="127"/>
      <c r="G128" s="125"/>
      <c r="H128" s="128"/>
      <c r="I128" s="135"/>
      <c r="J128" s="135"/>
    </row>
    <row r="129" spans="1:13" x14ac:dyDescent="0.25">
      <c r="A129" s="57" t="s">
        <v>425</v>
      </c>
      <c r="B129" s="130">
        <v>0.25</v>
      </c>
      <c r="C129" s="356">
        <v>800</v>
      </c>
      <c r="D129" s="356">
        <v>112</v>
      </c>
      <c r="E129" s="364">
        <f>C129+D129</f>
        <v>912</v>
      </c>
      <c r="F129" s="359">
        <f>E129*('29_01_H_2020'!$F$14)</f>
        <v>91.2</v>
      </c>
      <c r="G129" s="356">
        <f>B129*12*F129</f>
        <v>273.60000000000002</v>
      </c>
      <c r="H129" s="360">
        <f t="shared" ref="H129:H131" si="23">ROUND(G129*1.2409,2)</f>
        <v>339.51</v>
      </c>
      <c r="I129" s="135"/>
      <c r="J129" s="135"/>
      <c r="L129" s="387"/>
      <c r="M129" s="170"/>
    </row>
    <row r="130" spans="1:13" x14ac:dyDescent="0.25">
      <c r="A130" s="57" t="s">
        <v>426</v>
      </c>
      <c r="B130" s="130">
        <v>0.25</v>
      </c>
      <c r="C130" s="356">
        <v>950</v>
      </c>
      <c r="D130" s="356">
        <v>133</v>
      </c>
      <c r="E130" s="364">
        <f>C130+D130</f>
        <v>1083</v>
      </c>
      <c r="F130" s="359">
        <f>E130*('29_01_H_2020'!$F$14)</f>
        <v>108.30000000000001</v>
      </c>
      <c r="G130" s="356">
        <f>B130*12*F130</f>
        <v>324.90000000000003</v>
      </c>
      <c r="H130" s="360">
        <f t="shared" si="23"/>
        <v>403.17</v>
      </c>
      <c r="I130" s="135"/>
      <c r="J130" s="135"/>
      <c r="L130" s="387"/>
      <c r="M130" s="170"/>
    </row>
    <row r="131" spans="1:13" x14ac:dyDescent="0.25">
      <c r="A131" s="57" t="s">
        <v>422</v>
      </c>
      <c r="B131" s="130">
        <v>0.25</v>
      </c>
      <c r="C131" s="356">
        <v>1300</v>
      </c>
      <c r="D131" s="356">
        <v>182</v>
      </c>
      <c r="E131" s="364">
        <f>C131+D131</f>
        <v>1482</v>
      </c>
      <c r="F131" s="359">
        <f>E131*('29_01_H_2020'!$F$14)</f>
        <v>148.20000000000002</v>
      </c>
      <c r="G131" s="356">
        <f>B131*12*F131</f>
        <v>444.6</v>
      </c>
      <c r="H131" s="360">
        <f t="shared" si="23"/>
        <v>551.70000000000005</v>
      </c>
      <c r="I131" s="135"/>
      <c r="J131" s="135"/>
      <c r="L131" s="387"/>
      <c r="M131" s="170"/>
    </row>
    <row r="132" spans="1:13" x14ac:dyDescent="0.25">
      <c r="A132" s="143" t="s">
        <v>407</v>
      </c>
      <c r="B132" s="152">
        <f>B131+B129+B130</f>
        <v>0.75</v>
      </c>
      <c r="C132" s="145"/>
      <c r="D132" s="145"/>
      <c r="E132" s="146"/>
      <c r="F132" s="361">
        <f>F131+F129+F130</f>
        <v>347.70000000000005</v>
      </c>
      <c r="G132" s="362">
        <f>G131+G129+G130</f>
        <v>1043.1000000000001</v>
      </c>
      <c r="H132" s="363">
        <f>H131+H129+H130</f>
        <v>1294.3800000000001</v>
      </c>
      <c r="I132" s="135"/>
      <c r="J132" s="135"/>
    </row>
    <row r="133" spans="1:13" ht="27.75" customHeight="1" x14ac:dyDescent="0.25">
      <c r="A133" s="911" t="s">
        <v>427</v>
      </c>
      <c r="B133" s="975"/>
      <c r="C133" s="975"/>
      <c r="D133" s="975"/>
      <c r="E133" s="975"/>
      <c r="F133" s="975"/>
      <c r="G133" s="975"/>
      <c r="H133" s="979"/>
      <c r="I133" s="135">
        <v>3000</v>
      </c>
      <c r="J133" s="135"/>
    </row>
    <row r="134" spans="1:13" x14ac:dyDescent="0.25">
      <c r="A134" s="150" t="s">
        <v>10</v>
      </c>
      <c r="B134" s="125"/>
      <c r="C134" s="125"/>
      <c r="D134" s="125"/>
      <c r="E134" s="126"/>
      <c r="F134" s="127"/>
      <c r="G134" s="125"/>
      <c r="H134" s="128"/>
      <c r="I134" s="135"/>
      <c r="J134" s="135"/>
    </row>
    <row r="135" spans="1:13" x14ac:dyDescent="0.25">
      <c r="A135" s="57" t="s">
        <v>24</v>
      </c>
      <c r="B135" s="340">
        <v>0.5</v>
      </c>
      <c r="C135" s="356">
        <v>720</v>
      </c>
      <c r="D135" s="356">
        <v>0</v>
      </c>
      <c r="E135" s="364">
        <f>C135+D135</f>
        <v>720</v>
      </c>
      <c r="F135" s="359">
        <f>E135*('29_01_H_2020'!$F$14)</f>
        <v>72</v>
      </c>
      <c r="G135" s="356">
        <f>B135*12*F135</f>
        <v>432</v>
      </c>
      <c r="H135" s="360">
        <f t="shared" ref="H135:H144" si="24">ROUND(G135*1.2409,2)</f>
        <v>536.07000000000005</v>
      </c>
      <c r="I135" s="135"/>
      <c r="J135" s="135"/>
      <c r="L135" s="387"/>
      <c r="M135" s="170"/>
    </row>
    <row r="136" spans="1:13" x14ac:dyDescent="0.25">
      <c r="A136" s="57" t="s">
        <v>24</v>
      </c>
      <c r="B136" s="340">
        <v>0.5</v>
      </c>
      <c r="C136" s="356">
        <v>720</v>
      </c>
      <c r="D136" s="356">
        <v>0</v>
      </c>
      <c r="E136" s="364">
        <f>C136+D136</f>
        <v>720</v>
      </c>
      <c r="F136" s="359">
        <f>E136*('29_01_H_2020'!$F$14)</f>
        <v>72</v>
      </c>
      <c r="G136" s="356">
        <f>B136*12*F136</f>
        <v>432</v>
      </c>
      <c r="H136" s="360">
        <f t="shared" si="24"/>
        <v>536.07000000000005</v>
      </c>
      <c r="I136" s="135"/>
      <c r="J136" s="135"/>
      <c r="L136" s="387"/>
      <c r="M136" s="170"/>
    </row>
    <row r="137" spans="1:13" ht="26.25" x14ac:dyDescent="0.25">
      <c r="A137" s="156" t="s">
        <v>428</v>
      </c>
      <c r="B137" s="340">
        <v>0.15</v>
      </c>
      <c r="C137" s="356">
        <v>3024</v>
      </c>
      <c r="D137" s="356">
        <v>0</v>
      </c>
      <c r="E137" s="364">
        <f>C137+D137</f>
        <v>3024</v>
      </c>
      <c r="F137" s="359">
        <f>E137*('29_01_H_2020'!$F$14)</f>
        <v>302.40000000000003</v>
      </c>
      <c r="G137" s="356">
        <f>B137*12*F137</f>
        <v>544.32000000000005</v>
      </c>
      <c r="H137" s="360">
        <f t="shared" si="24"/>
        <v>675.45</v>
      </c>
      <c r="I137" s="135"/>
      <c r="J137" s="135"/>
      <c r="L137" s="387"/>
      <c r="M137" s="170"/>
    </row>
    <row r="138" spans="1:13" x14ac:dyDescent="0.25">
      <c r="A138" s="150" t="s">
        <v>27</v>
      </c>
      <c r="B138" s="125"/>
      <c r="C138" s="125"/>
      <c r="D138" s="125"/>
      <c r="E138" s="126"/>
      <c r="F138" s="127"/>
      <c r="G138" s="125"/>
      <c r="H138" s="128"/>
      <c r="I138" s="135"/>
      <c r="J138" s="135"/>
    </row>
    <row r="139" spans="1:13" x14ac:dyDescent="0.25">
      <c r="A139" s="489" t="s">
        <v>37</v>
      </c>
      <c r="B139" s="340">
        <v>0.25</v>
      </c>
      <c r="C139" s="356">
        <v>550</v>
      </c>
      <c r="D139" s="356">
        <v>0</v>
      </c>
      <c r="E139" s="364">
        <f t="shared" ref="E139:E144" si="25">C139+D139</f>
        <v>550</v>
      </c>
      <c r="F139" s="549">
        <f>E139*('29_01_H_2020'!$F$10)</f>
        <v>55</v>
      </c>
      <c r="G139" s="356">
        <f t="shared" ref="G139:G144" si="26">B139*12*F139</f>
        <v>165</v>
      </c>
      <c r="H139" s="360">
        <f t="shared" si="24"/>
        <v>204.75</v>
      </c>
      <c r="I139" s="135"/>
      <c r="J139" s="135"/>
      <c r="L139" s="387"/>
      <c r="M139" s="170"/>
    </row>
    <row r="140" spans="1:13" x14ac:dyDescent="0.25">
      <c r="A140" s="489" t="s">
        <v>39</v>
      </c>
      <c r="B140" s="340">
        <v>1</v>
      </c>
      <c r="C140" s="356">
        <v>609</v>
      </c>
      <c r="D140" s="356">
        <v>261</v>
      </c>
      <c r="E140" s="364">
        <f t="shared" si="25"/>
        <v>870</v>
      </c>
      <c r="F140" s="549">
        <f>E140*('29_01_H_2020'!$F$10)</f>
        <v>87</v>
      </c>
      <c r="G140" s="356">
        <f t="shared" si="26"/>
        <v>1044</v>
      </c>
      <c r="H140" s="360">
        <f t="shared" si="24"/>
        <v>1295.5</v>
      </c>
      <c r="I140" s="135"/>
      <c r="J140" s="135"/>
      <c r="L140" s="387"/>
      <c r="M140" s="170"/>
    </row>
    <row r="141" spans="1:13" x14ac:dyDescent="0.25">
      <c r="A141" s="489" t="s">
        <v>39</v>
      </c>
      <c r="B141" s="340">
        <v>0.4</v>
      </c>
      <c r="C141" s="356">
        <v>645</v>
      </c>
      <c r="D141" s="356">
        <v>0</v>
      </c>
      <c r="E141" s="364">
        <f t="shared" si="25"/>
        <v>645</v>
      </c>
      <c r="F141" s="549">
        <f>E141*('29_01_H_2020'!$F$10)</f>
        <v>64.5</v>
      </c>
      <c r="G141" s="356">
        <f t="shared" si="26"/>
        <v>309.60000000000002</v>
      </c>
      <c r="H141" s="360">
        <f t="shared" si="24"/>
        <v>384.18</v>
      </c>
      <c r="I141" s="135"/>
      <c r="J141" s="135"/>
      <c r="L141" s="387"/>
      <c r="M141" s="170"/>
    </row>
    <row r="142" spans="1:13" x14ac:dyDescent="0.25">
      <c r="A142" s="489" t="s">
        <v>39</v>
      </c>
      <c r="B142" s="340">
        <v>0.6</v>
      </c>
      <c r="C142" s="356">
        <v>840</v>
      </c>
      <c r="D142" s="356">
        <v>0</v>
      </c>
      <c r="E142" s="364">
        <f t="shared" si="25"/>
        <v>840</v>
      </c>
      <c r="F142" s="549">
        <f>E142*('29_01_H_2020'!$F$10)</f>
        <v>84</v>
      </c>
      <c r="G142" s="356">
        <f t="shared" si="26"/>
        <v>604.79999999999995</v>
      </c>
      <c r="H142" s="360">
        <f t="shared" si="24"/>
        <v>750.5</v>
      </c>
      <c r="I142" s="135"/>
      <c r="J142" s="135"/>
      <c r="L142" s="387"/>
      <c r="M142" s="170"/>
    </row>
    <row r="143" spans="1:13" x14ac:dyDescent="0.25">
      <c r="A143" s="489" t="s">
        <v>39</v>
      </c>
      <c r="B143" s="340">
        <v>0.25</v>
      </c>
      <c r="C143" s="356">
        <v>1352.4</v>
      </c>
      <c r="D143" s="356">
        <v>0</v>
      </c>
      <c r="E143" s="364">
        <f t="shared" si="25"/>
        <v>1352.4</v>
      </c>
      <c r="F143" s="549">
        <f>E143*('29_01_H_2020'!$F$10)</f>
        <v>135.24</v>
      </c>
      <c r="G143" s="356">
        <f t="shared" si="26"/>
        <v>405.72</v>
      </c>
      <c r="H143" s="360">
        <f t="shared" si="24"/>
        <v>503.46</v>
      </c>
      <c r="I143" s="135"/>
      <c r="J143" s="135"/>
      <c r="L143" s="387"/>
      <c r="M143" s="170"/>
    </row>
    <row r="144" spans="1:13" x14ac:dyDescent="0.25">
      <c r="A144" s="574" t="s">
        <v>39</v>
      </c>
      <c r="B144" s="340">
        <v>0.1</v>
      </c>
      <c r="C144" s="356">
        <v>1500</v>
      </c>
      <c r="D144" s="356">
        <v>0</v>
      </c>
      <c r="E144" s="364">
        <f t="shared" si="25"/>
        <v>1500</v>
      </c>
      <c r="F144" s="549">
        <f>E144*('29_01_H_2020'!$F$10)</f>
        <v>150</v>
      </c>
      <c r="G144" s="356">
        <f t="shared" si="26"/>
        <v>180.00000000000003</v>
      </c>
      <c r="H144" s="360">
        <f t="shared" si="24"/>
        <v>223.36</v>
      </c>
      <c r="I144" s="135"/>
      <c r="J144" s="135"/>
      <c r="L144" s="387"/>
      <c r="M144" s="170"/>
    </row>
    <row r="145" spans="1:13" x14ac:dyDescent="0.25">
      <c r="A145" s="143" t="s">
        <v>407</v>
      </c>
      <c r="B145" s="152">
        <f>B144+B143+B142+B141+B140+B139+B137+B135+B136</f>
        <v>3.75</v>
      </c>
      <c r="C145" s="145"/>
      <c r="D145" s="145"/>
      <c r="E145" s="146"/>
      <c r="F145" s="361">
        <f>F144+F143+F142+F141+F140+F139+F137+F135+F136</f>
        <v>1022.1400000000001</v>
      </c>
      <c r="G145" s="362">
        <f t="shared" ref="G145:H145" si="27">G144+G143+G142+G141+G140+G139+G137+G135+G136</f>
        <v>4117.4400000000005</v>
      </c>
      <c r="H145" s="363">
        <f t="shared" si="27"/>
        <v>5109.3399999999992</v>
      </c>
      <c r="I145" s="135"/>
      <c r="J145" s="135"/>
      <c r="L145" s="387"/>
    </row>
    <row r="146" spans="1:13" ht="31.5" customHeight="1" x14ac:dyDescent="0.25">
      <c r="A146" s="911" t="s">
        <v>429</v>
      </c>
      <c r="B146" s="975"/>
      <c r="C146" s="975"/>
      <c r="D146" s="975"/>
      <c r="E146" s="975"/>
      <c r="F146" s="975"/>
      <c r="G146" s="975"/>
      <c r="H146" s="979"/>
      <c r="I146" s="135">
        <v>3000</v>
      </c>
      <c r="J146" s="135"/>
    </row>
    <row r="147" spans="1:13" x14ac:dyDescent="0.25">
      <c r="A147" s="150" t="s">
        <v>10</v>
      </c>
      <c r="B147" s="125"/>
      <c r="C147" s="125"/>
      <c r="D147" s="125"/>
      <c r="E147" s="126"/>
      <c r="F147" s="127"/>
      <c r="G147" s="125"/>
      <c r="H147" s="128"/>
      <c r="I147" s="135"/>
      <c r="J147" s="135"/>
    </row>
    <row r="148" spans="1:13" x14ac:dyDescent="0.25">
      <c r="A148" s="57" t="s">
        <v>430</v>
      </c>
      <c r="B148" s="342">
        <v>3.05</v>
      </c>
      <c r="C148" s="365">
        <v>1260</v>
      </c>
      <c r="D148" s="365">
        <v>126</v>
      </c>
      <c r="E148" s="366">
        <f>C148+D148</f>
        <v>1386</v>
      </c>
      <c r="F148" s="359">
        <f>E148*('29_01_H_2020'!$F$14)</f>
        <v>138.6</v>
      </c>
      <c r="G148" s="356">
        <f>B148*12*F148</f>
        <v>5072.7599999999993</v>
      </c>
      <c r="H148" s="360">
        <f t="shared" ref="H148:H149" si="28">ROUND(G148*1.2409,2)</f>
        <v>6294.79</v>
      </c>
      <c r="I148" s="135"/>
      <c r="J148" s="123"/>
      <c r="L148" s="387"/>
      <c r="M148" s="170"/>
    </row>
    <row r="149" spans="1:13" x14ac:dyDescent="0.25">
      <c r="A149" s="57" t="s">
        <v>431</v>
      </c>
      <c r="B149" s="342">
        <v>1</v>
      </c>
      <c r="C149" s="365">
        <v>1220</v>
      </c>
      <c r="D149" s="365">
        <v>122</v>
      </c>
      <c r="E149" s="366">
        <f>C149+D149</f>
        <v>1342</v>
      </c>
      <c r="F149" s="359">
        <f>E149*('29_01_H_2020'!$F$14)</f>
        <v>134.20000000000002</v>
      </c>
      <c r="G149" s="356">
        <f>B149*12*F149</f>
        <v>1610.4</v>
      </c>
      <c r="H149" s="360">
        <f t="shared" si="28"/>
        <v>1998.35</v>
      </c>
      <c r="I149" s="135"/>
      <c r="J149" s="123"/>
      <c r="L149" s="387"/>
      <c r="M149" s="170"/>
    </row>
    <row r="150" spans="1:13" x14ac:dyDescent="0.25">
      <c r="A150" s="143" t="s">
        <v>407</v>
      </c>
      <c r="B150" s="152">
        <f>B148+B149</f>
        <v>4.05</v>
      </c>
      <c r="C150" s="145"/>
      <c r="D150" s="145"/>
      <c r="E150" s="146"/>
      <c r="F150" s="361">
        <f t="shared" ref="F150:H150" si="29">F148+F149</f>
        <v>272.8</v>
      </c>
      <c r="G150" s="362">
        <f t="shared" si="29"/>
        <v>6683.16</v>
      </c>
      <c r="H150" s="363">
        <f t="shared" si="29"/>
        <v>8293.14</v>
      </c>
      <c r="I150" s="135"/>
      <c r="J150" s="135"/>
    </row>
    <row r="151" spans="1:13" ht="21" customHeight="1" x14ac:dyDescent="0.25">
      <c r="A151" s="911" t="s">
        <v>432</v>
      </c>
      <c r="B151" s="975"/>
      <c r="C151" s="975"/>
      <c r="D151" s="975"/>
      <c r="E151" s="975"/>
      <c r="F151" s="975"/>
      <c r="G151" s="975"/>
      <c r="H151" s="979"/>
      <c r="I151" s="135">
        <v>3000</v>
      </c>
      <c r="J151" s="135"/>
    </row>
    <row r="152" spans="1:13" x14ac:dyDescent="0.25">
      <c r="A152" s="150" t="s">
        <v>10</v>
      </c>
      <c r="B152" s="125"/>
      <c r="C152" s="125"/>
      <c r="D152" s="125"/>
      <c r="E152" s="126"/>
      <c r="F152" s="127"/>
      <c r="G152" s="125"/>
      <c r="H152" s="128"/>
      <c r="I152" s="135"/>
      <c r="J152" s="135"/>
    </row>
    <row r="153" spans="1:13" x14ac:dyDescent="0.25">
      <c r="A153" s="156" t="s">
        <v>200</v>
      </c>
      <c r="B153" s="340">
        <v>0.5</v>
      </c>
      <c r="C153" s="356">
        <v>1300</v>
      </c>
      <c r="D153" s="356">
        <v>0</v>
      </c>
      <c r="E153" s="364">
        <f t="shared" ref="E153:E167" si="30">C153+D153</f>
        <v>1300</v>
      </c>
      <c r="F153" s="359">
        <f>E153*('29_01_H_2020'!$F$14)</f>
        <v>130</v>
      </c>
      <c r="G153" s="356">
        <f t="shared" ref="G153:G167" si="31">B153*12*F153</f>
        <v>780</v>
      </c>
      <c r="H153" s="360">
        <f t="shared" ref="H153:H167" si="32">ROUND(G153*1.2409,2)</f>
        <v>967.9</v>
      </c>
      <c r="I153" s="135"/>
      <c r="J153" s="135"/>
      <c r="L153" s="387"/>
      <c r="M153" s="170"/>
    </row>
    <row r="154" spans="1:13" x14ac:dyDescent="0.25">
      <c r="A154" s="57" t="s">
        <v>433</v>
      </c>
      <c r="B154" s="340">
        <v>0.5</v>
      </c>
      <c r="C154" s="356">
        <v>1200</v>
      </c>
      <c r="D154" s="356">
        <v>0</v>
      </c>
      <c r="E154" s="364">
        <f t="shared" si="30"/>
        <v>1200</v>
      </c>
      <c r="F154" s="359">
        <f>E154*('29_01_H_2020'!$F$14)</f>
        <v>120</v>
      </c>
      <c r="G154" s="356">
        <f t="shared" si="31"/>
        <v>720</v>
      </c>
      <c r="H154" s="360">
        <f t="shared" si="32"/>
        <v>893.45</v>
      </c>
      <c r="I154" s="135"/>
      <c r="J154" s="135"/>
      <c r="L154" s="387"/>
      <c r="M154" s="170"/>
    </row>
    <row r="155" spans="1:13" x14ac:dyDescent="0.25">
      <c r="A155" s="57" t="s">
        <v>434</v>
      </c>
      <c r="B155" s="340">
        <v>1</v>
      </c>
      <c r="C155" s="356">
        <v>1382</v>
      </c>
      <c r="D155" s="356">
        <v>0</v>
      </c>
      <c r="E155" s="364">
        <f t="shared" si="30"/>
        <v>1382</v>
      </c>
      <c r="F155" s="359">
        <f>E155*('29_01_H_2020'!$F$14)</f>
        <v>138.20000000000002</v>
      </c>
      <c r="G155" s="356">
        <f t="shared" si="31"/>
        <v>1658.4</v>
      </c>
      <c r="H155" s="360">
        <f t="shared" si="32"/>
        <v>2057.91</v>
      </c>
      <c r="I155" s="135"/>
      <c r="J155" s="135"/>
      <c r="L155" s="387"/>
      <c r="M155" s="170"/>
    </row>
    <row r="156" spans="1:13" x14ac:dyDescent="0.25">
      <c r="A156" s="57" t="s">
        <v>435</v>
      </c>
      <c r="B156" s="340">
        <v>1</v>
      </c>
      <c r="C156" s="356">
        <v>1237</v>
      </c>
      <c r="D156" s="356">
        <v>0</v>
      </c>
      <c r="E156" s="364">
        <f t="shared" si="30"/>
        <v>1237</v>
      </c>
      <c r="F156" s="359">
        <f>E156*('29_01_H_2020'!$F$14)</f>
        <v>123.7</v>
      </c>
      <c r="G156" s="356">
        <f t="shared" si="31"/>
        <v>1484.4</v>
      </c>
      <c r="H156" s="360">
        <f t="shared" si="32"/>
        <v>1841.99</v>
      </c>
      <c r="I156" s="135"/>
      <c r="J156" s="135"/>
      <c r="L156" s="387"/>
      <c r="M156" s="170"/>
    </row>
    <row r="157" spans="1:13" x14ac:dyDescent="0.25">
      <c r="A157" s="57" t="s">
        <v>316</v>
      </c>
      <c r="B157" s="340">
        <v>1</v>
      </c>
      <c r="C157" s="356">
        <v>1190</v>
      </c>
      <c r="D157" s="356">
        <v>0</v>
      </c>
      <c r="E157" s="364">
        <f t="shared" si="30"/>
        <v>1190</v>
      </c>
      <c r="F157" s="359">
        <f>E157*('29_01_H_2020'!$F$14)</f>
        <v>119</v>
      </c>
      <c r="G157" s="356">
        <f t="shared" si="31"/>
        <v>1428</v>
      </c>
      <c r="H157" s="360">
        <f t="shared" si="32"/>
        <v>1772.01</v>
      </c>
      <c r="I157" s="135"/>
      <c r="J157" s="135"/>
      <c r="L157" s="387"/>
      <c r="M157" s="170"/>
    </row>
    <row r="158" spans="1:13" x14ac:dyDescent="0.25">
      <c r="A158" s="57" t="s">
        <v>316</v>
      </c>
      <c r="B158" s="340">
        <v>1</v>
      </c>
      <c r="C158" s="356">
        <v>1080</v>
      </c>
      <c r="D158" s="356">
        <v>0</v>
      </c>
      <c r="E158" s="364">
        <f t="shared" si="30"/>
        <v>1080</v>
      </c>
      <c r="F158" s="359">
        <f>E158*('29_01_H_2020'!$F$14)</f>
        <v>108</v>
      </c>
      <c r="G158" s="356">
        <f t="shared" si="31"/>
        <v>1296</v>
      </c>
      <c r="H158" s="360">
        <f t="shared" si="32"/>
        <v>1608.21</v>
      </c>
      <c r="I158" s="135"/>
      <c r="J158" s="135"/>
      <c r="L158" s="387"/>
      <c r="M158" s="170"/>
    </row>
    <row r="159" spans="1:13" x14ac:dyDescent="0.25">
      <c r="A159" s="57" t="s">
        <v>436</v>
      </c>
      <c r="B159" s="340">
        <v>1</v>
      </c>
      <c r="C159" s="356">
        <v>1287</v>
      </c>
      <c r="D159" s="356">
        <v>0</v>
      </c>
      <c r="E159" s="364">
        <f t="shared" si="30"/>
        <v>1287</v>
      </c>
      <c r="F159" s="359">
        <f>E159*('29_01_H_2020'!$F$14)</f>
        <v>128.70000000000002</v>
      </c>
      <c r="G159" s="356">
        <f t="shared" si="31"/>
        <v>1544.4</v>
      </c>
      <c r="H159" s="360">
        <f t="shared" si="32"/>
        <v>1916.45</v>
      </c>
      <c r="I159" s="135"/>
      <c r="J159" s="135"/>
      <c r="L159" s="387"/>
      <c r="M159" s="170"/>
    </row>
    <row r="160" spans="1:13" x14ac:dyDescent="0.25">
      <c r="A160" s="57" t="s">
        <v>436</v>
      </c>
      <c r="B160" s="340">
        <v>1</v>
      </c>
      <c r="C160" s="356">
        <v>1287</v>
      </c>
      <c r="D160" s="356">
        <v>0</v>
      </c>
      <c r="E160" s="364">
        <f t="shared" si="30"/>
        <v>1287</v>
      </c>
      <c r="F160" s="359">
        <f>E160*('29_01_H_2020'!$F$14)</f>
        <v>128.70000000000002</v>
      </c>
      <c r="G160" s="356">
        <f t="shared" si="31"/>
        <v>1544.4</v>
      </c>
      <c r="H160" s="360">
        <f t="shared" si="32"/>
        <v>1916.45</v>
      </c>
      <c r="I160" s="135"/>
      <c r="J160" s="135"/>
      <c r="L160" s="387"/>
      <c r="M160" s="170"/>
    </row>
    <row r="161" spans="1:13" x14ac:dyDescent="0.25">
      <c r="A161" s="57" t="s">
        <v>437</v>
      </c>
      <c r="B161" s="340">
        <v>1</v>
      </c>
      <c r="C161" s="356">
        <v>1190</v>
      </c>
      <c r="D161" s="356">
        <v>0</v>
      </c>
      <c r="E161" s="364">
        <f t="shared" si="30"/>
        <v>1190</v>
      </c>
      <c r="F161" s="359">
        <f>E161*('29_01_H_2020'!$F$14)</f>
        <v>119</v>
      </c>
      <c r="G161" s="356">
        <f t="shared" si="31"/>
        <v>1428</v>
      </c>
      <c r="H161" s="360">
        <f t="shared" si="32"/>
        <v>1772.01</v>
      </c>
      <c r="I161" s="135"/>
      <c r="J161" s="135"/>
      <c r="L161" s="387"/>
      <c r="M161" s="170"/>
    </row>
    <row r="162" spans="1:13" x14ac:dyDescent="0.25">
      <c r="A162" s="57" t="s">
        <v>437</v>
      </c>
      <c r="B162" s="340">
        <v>0.75</v>
      </c>
      <c r="C162" s="356">
        <v>1190</v>
      </c>
      <c r="D162" s="356">
        <v>0</v>
      </c>
      <c r="E162" s="364">
        <f t="shared" si="30"/>
        <v>1190</v>
      </c>
      <c r="F162" s="359">
        <f>E162*('29_01_H_2020'!$F$14)</f>
        <v>119</v>
      </c>
      <c r="G162" s="356">
        <f t="shared" si="31"/>
        <v>1071</v>
      </c>
      <c r="H162" s="360">
        <f t="shared" si="32"/>
        <v>1329</v>
      </c>
      <c r="I162" s="135"/>
      <c r="J162" s="135"/>
      <c r="L162" s="387"/>
      <c r="M162" s="170"/>
    </row>
    <row r="163" spans="1:13" x14ac:dyDescent="0.25">
      <c r="A163" s="57" t="s">
        <v>305</v>
      </c>
      <c r="B163" s="340">
        <v>4</v>
      </c>
      <c r="C163" s="356">
        <v>1080</v>
      </c>
      <c r="D163" s="356">
        <v>0</v>
      </c>
      <c r="E163" s="364">
        <f t="shared" si="30"/>
        <v>1080</v>
      </c>
      <c r="F163" s="359">
        <f>E163*('29_01_H_2020'!$F$14)</f>
        <v>108</v>
      </c>
      <c r="G163" s="356">
        <f t="shared" si="31"/>
        <v>5184</v>
      </c>
      <c r="H163" s="360">
        <f t="shared" si="32"/>
        <v>6432.83</v>
      </c>
      <c r="I163" s="135"/>
      <c r="J163" s="135"/>
      <c r="L163" s="387"/>
      <c r="M163" s="170"/>
    </row>
    <row r="164" spans="1:13" x14ac:dyDescent="0.25">
      <c r="A164" s="57" t="s">
        <v>438</v>
      </c>
      <c r="B164" s="340">
        <v>1</v>
      </c>
      <c r="C164" s="356">
        <v>1287</v>
      </c>
      <c r="D164" s="356">
        <v>0</v>
      </c>
      <c r="E164" s="364">
        <f t="shared" si="30"/>
        <v>1287</v>
      </c>
      <c r="F164" s="359">
        <f>E164*('29_01_H_2020'!$F$14)</f>
        <v>128.70000000000002</v>
      </c>
      <c r="G164" s="356">
        <f t="shared" si="31"/>
        <v>1544.4</v>
      </c>
      <c r="H164" s="360">
        <f t="shared" si="32"/>
        <v>1916.45</v>
      </c>
      <c r="I164" s="135"/>
      <c r="J164" s="135"/>
      <c r="L164" s="387"/>
      <c r="M164" s="170"/>
    </row>
    <row r="165" spans="1:13" x14ac:dyDescent="0.25">
      <c r="A165" s="57" t="s">
        <v>439</v>
      </c>
      <c r="B165" s="340">
        <v>0.75</v>
      </c>
      <c r="C165" s="356">
        <v>1190</v>
      </c>
      <c r="D165" s="356">
        <v>0</v>
      </c>
      <c r="E165" s="364">
        <f t="shared" si="30"/>
        <v>1190</v>
      </c>
      <c r="F165" s="359">
        <f>E165*('29_01_H_2020'!$F$14)</f>
        <v>119</v>
      </c>
      <c r="G165" s="356">
        <f t="shared" si="31"/>
        <v>1071</v>
      </c>
      <c r="H165" s="360">
        <f t="shared" si="32"/>
        <v>1329</v>
      </c>
      <c r="I165" s="135"/>
      <c r="J165" s="135"/>
      <c r="L165" s="387"/>
      <c r="M165" s="170"/>
    </row>
    <row r="166" spans="1:13" x14ac:dyDescent="0.25">
      <c r="A166" s="57" t="s">
        <v>440</v>
      </c>
      <c r="B166" s="340">
        <v>1</v>
      </c>
      <c r="C166" s="356">
        <v>1080</v>
      </c>
      <c r="D166" s="356">
        <v>0</v>
      </c>
      <c r="E166" s="364">
        <f t="shared" si="30"/>
        <v>1080</v>
      </c>
      <c r="F166" s="359">
        <f>E166*('29_01_H_2020'!$F$14)</f>
        <v>108</v>
      </c>
      <c r="G166" s="356">
        <f t="shared" si="31"/>
        <v>1296</v>
      </c>
      <c r="H166" s="360">
        <f t="shared" si="32"/>
        <v>1608.21</v>
      </c>
      <c r="I166" s="135"/>
      <c r="J166" s="135"/>
      <c r="L166" s="387"/>
      <c r="M166" s="170"/>
    </row>
    <row r="167" spans="1:13" x14ac:dyDescent="0.25">
      <c r="A167" s="151" t="s">
        <v>441</v>
      </c>
      <c r="B167" s="340">
        <v>0.2</v>
      </c>
      <c r="C167" s="356">
        <v>1080</v>
      </c>
      <c r="D167" s="356">
        <v>0</v>
      </c>
      <c r="E167" s="364">
        <f t="shared" si="30"/>
        <v>1080</v>
      </c>
      <c r="F167" s="359">
        <f>E167*('29_01_H_2020'!$F$14)</f>
        <v>108</v>
      </c>
      <c r="G167" s="356">
        <f t="shared" si="31"/>
        <v>259.20000000000005</v>
      </c>
      <c r="H167" s="360">
        <f t="shared" si="32"/>
        <v>321.64</v>
      </c>
      <c r="I167" s="135"/>
      <c r="J167" s="135"/>
      <c r="L167" s="387"/>
      <c r="M167" s="170"/>
    </row>
    <row r="168" spans="1:13" x14ac:dyDescent="0.25">
      <c r="A168" s="143" t="s">
        <v>407</v>
      </c>
      <c r="B168" s="152">
        <f>SUM(B153:B167)</f>
        <v>15.7</v>
      </c>
      <c r="C168" s="145"/>
      <c r="D168" s="145"/>
      <c r="E168" s="146"/>
      <c r="F168" s="361">
        <f>SUM(F153:F167)</f>
        <v>1806.0000000000002</v>
      </c>
      <c r="G168" s="362">
        <f>SUM(G153:G167)</f>
        <v>22309.200000000001</v>
      </c>
      <c r="H168" s="363">
        <f>SUM(H153:H167)</f>
        <v>27683.510000000002</v>
      </c>
      <c r="I168" s="135"/>
      <c r="J168" s="135"/>
    </row>
    <row r="169" spans="1:13" ht="71.25" customHeight="1" x14ac:dyDescent="0.25">
      <c r="A169" s="911" t="s">
        <v>442</v>
      </c>
      <c r="B169" s="975"/>
      <c r="C169" s="975"/>
      <c r="D169" s="975"/>
      <c r="E169" s="975"/>
      <c r="F169" s="975"/>
      <c r="G169" s="975"/>
      <c r="H169" s="979"/>
      <c r="I169" s="135">
        <v>3000</v>
      </c>
      <c r="J169" s="135"/>
    </row>
    <row r="170" spans="1:13" x14ac:dyDescent="0.25">
      <c r="A170" s="150" t="s">
        <v>10</v>
      </c>
      <c r="B170" s="125"/>
      <c r="C170" s="125"/>
      <c r="D170" s="125"/>
      <c r="E170" s="126"/>
      <c r="F170" s="127"/>
      <c r="G170" s="125"/>
      <c r="H170" s="128"/>
      <c r="I170" s="135"/>
      <c r="J170" s="135"/>
    </row>
    <row r="171" spans="1:13" x14ac:dyDescent="0.25">
      <c r="A171" s="57" t="s">
        <v>443</v>
      </c>
      <c r="B171" s="340">
        <v>0.2</v>
      </c>
      <c r="C171" s="356">
        <v>1607.55</v>
      </c>
      <c r="D171" s="356">
        <v>228.58</v>
      </c>
      <c r="E171" s="364">
        <f>C171+D171</f>
        <v>1836.1299999999999</v>
      </c>
      <c r="F171" s="359">
        <f>E171*('29_01_H_2020'!$F$14)</f>
        <v>183.613</v>
      </c>
      <c r="G171" s="356">
        <f>B171*12*F171</f>
        <v>440.67120000000006</v>
      </c>
      <c r="H171" s="360">
        <f t="shared" ref="H171:H173" si="33">ROUND(G171*1.2409,2)</f>
        <v>546.83000000000004</v>
      </c>
      <c r="I171" s="135"/>
      <c r="J171" s="135"/>
      <c r="L171" s="387"/>
    </row>
    <row r="172" spans="1:13" x14ac:dyDescent="0.25">
      <c r="A172" s="150" t="s">
        <v>27</v>
      </c>
      <c r="B172" s="125"/>
      <c r="C172" s="125"/>
      <c r="D172" s="125"/>
      <c r="E172" s="126"/>
      <c r="F172" s="127"/>
      <c r="G172" s="125"/>
      <c r="H172" s="128"/>
      <c r="I172" s="135"/>
      <c r="J172" s="135"/>
    </row>
    <row r="173" spans="1:13" x14ac:dyDescent="0.25">
      <c r="A173" s="489" t="s">
        <v>444</v>
      </c>
      <c r="B173" s="340">
        <v>0.2</v>
      </c>
      <c r="C173" s="356">
        <v>1054.2</v>
      </c>
      <c r="D173" s="356">
        <v>155.87</v>
      </c>
      <c r="E173" s="364">
        <f>C173+D173</f>
        <v>1210.0700000000002</v>
      </c>
      <c r="F173" s="549">
        <f>E173*('29_01_H_2020'!$F$10)</f>
        <v>121.00700000000002</v>
      </c>
      <c r="G173" s="356">
        <f>B173*12*F173</f>
        <v>290.41680000000008</v>
      </c>
      <c r="H173" s="360">
        <f t="shared" si="33"/>
        <v>360.38</v>
      </c>
      <c r="I173" s="135"/>
      <c r="J173" s="135"/>
      <c r="L173" s="387"/>
    </row>
    <row r="174" spans="1:13" x14ac:dyDescent="0.25">
      <c r="A174" s="143" t="s">
        <v>407</v>
      </c>
      <c r="B174" s="152">
        <f>B173+B171</f>
        <v>0.4</v>
      </c>
      <c r="C174" s="145"/>
      <c r="D174" s="145"/>
      <c r="E174" s="146"/>
      <c r="F174" s="361">
        <f>F173+F171</f>
        <v>304.62</v>
      </c>
      <c r="G174" s="362">
        <f>G173+G171</f>
        <v>731.08800000000019</v>
      </c>
      <c r="H174" s="363">
        <f>H173+H171</f>
        <v>907.21</v>
      </c>
      <c r="I174" s="135"/>
      <c r="J174" s="135"/>
    </row>
    <row r="175" spans="1:13" ht="6" customHeight="1" thickBot="1" x14ac:dyDescent="0.3">
      <c r="F175" s="135"/>
      <c r="G175" s="135"/>
      <c r="H175" s="135"/>
      <c r="I175" s="135"/>
      <c r="J175" s="135"/>
    </row>
    <row r="176" spans="1:13" ht="15.75" thickBot="1" x14ac:dyDescent="0.3">
      <c r="A176" s="159" t="s">
        <v>445</v>
      </c>
      <c r="B176" s="160">
        <f>B15+B24+B33+B50+B57+B66+B74+B97+B111+B126+B132+B145+B150+B168+B174+B120</f>
        <v>113.02500000000001</v>
      </c>
      <c r="C176" s="161"/>
      <c r="D176" s="161"/>
      <c r="E176" s="162"/>
      <c r="F176" s="368">
        <f>F15+F24+F33+F50+F57+F66+F74+F97+F111+F126+F132+F145+F150+F168+F174+F120</f>
        <v>9345.5760000000028</v>
      </c>
      <c r="G176" s="458">
        <f>G15+G24+G33+G50+G57+G66+G74+G97+G111+G126+G132+G145+G150+G168+G174+G120</f>
        <v>124618.30920000003</v>
      </c>
      <c r="H176" s="459">
        <f>H15+H24+H33+H50+H57+H66+H74+H97+H111+H126+H132+H145+H150+H168+H174+H120</f>
        <v>154638.94999999998</v>
      </c>
      <c r="I176" s="135"/>
      <c r="J176" s="135"/>
      <c r="K176" s="369"/>
    </row>
    <row r="177" spans="2:10" x14ac:dyDescent="0.25">
      <c r="B177" s="165"/>
      <c r="F177" s="135"/>
      <c r="G177" s="163" t="s">
        <v>641</v>
      </c>
      <c r="H177" s="164">
        <f>H176</f>
        <v>154638.94999999998</v>
      </c>
      <c r="I177" s="135"/>
      <c r="J177" s="135"/>
    </row>
    <row r="178" spans="2:10" x14ac:dyDescent="0.25">
      <c r="F178" s="135"/>
      <c r="G178" s="135"/>
      <c r="H178" s="135"/>
      <c r="I178" s="135"/>
      <c r="J178" s="135"/>
    </row>
    <row r="179" spans="2:10" x14ac:dyDescent="0.25">
      <c r="F179" s="135"/>
      <c r="G179" s="135"/>
      <c r="H179" s="135"/>
      <c r="I179" s="135"/>
      <c r="J179" s="135"/>
    </row>
    <row r="180" spans="2:10" x14ac:dyDescent="0.25">
      <c r="F180" s="135"/>
      <c r="G180" s="135"/>
      <c r="H180" s="135"/>
      <c r="I180" s="135"/>
      <c r="J180" s="135"/>
    </row>
    <row r="181" spans="2:10" x14ac:dyDescent="0.25">
      <c r="F181" s="135"/>
      <c r="G181" s="135"/>
      <c r="H181" s="135"/>
      <c r="I181" s="135"/>
      <c r="J181" s="135"/>
    </row>
    <row r="182" spans="2:10" x14ac:dyDescent="0.25">
      <c r="F182" s="135"/>
      <c r="G182" s="135"/>
      <c r="H182" s="135"/>
      <c r="I182" s="135"/>
      <c r="J182" s="135"/>
    </row>
    <row r="183" spans="2:10" x14ac:dyDescent="0.25">
      <c r="F183" s="135"/>
      <c r="G183" s="135"/>
      <c r="H183" s="135"/>
      <c r="I183" s="135"/>
      <c r="J183" s="135"/>
    </row>
    <row r="184" spans="2:10" x14ac:dyDescent="0.25">
      <c r="F184" s="135"/>
      <c r="G184" s="135"/>
      <c r="H184" s="135"/>
      <c r="I184" s="135"/>
      <c r="J184" s="135"/>
    </row>
    <row r="185" spans="2:10" x14ac:dyDescent="0.25">
      <c r="F185" s="135"/>
      <c r="G185" s="135"/>
      <c r="H185" s="135"/>
      <c r="I185" s="135"/>
      <c r="J185" s="135"/>
    </row>
    <row r="186" spans="2:10" x14ac:dyDescent="0.25">
      <c r="F186" s="135"/>
      <c r="G186" s="135"/>
      <c r="H186" s="135"/>
      <c r="I186" s="135"/>
      <c r="J186" s="135"/>
    </row>
    <row r="187" spans="2:10" x14ac:dyDescent="0.25">
      <c r="F187" s="135"/>
      <c r="G187" s="135"/>
      <c r="H187" s="135"/>
      <c r="I187" s="135"/>
      <c r="J187" s="135"/>
    </row>
    <row r="188" spans="2:10" x14ac:dyDescent="0.25">
      <c r="F188" s="135"/>
      <c r="G188" s="135"/>
      <c r="H188" s="135"/>
      <c r="I188" s="135"/>
      <c r="J188" s="135"/>
    </row>
    <row r="189" spans="2:10" x14ac:dyDescent="0.25">
      <c r="F189" s="135"/>
      <c r="G189" s="135"/>
      <c r="H189" s="135"/>
      <c r="I189" s="135"/>
      <c r="J189" s="135"/>
    </row>
    <row r="190" spans="2:10" x14ac:dyDescent="0.25">
      <c r="F190" s="135"/>
      <c r="G190" s="135"/>
      <c r="H190" s="135"/>
      <c r="I190" s="135"/>
      <c r="J190" s="135"/>
    </row>
    <row r="191" spans="2:10" x14ac:dyDescent="0.25">
      <c r="F191" s="135"/>
      <c r="G191" s="135"/>
      <c r="H191" s="135"/>
      <c r="I191" s="135"/>
      <c r="J191" s="135"/>
    </row>
    <row r="192" spans="2:10" x14ac:dyDescent="0.25">
      <c r="F192" s="135"/>
      <c r="G192" s="135"/>
      <c r="H192" s="135"/>
      <c r="I192" s="135"/>
      <c r="J192" s="135"/>
    </row>
    <row r="193" spans="6:10" x14ac:dyDescent="0.25">
      <c r="F193" s="135"/>
      <c r="G193" s="135"/>
      <c r="H193" s="135"/>
      <c r="I193" s="135"/>
      <c r="J193" s="135"/>
    </row>
    <row r="194" spans="6:10" x14ac:dyDescent="0.25">
      <c r="F194" s="135"/>
      <c r="G194" s="135"/>
      <c r="H194" s="135"/>
      <c r="I194" s="135"/>
      <c r="J194" s="135"/>
    </row>
    <row r="195" spans="6:10" x14ac:dyDescent="0.25">
      <c r="F195" s="135"/>
      <c r="G195" s="135"/>
      <c r="H195" s="135"/>
      <c r="I195" s="135"/>
      <c r="J195" s="135"/>
    </row>
    <row r="196" spans="6:10" x14ac:dyDescent="0.25">
      <c r="F196" s="135"/>
      <c r="G196" s="135"/>
      <c r="H196" s="135"/>
      <c r="I196" s="135"/>
      <c r="J196" s="135"/>
    </row>
    <row r="197" spans="6:10" x14ac:dyDescent="0.25">
      <c r="F197" s="135"/>
      <c r="G197" s="135"/>
      <c r="H197" s="135"/>
      <c r="I197" s="135"/>
      <c r="J197" s="135"/>
    </row>
    <row r="198" spans="6:10" x14ac:dyDescent="0.25">
      <c r="F198" s="135"/>
      <c r="G198" s="135"/>
      <c r="H198" s="135"/>
      <c r="I198" s="135"/>
      <c r="J198" s="135"/>
    </row>
    <row r="199" spans="6:10" x14ac:dyDescent="0.25">
      <c r="F199" s="135"/>
      <c r="G199" s="135"/>
      <c r="H199" s="135"/>
      <c r="I199" s="135"/>
      <c r="J199" s="135"/>
    </row>
    <row r="200" spans="6:10" x14ac:dyDescent="0.25">
      <c r="F200" s="135"/>
      <c r="G200" s="135"/>
      <c r="H200" s="135"/>
      <c r="I200" s="135"/>
      <c r="J200" s="135"/>
    </row>
    <row r="201" spans="6:10" x14ac:dyDescent="0.25">
      <c r="F201" s="135"/>
      <c r="G201" s="135"/>
      <c r="H201" s="135"/>
      <c r="I201" s="135"/>
      <c r="J201" s="135"/>
    </row>
    <row r="202" spans="6:10" x14ac:dyDescent="0.25">
      <c r="F202" s="135"/>
      <c r="G202" s="135"/>
      <c r="H202" s="135"/>
      <c r="I202" s="135"/>
      <c r="J202" s="135"/>
    </row>
    <row r="203" spans="6:10" x14ac:dyDescent="0.25">
      <c r="F203" s="135"/>
      <c r="G203" s="135"/>
      <c r="H203" s="135"/>
      <c r="I203" s="135"/>
      <c r="J203" s="135"/>
    </row>
    <row r="204" spans="6:10" x14ac:dyDescent="0.25">
      <c r="F204" s="135"/>
      <c r="G204" s="135"/>
      <c r="H204" s="135"/>
      <c r="I204" s="135"/>
      <c r="J204" s="135"/>
    </row>
    <row r="205" spans="6:10" x14ac:dyDescent="0.25">
      <c r="F205" s="135"/>
      <c r="G205" s="135"/>
      <c r="H205" s="135"/>
      <c r="I205" s="135"/>
      <c r="J205" s="135"/>
    </row>
    <row r="206" spans="6:10" x14ac:dyDescent="0.25">
      <c r="F206" s="135"/>
      <c r="G206" s="135"/>
      <c r="H206" s="135"/>
      <c r="I206" s="135"/>
      <c r="J206" s="135"/>
    </row>
    <row r="207" spans="6:10" x14ac:dyDescent="0.25">
      <c r="F207" s="135"/>
      <c r="G207" s="135"/>
      <c r="H207" s="135"/>
      <c r="I207" s="135"/>
      <c r="J207" s="135"/>
    </row>
    <row r="208" spans="6:10" x14ac:dyDescent="0.25">
      <c r="F208" s="135"/>
      <c r="G208" s="135"/>
      <c r="H208" s="135"/>
      <c r="I208" s="135"/>
      <c r="J208" s="135"/>
    </row>
    <row r="209" spans="6:10" x14ac:dyDescent="0.25">
      <c r="F209" s="135"/>
      <c r="G209" s="135"/>
      <c r="H209" s="135"/>
      <c r="I209" s="135"/>
      <c r="J209" s="135"/>
    </row>
    <row r="210" spans="6:10" x14ac:dyDescent="0.25">
      <c r="F210" s="135"/>
      <c r="G210" s="135"/>
      <c r="H210" s="135"/>
      <c r="I210" s="135"/>
      <c r="J210" s="135"/>
    </row>
    <row r="211" spans="6:10" x14ac:dyDescent="0.25">
      <c r="F211" s="135"/>
      <c r="G211" s="135"/>
      <c r="H211" s="135"/>
      <c r="I211" s="135"/>
      <c r="J211" s="135"/>
    </row>
    <row r="212" spans="6:10" x14ac:dyDescent="0.25">
      <c r="F212" s="135"/>
      <c r="G212" s="135"/>
      <c r="H212" s="135"/>
      <c r="I212" s="135"/>
      <c r="J212" s="135"/>
    </row>
    <row r="213" spans="6:10" x14ac:dyDescent="0.25">
      <c r="F213" s="135"/>
      <c r="G213" s="135"/>
      <c r="H213" s="135"/>
      <c r="I213" s="135"/>
      <c r="J213" s="135"/>
    </row>
    <row r="214" spans="6:10" x14ac:dyDescent="0.25">
      <c r="F214" s="135"/>
      <c r="G214" s="135"/>
      <c r="H214" s="135"/>
      <c r="I214" s="135"/>
      <c r="J214" s="135"/>
    </row>
    <row r="215" spans="6:10" x14ac:dyDescent="0.25">
      <c r="F215" s="135"/>
      <c r="G215" s="135"/>
      <c r="H215" s="135"/>
      <c r="I215" s="135"/>
      <c r="J215" s="135"/>
    </row>
    <row r="216" spans="6:10" x14ac:dyDescent="0.25">
      <c r="F216" s="135"/>
      <c r="G216" s="135"/>
      <c r="H216" s="135"/>
      <c r="I216" s="135"/>
      <c r="J216" s="135"/>
    </row>
    <row r="217" spans="6:10" x14ac:dyDescent="0.25">
      <c r="F217" s="135"/>
      <c r="G217" s="135"/>
      <c r="H217" s="135"/>
      <c r="I217" s="135"/>
      <c r="J217" s="135"/>
    </row>
    <row r="218" spans="6:10" x14ac:dyDescent="0.25">
      <c r="F218" s="135"/>
      <c r="G218" s="135"/>
      <c r="H218" s="135"/>
      <c r="I218" s="135"/>
      <c r="J218" s="135"/>
    </row>
    <row r="219" spans="6:10" x14ac:dyDescent="0.25">
      <c r="F219" s="135"/>
      <c r="G219" s="135"/>
      <c r="H219" s="135"/>
      <c r="I219" s="135"/>
      <c r="J219" s="135"/>
    </row>
    <row r="220" spans="6:10" x14ac:dyDescent="0.25">
      <c r="F220" s="135"/>
      <c r="G220" s="135"/>
      <c r="H220" s="135"/>
      <c r="I220" s="135"/>
      <c r="J220" s="135"/>
    </row>
    <row r="221" spans="6:10" x14ac:dyDescent="0.25">
      <c r="F221" s="135"/>
      <c r="G221" s="135"/>
      <c r="H221" s="135"/>
      <c r="I221" s="135"/>
      <c r="J221" s="135"/>
    </row>
    <row r="222" spans="6:10" x14ac:dyDescent="0.25">
      <c r="F222" s="135"/>
      <c r="G222" s="135"/>
      <c r="H222" s="135"/>
      <c r="I222" s="135"/>
      <c r="J222" s="135"/>
    </row>
    <row r="223" spans="6:10" x14ac:dyDescent="0.25">
      <c r="F223" s="135"/>
      <c r="G223" s="135"/>
      <c r="H223" s="135"/>
      <c r="I223" s="135"/>
      <c r="J223" s="135"/>
    </row>
    <row r="224" spans="6:10" x14ac:dyDescent="0.25">
      <c r="F224" s="135"/>
      <c r="G224" s="135"/>
      <c r="H224" s="135"/>
      <c r="I224" s="135"/>
      <c r="J224" s="135"/>
    </row>
    <row r="225" spans="6:10" x14ac:dyDescent="0.25">
      <c r="F225" s="135"/>
      <c r="G225" s="135"/>
      <c r="H225" s="135"/>
      <c r="I225" s="135"/>
      <c r="J225" s="135"/>
    </row>
    <row r="226" spans="6:10" x14ac:dyDescent="0.25">
      <c r="F226" s="135"/>
      <c r="G226" s="135"/>
      <c r="H226" s="135"/>
      <c r="I226" s="135"/>
      <c r="J226" s="135"/>
    </row>
    <row r="227" spans="6:10" x14ac:dyDescent="0.25">
      <c r="F227" s="135"/>
      <c r="G227" s="135"/>
      <c r="H227" s="135"/>
      <c r="I227" s="135"/>
      <c r="J227" s="135"/>
    </row>
    <row r="228" spans="6:10" x14ac:dyDescent="0.25">
      <c r="F228" s="135"/>
      <c r="G228" s="135"/>
      <c r="H228" s="135"/>
      <c r="I228" s="135"/>
      <c r="J228" s="135"/>
    </row>
    <row r="229" spans="6:10" x14ac:dyDescent="0.25">
      <c r="F229" s="135"/>
      <c r="G229" s="135"/>
      <c r="H229" s="135"/>
      <c r="I229" s="135"/>
      <c r="J229" s="135"/>
    </row>
    <row r="230" spans="6:10" x14ac:dyDescent="0.25">
      <c r="F230" s="135"/>
      <c r="G230" s="135"/>
      <c r="H230" s="135"/>
      <c r="I230" s="135"/>
      <c r="J230" s="135"/>
    </row>
    <row r="231" spans="6:10" x14ac:dyDescent="0.25">
      <c r="F231" s="135"/>
      <c r="G231" s="135"/>
      <c r="H231" s="135"/>
      <c r="I231" s="135"/>
      <c r="J231" s="135"/>
    </row>
    <row r="232" spans="6:10" x14ac:dyDescent="0.25">
      <c r="F232" s="135"/>
      <c r="G232" s="135"/>
      <c r="H232" s="135"/>
      <c r="I232" s="135"/>
      <c r="J232" s="135"/>
    </row>
    <row r="233" spans="6:10" x14ac:dyDescent="0.25">
      <c r="F233" s="135"/>
      <c r="G233" s="135"/>
      <c r="H233" s="135"/>
      <c r="I233" s="135"/>
      <c r="J233" s="135"/>
    </row>
    <row r="234" spans="6:10" x14ac:dyDescent="0.25">
      <c r="F234" s="135"/>
      <c r="G234" s="135"/>
      <c r="H234" s="135"/>
      <c r="I234" s="135"/>
      <c r="J234" s="135"/>
    </row>
    <row r="235" spans="6:10" x14ac:dyDescent="0.25">
      <c r="F235" s="135"/>
      <c r="G235" s="135"/>
      <c r="H235" s="135"/>
      <c r="I235" s="135"/>
      <c r="J235" s="135"/>
    </row>
    <row r="236" spans="6:10" x14ac:dyDescent="0.25">
      <c r="F236" s="135"/>
      <c r="G236" s="135"/>
      <c r="H236" s="135"/>
      <c r="I236" s="135"/>
      <c r="J236" s="135"/>
    </row>
    <row r="237" spans="6:10" x14ac:dyDescent="0.25">
      <c r="F237" s="135"/>
      <c r="G237" s="135"/>
      <c r="H237" s="135"/>
      <c r="I237" s="135"/>
      <c r="J237" s="135"/>
    </row>
    <row r="238" spans="6:10" x14ac:dyDescent="0.25">
      <c r="F238" s="135"/>
      <c r="G238" s="135"/>
      <c r="H238" s="135"/>
      <c r="I238" s="135"/>
      <c r="J238" s="135"/>
    </row>
    <row r="239" spans="6:10" x14ac:dyDescent="0.25">
      <c r="F239" s="135"/>
      <c r="G239" s="135"/>
      <c r="H239" s="135"/>
      <c r="I239" s="135"/>
      <c r="J239" s="135"/>
    </row>
    <row r="240" spans="6:10" x14ac:dyDescent="0.25">
      <c r="F240" s="135"/>
      <c r="G240" s="135"/>
      <c r="H240" s="135"/>
      <c r="I240" s="135"/>
      <c r="J240" s="135"/>
    </row>
    <row r="241" spans="6:10" x14ac:dyDescent="0.25">
      <c r="F241" s="135"/>
      <c r="G241" s="135"/>
      <c r="H241" s="135"/>
      <c r="I241" s="135"/>
      <c r="J241" s="135"/>
    </row>
    <row r="242" spans="6:10" x14ac:dyDescent="0.25">
      <c r="F242" s="135"/>
      <c r="G242" s="135"/>
      <c r="H242" s="135"/>
      <c r="I242" s="135"/>
      <c r="J242" s="135"/>
    </row>
    <row r="243" spans="6:10" x14ac:dyDescent="0.25">
      <c r="F243" s="135"/>
      <c r="G243" s="135"/>
      <c r="H243" s="135"/>
      <c r="I243" s="135"/>
      <c r="J243" s="135"/>
    </row>
    <row r="244" spans="6:10" x14ac:dyDescent="0.25">
      <c r="F244" s="135"/>
      <c r="G244" s="135"/>
      <c r="H244" s="135"/>
      <c r="I244" s="135"/>
      <c r="J244" s="135"/>
    </row>
    <row r="245" spans="6:10" x14ac:dyDescent="0.25">
      <c r="F245" s="135"/>
      <c r="G245" s="135"/>
      <c r="H245" s="135"/>
      <c r="I245" s="135"/>
      <c r="J245" s="135"/>
    </row>
    <row r="246" spans="6:10" x14ac:dyDescent="0.25">
      <c r="F246" s="135"/>
      <c r="G246" s="135"/>
      <c r="H246" s="135"/>
      <c r="I246" s="135"/>
      <c r="J246" s="135"/>
    </row>
    <row r="247" spans="6:10" x14ac:dyDescent="0.25">
      <c r="F247" s="135"/>
      <c r="G247" s="135"/>
      <c r="H247" s="135"/>
      <c r="I247" s="135"/>
      <c r="J247" s="135"/>
    </row>
    <row r="248" spans="6:10" x14ac:dyDescent="0.25">
      <c r="F248" s="135"/>
      <c r="G248" s="135"/>
      <c r="H248" s="135"/>
      <c r="I248" s="135"/>
      <c r="J248" s="135"/>
    </row>
    <row r="249" spans="6:10" x14ac:dyDescent="0.25">
      <c r="F249" s="135"/>
      <c r="G249" s="135"/>
      <c r="H249" s="135"/>
      <c r="I249" s="135"/>
      <c r="J249" s="135"/>
    </row>
    <row r="250" spans="6:10" x14ac:dyDescent="0.25">
      <c r="F250" s="135"/>
      <c r="G250" s="135"/>
      <c r="H250" s="135"/>
      <c r="I250" s="135"/>
      <c r="J250" s="135"/>
    </row>
    <row r="251" spans="6:10" x14ac:dyDescent="0.25">
      <c r="F251" s="135"/>
      <c r="G251" s="135"/>
      <c r="H251" s="135"/>
      <c r="I251" s="135"/>
      <c r="J251" s="135"/>
    </row>
    <row r="252" spans="6:10" x14ac:dyDescent="0.25">
      <c r="F252" s="135"/>
      <c r="G252" s="135"/>
      <c r="H252" s="135"/>
      <c r="I252" s="135"/>
      <c r="J252" s="135"/>
    </row>
    <row r="253" spans="6:10" x14ac:dyDescent="0.25">
      <c r="F253" s="135"/>
      <c r="G253" s="135"/>
      <c r="H253" s="135"/>
      <c r="I253" s="135"/>
      <c r="J253" s="135"/>
    </row>
    <row r="254" spans="6:10" x14ac:dyDescent="0.25">
      <c r="F254" s="135"/>
      <c r="G254" s="135"/>
      <c r="H254" s="135"/>
      <c r="I254" s="135"/>
      <c r="J254" s="135"/>
    </row>
    <row r="255" spans="6:10" x14ac:dyDescent="0.25">
      <c r="F255" s="135"/>
      <c r="G255" s="135"/>
      <c r="H255" s="135"/>
      <c r="I255" s="135"/>
      <c r="J255" s="135"/>
    </row>
    <row r="256" spans="6:10" x14ac:dyDescent="0.25">
      <c r="F256" s="135"/>
      <c r="G256" s="135"/>
      <c r="H256" s="135"/>
      <c r="I256" s="135"/>
      <c r="J256" s="135"/>
    </row>
    <row r="257" spans="6:10" x14ac:dyDescent="0.25">
      <c r="F257" s="135"/>
      <c r="G257" s="135"/>
      <c r="H257" s="135"/>
      <c r="I257" s="135"/>
      <c r="J257" s="135"/>
    </row>
    <row r="258" spans="6:10" x14ac:dyDescent="0.25">
      <c r="F258" s="135"/>
      <c r="G258" s="135"/>
      <c r="H258" s="135"/>
      <c r="I258" s="135"/>
      <c r="J258" s="135"/>
    </row>
    <row r="259" spans="6:10" x14ac:dyDescent="0.25">
      <c r="F259" s="135"/>
      <c r="G259" s="135"/>
      <c r="H259" s="135"/>
      <c r="I259" s="135"/>
      <c r="J259" s="135"/>
    </row>
    <row r="260" spans="6:10" x14ac:dyDescent="0.25">
      <c r="F260" s="135"/>
      <c r="G260" s="135"/>
      <c r="H260" s="135"/>
      <c r="I260" s="135"/>
      <c r="J260" s="135"/>
    </row>
    <row r="261" spans="6:10" x14ac:dyDescent="0.25">
      <c r="F261" s="135"/>
      <c r="G261" s="135"/>
      <c r="H261" s="135"/>
      <c r="I261" s="135"/>
      <c r="J261" s="135"/>
    </row>
    <row r="262" spans="6:10" x14ac:dyDescent="0.25">
      <c r="F262" s="135"/>
      <c r="G262" s="135"/>
      <c r="H262" s="135"/>
      <c r="I262" s="135"/>
      <c r="J262" s="135"/>
    </row>
    <row r="263" spans="6:10" x14ac:dyDescent="0.25">
      <c r="F263" s="135"/>
      <c r="G263" s="135"/>
      <c r="H263" s="135"/>
      <c r="I263" s="135"/>
      <c r="J263" s="135"/>
    </row>
    <row r="264" spans="6:10" x14ac:dyDescent="0.25">
      <c r="F264" s="135"/>
      <c r="G264" s="135"/>
      <c r="H264" s="135"/>
      <c r="I264" s="135"/>
      <c r="J264" s="135"/>
    </row>
    <row r="265" spans="6:10" x14ac:dyDescent="0.25">
      <c r="F265" s="135"/>
      <c r="G265" s="135"/>
      <c r="H265" s="135"/>
      <c r="I265" s="135"/>
      <c r="J265" s="135"/>
    </row>
    <row r="266" spans="6:10" x14ac:dyDescent="0.25">
      <c r="F266" s="135"/>
      <c r="G266" s="135"/>
      <c r="H266" s="135"/>
      <c r="I266" s="135"/>
      <c r="J266" s="135"/>
    </row>
    <row r="267" spans="6:10" x14ac:dyDescent="0.25">
      <c r="F267" s="135"/>
      <c r="G267" s="135"/>
      <c r="H267" s="135"/>
      <c r="I267" s="135"/>
      <c r="J267" s="135"/>
    </row>
    <row r="268" spans="6:10" x14ac:dyDescent="0.25">
      <c r="F268" s="135"/>
      <c r="G268" s="135"/>
      <c r="H268" s="135"/>
      <c r="I268" s="135"/>
      <c r="J268" s="135"/>
    </row>
    <row r="269" spans="6:10" x14ac:dyDescent="0.25">
      <c r="F269" s="135"/>
      <c r="G269" s="135"/>
      <c r="H269" s="135"/>
      <c r="I269" s="135"/>
      <c r="J269" s="135"/>
    </row>
    <row r="270" spans="6:10" x14ac:dyDescent="0.25">
      <c r="F270" s="135"/>
      <c r="G270" s="135"/>
      <c r="H270" s="135"/>
      <c r="I270" s="135"/>
      <c r="J270" s="135"/>
    </row>
    <row r="271" spans="6:10" x14ac:dyDescent="0.25">
      <c r="F271" s="135"/>
      <c r="G271" s="135"/>
      <c r="H271" s="135"/>
      <c r="I271" s="135"/>
      <c r="J271" s="135"/>
    </row>
    <row r="272" spans="6:10" x14ac:dyDescent="0.25">
      <c r="F272" s="135"/>
      <c r="G272" s="135"/>
      <c r="H272" s="135"/>
      <c r="I272" s="135"/>
      <c r="J272" s="135"/>
    </row>
    <row r="273" spans="6:10" x14ac:dyDescent="0.25">
      <c r="F273" s="135"/>
      <c r="G273" s="135"/>
      <c r="H273" s="135"/>
      <c r="I273" s="135"/>
      <c r="J273" s="135"/>
    </row>
    <row r="274" spans="6:10" x14ac:dyDescent="0.25">
      <c r="F274" s="135"/>
      <c r="G274" s="135"/>
      <c r="H274" s="135"/>
      <c r="I274" s="135"/>
      <c r="J274" s="135"/>
    </row>
    <row r="275" spans="6:10" x14ac:dyDescent="0.25">
      <c r="F275" s="135"/>
      <c r="G275" s="135"/>
      <c r="H275" s="135"/>
      <c r="I275" s="135"/>
      <c r="J275" s="135"/>
    </row>
    <row r="276" spans="6:10" x14ac:dyDescent="0.25">
      <c r="F276" s="135"/>
      <c r="G276" s="135"/>
      <c r="H276" s="135"/>
      <c r="I276" s="135"/>
      <c r="J276" s="135"/>
    </row>
    <row r="277" spans="6:10" x14ac:dyDescent="0.25">
      <c r="F277" s="135"/>
      <c r="G277" s="135"/>
      <c r="H277" s="135"/>
      <c r="I277" s="135"/>
      <c r="J277" s="135"/>
    </row>
    <row r="278" spans="6:10" x14ac:dyDescent="0.25">
      <c r="F278" s="135"/>
      <c r="G278" s="135"/>
      <c r="H278" s="135"/>
      <c r="I278" s="135"/>
      <c r="J278" s="135"/>
    </row>
    <row r="279" spans="6:10" x14ac:dyDescent="0.25">
      <c r="F279" s="135"/>
      <c r="G279" s="135"/>
      <c r="H279" s="135"/>
      <c r="I279" s="135"/>
      <c r="J279" s="135"/>
    </row>
    <row r="280" spans="6:10" x14ac:dyDescent="0.25">
      <c r="F280" s="135"/>
      <c r="G280" s="135"/>
      <c r="H280" s="135"/>
      <c r="I280" s="135"/>
      <c r="J280" s="135"/>
    </row>
    <row r="281" spans="6:10" x14ac:dyDescent="0.25">
      <c r="F281" s="135"/>
      <c r="G281" s="135"/>
      <c r="H281" s="135"/>
      <c r="I281" s="135"/>
      <c r="J281" s="135"/>
    </row>
    <row r="282" spans="6:10" x14ac:dyDescent="0.25">
      <c r="F282" s="135"/>
      <c r="G282" s="135"/>
      <c r="H282" s="135"/>
      <c r="I282" s="135"/>
      <c r="J282" s="135"/>
    </row>
    <row r="283" spans="6:10" x14ac:dyDescent="0.25">
      <c r="F283" s="135"/>
      <c r="G283" s="135"/>
      <c r="H283" s="135"/>
      <c r="I283" s="135"/>
      <c r="J283" s="135"/>
    </row>
    <row r="284" spans="6:10" x14ac:dyDescent="0.25">
      <c r="F284" s="135"/>
      <c r="G284" s="135"/>
      <c r="H284" s="135"/>
      <c r="I284" s="135"/>
      <c r="J284" s="135"/>
    </row>
    <row r="285" spans="6:10" x14ac:dyDescent="0.25">
      <c r="F285" s="135"/>
      <c r="G285" s="135"/>
      <c r="H285" s="135"/>
      <c r="I285" s="135"/>
      <c r="J285" s="135"/>
    </row>
    <row r="286" spans="6:10" x14ac:dyDescent="0.25">
      <c r="F286" s="135"/>
      <c r="G286" s="135"/>
      <c r="H286" s="135"/>
      <c r="I286" s="135"/>
      <c r="J286" s="135"/>
    </row>
    <row r="287" spans="6:10" x14ac:dyDescent="0.25">
      <c r="F287" s="135"/>
      <c r="G287" s="135"/>
      <c r="H287" s="135"/>
      <c r="I287" s="135"/>
      <c r="J287" s="135"/>
    </row>
    <row r="288" spans="6:10" x14ac:dyDescent="0.25">
      <c r="F288" s="135"/>
      <c r="G288" s="135"/>
      <c r="H288" s="135"/>
      <c r="I288" s="135"/>
      <c r="J288" s="135"/>
    </row>
    <row r="289" spans="6:10" x14ac:dyDescent="0.25">
      <c r="F289" s="135"/>
      <c r="G289" s="135"/>
      <c r="H289" s="135"/>
      <c r="I289" s="135"/>
      <c r="J289" s="135"/>
    </row>
    <row r="290" spans="6:10" x14ac:dyDescent="0.25">
      <c r="F290" s="135"/>
      <c r="G290" s="135"/>
      <c r="H290" s="135"/>
      <c r="I290" s="135"/>
      <c r="J290" s="135"/>
    </row>
    <row r="291" spans="6:10" x14ac:dyDescent="0.25">
      <c r="F291" s="135"/>
      <c r="G291" s="135"/>
      <c r="H291" s="135"/>
      <c r="I291" s="135"/>
      <c r="J291" s="135"/>
    </row>
    <row r="292" spans="6:10" x14ac:dyDescent="0.25">
      <c r="F292" s="135"/>
      <c r="G292" s="135"/>
      <c r="H292" s="135"/>
      <c r="I292" s="135"/>
      <c r="J292" s="135"/>
    </row>
    <row r="293" spans="6:10" x14ac:dyDescent="0.25">
      <c r="F293" s="135"/>
      <c r="G293" s="135"/>
      <c r="H293" s="135"/>
      <c r="I293" s="135"/>
      <c r="J293" s="135"/>
    </row>
    <row r="294" spans="6:10" x14ac:dyDescent="0.25">
      <c r="F294" s="135"/>
      <c r="G294" s="135"/>
      <c r="H294" s="135"/>
      <c r="I294" s="135"/>
      <c r="J294" s="135"/>
    </row>
    <row r="295" spans="6:10" x14ac:dyDescent="0.25">
      <c r="F295" s="135"/>
      <c r="G295" s="135"/>
      <c r="H295" s="135"/>
      <c r="I295" s="135"/>
      <c r="J295" s="135"/>
    </row>
    <row r="296" spans="6:10" x14ac:dyDescent="0.25">
      <c r="F296" s="135"/>
      <c r="G296" s="135"/>
      <c r="H296" s="135"/>
      <c r="I296" s="135"/>
      <c r="J296" s="135"/>
    </row>
    <row r="297" spans="6:10" x14ac:dyDescent="0.25">
      <c r="F297" s="135"/>
      <c r="G297" s="135"/>
      <c r="H297" s="135"/>
      <c r="I297" s="135"/>
      <c r="J297" s="135"/>
    </row>
    <row r="298" spans="6:10" x14ac:dyDescent="0.25">
      <c r="F298" s="135"/>
      <c r="G298" s="135"/>
      <c r="H298" s="135"/>
      <c r="I298" s="135"/>
      <c r="J298" s="135"/>
    </row>
    <row r="299" spans="6:10" x14ac:dyDescent="0.25">
      <c r="F299" s="135"/>
      <c r="G299" s="135"/>
      <c r="H299" s="135"/>
      <c r="I299" s="135"/>
      <c r="J299" s="135"/>
    </row>
    <row r="300" spans="6:10" x14ac:dyDescent="0.25">
      <c r="F300" s="135"/>
      <c r="G300" s="135"/>
      <c r="H300" s="135"/>
      <c r="I300" s="135"/>
      <c r="J300" s="135"/>
    </row>
    <row r="301" spans="6:10" x14ac:dyDescent="0.25">
      <c r="F301" s="135"/>
      <c r="G301" s="135"/>
      <c r="H301" s="135"/>
      <c r="I301" s="135"/>
      <c r="J301" s="135"/>
    </row>
    <row r="302" spans="6:10" x14ac:dyDescent="0.25">
      <c r="F302" s="135"/>
      <c r="G302" s="135"/>
      <c r="H302" s="135"/>
      <c r="I302" s="135"/>
      <c r="J302" s="135"/>
    </row>
    <row r="303" spans="6:10" x14ac:dyDescent="0.25">
      <c r="F303" s="135"/>
      <c r="G303" s="135"/>
      <c r="H303" s="135"/>
      <c r="I303" s="135"/>
      <c r="J303" s="135"/>
    </row>
    <row r="304" spans="6:10" x14ac:dyDescent="0.25">
      <c r="F304" s="135"/>
      <c r="G304" s="135"/>
      <c r="H304" s="135"/>
      <c r="I304" s="135"/>
      <c r="J304" s="135"/>
    </row>
    <row r="305" spans="6:10" x14ac:dyDescent="0.25">
      <c r="F305" s="135"/>
      <c r="G305" s="135"/>
      <c r="H305" s="135"/>
      <c r="I305" s="135"/>
      <c r="J305" s="135"/>
    </row>
    <row r="306" spans="6:10" x14ac:dyDescent="0.25">
      <c r="F306" s="135"/>
      <c r="G306" s="135"/>
      <c r="H306" s="135"/>
      <c r="I306" s="135"/>
      <c r="J306" s="135"/>
    </row>
    <row r="307" spans="6:10" x14ac:dyDescent="0.25">
      <c r="F307" s="135"/>
      <c r="G307" s="135"/>
      <c r="H307" s="135"/>
      <c r="I307" s="135"/>
      <c r="J307" s="135"/>
    </row>
    <row r="308" spans="6:10" x14ac:dyDescent="0.25">
      <c r="F308" s="135"/>
      <c r="G308" s="135"/>
      <c r="H308" s="135"/>
      <c r="I308" s="135"/>
      <c r="J308" s="135"/>
    </row>
    <row r="309" spans="6:10" x14ac:dyDescent="0.25">
      <c r="F309" s="135"/>
      <c r="G309" s="135"/>
      <c r="H309" s="135"/>
      <c r="I309" s="135"/>
      <c r="J309" s="135"/>
    </row>
    <row r="310" spans="6:10" x14ac:dyDescent="0.25">
      <c r="F310" s="135"/>
      <c r="G310" s="135"/>
      <c r="H310" s="135"/>
      <c r="I310" s="135"/>
      <c r="J310" s="135"/>
    </row>
    <row r="311" spans="6:10" x14ac:dyDescent="0.25">
      <c r="F311" s="135"/>
      <c r="G311" s="135"/>
      <c r="H311" s="135"/>
      <c r="I311" s="135"/>
      <c r="J311" s="135"/>
    </row>
    <row r="312" spans="6:10" x14ac:dyDescent="0.25">
      <c r="F312" s="135"/>
      <c r="G312" s="135"/>
      <c r="H312" s="135"/>
      <c r="I312" s="135"/>
      <c r="J312" s="135"/>
    </row>
    <row r="313" spans="6:10" x14ac:dyDescent="0.25">
      <c r="F313" s="135"/>
      <c r="G313" s="135"/>
      <c r="H313" s="135"/>
      <c r="I313" s="135"/>
      <c r="J313" s="135"/>
    </row>
    <row r="314" spans="6:10" x14ac:dyDescent="0.25">
      <c r="F314" s="135"/>
      <c r="G314" s="135"/>
      <c r="H314" s="135"/>
      <c r="I314" s="135"/>
      <c r="J314" s="135"/>
    </row>
    <row r="315" spans="6:10" x14ac:dyDescent="0.25">
      <c r="F315" s="135"/>
      <c r="G315" s="135"/>
      <c r="H315" s="135"/>
      <c r="I315" s="135"/>
      <c r="J315" s="135"/>
    </row>
    <row r="316" spans="6:10" x14ac:dyDescent="0.25">
      <c r="F316" s="135"/>
      <c r="G316" s="135"/>
      <c r="H316" s="135"/>
      <c r="I316" s="135"/>
      <c r="J316" s="135"/>
    </row>
    <row r="317" spans="6:10" x14ac:dyDescent="0.25">
      <c r="F317" s="135"/>
      <c r="G317" s="135"/>
      <c r="H317" s="135"/>
      <c r="I317" s="135"/>
      <c r="J317" s="135"/>
    </row>
    <row r="318" spans="6:10" x14ac:dyDescent="0.25">
      <c r="F318" s="135"/>
      <c r="G318" s="135"/>
      <c r="H318" s="135"/>
      <c r="I318" s="135"/>
      <c r="J318" s="135"/>
    </row>
    <row r="319" spans="6:10" x14ac:dyDescent="0.25">
      <c r="F319" s="135"/>
      <c r="G319" s="135"/>
      <c r="H319" s="135"/>
      <c r="I319" s="135"/>
      <c r="J319" s="135"/>
    </row>
    <row r="320" spans="6:10" x14ac:dyDescent="0.25">
      <c r="F320" s="135"/>
      <c r="G320" s="135"/>
      <c r="H320" s="135"/>
      <c r="I320" s="135"/>
      <c r="J320" s="135"/>
    </row>
    <row r="321" spans="6:10" x14ac:dyDescent="0.25">
      <c r="F321" s="135"/>
      <c r="G321" s="135"/>
      <c r="H321" s="135"/>
      <c r="I321" s="135"/>
      <c r="J321" s="135"/>
    </row>
    <row r="322" spans="6:10" x14ac:dyDescent="0.25">
      <c r="F322" s="135"/>
      <c r="G322" s="135"/>
      <c r="H322" s="135"/>
      <c r="I322" s="135"/>
      <c r="J322" s="135"/>
    </row>
    <row r="323" spans="6:10" x14ac:dyDescent="0.25">
      <c r="F323" s="135"/>
      <c r="G323" s="135"/>
      <c r="H323" s="135"/>
      <c r="I323" s="135"/>
      <c r="J323" s="135"/>
    </row>
    <row r="324" spans="6:10" x14ac:dyDescent="0.25">
      <c r="F324" s="135"/>
      <c r="G324" s="135"/>
      <c r="H324" s="135"/>
      <c r="I324" s="135"/>
      <c r="J324" s="135"/>
    </row>
    <row r="325" spans="6:10" x14ac:dyDescent="0.25">
      <c r="F325" s="135"/>
      <c r="G325" s="135"/>
      <c r="H325" s="135"/>
      <c r="I325" s="135"/>
      <c r="J325" s="135"/>
    </row>
    <row r="326" spans="6:10" x14ac:dyDescent="0.25">
      <c r="F326" s="135"/>
      <c r="G326" s="135"/>
      <c r="H326" s="135"/>
      <c r="I326" s="135"/>
      <c r="J326" s="135"/>
    </row>
    <row r="327" spans="6:10" x14ac:dyDescent="0.25">
      <c r="F327" s="135"/>
      <c r="G327" s="135"/>
      <c r="H327" s="135"/>
      <c r="I327" s="135"/>
      <c r="J327" s="135"/>
    </row>
    <row r="328" spans="6:10" x14ac:dyDescent="0.25">
      <c r="F328" s="135"/>
      <c r="G328" s="135"/>
      <c r="H328" s="135"/>
      <c r="I328" s="135"/>
      <c r="J328" s="135"/>
    </row>
    <row r="329" spans="6:10" x14ac:dyDescent="0.25">
      <c r="F329" s="135"/>
      <c r="G329" s="135"/>
      <c r="H329" s="135"/>
      <c r="I329" s="135"/>
      <c r="J329" s="135"/>
    </row>
    <row r="330" spans="6:10" x14ac:dyDescent="0.25">
      <c r="F330" s="135"/>
      <c r="G330" s="135"/>
      <c r="H330" s="135"/>
      <c r="I330" s="135"/>
      <c r="J330" s="135"/>
    </row>
    <row r="331" spans="6:10" x14ac:dyDescent="0.25">
      <c r="F331" s="135"/>
      <c r="G331" s="135"/>
      <c r="H331" s="135"/>
      <c r="I331" s="135"/>
      <c r="J331" s="135"/>
    </row>
    <row r="332" spans="6:10" x14ac:dyDescent="0.25">
      <c r="F332" s="135"/>
      <c r="G332" s="135"/>
      <c r="H332" s="135"/>
      <c r="I332" s="135"/>
      <c r="J332" s="135"/>
    </row>
    <row r="333" spans="6:10" x14ac:dyDescent="0.25">
      <c r="F333" s="135"/>
      <c r="G333" s="135"/>
      <c r="H333" s="135"/>
      <c r="I333" s="135"/>
      <c r="J333" s="135"/>
    </row>
    <row r="334" spans="6:10" x14ac:dyDescent="0.25">
      <c r="F334" s="135"/>
      <c r="G334" s="135"/>
      <c r="H334" s="135"/>
      <c r="I334" s="135"/>
      <c r="J334" s="135"/>
    </row>
    <row r="335" spans="6:10" x14ac:dyDescent="0.25">
      <c r="F335" s="135"/>
      <c r="G335" s="135"/>
      <c r="H335" s="135"/>
      <c r="I335" s="135"/>
      <c r="J335" s="135"/>
    </row>
    <row r="336" spans="6:10" x14ac:dyDescent="0.25">
      <c r="F336" s="135"/>
      <c r="G336" s="135"/>
      <c r="H336" s="135"/>
      <c r="I336" s="135"/>
      <c r="J336" s="135"/>
    </row>
    <row r="337" spans="6:10" x14ac:dyDescent="0.25">
      <c r="F337" s="135"/>
      <c r="G337" s="135"/>
      <c r="H337" s="135"/>
      <c r="I337" s="135"/>
      <c r="J337" s="135"/>
    </row>
    <row r="338" spans="6:10" x14ac:dyDescent="0.25">
      <c r="F338" s="135"/>
      <c r="G338" s="135"/>
      <c r="H338" s="135"/>
      <c r="I338" s="135"/>
      <c r="J338" s="135"/>
    </row>
    <row r="339" spans="6:10" x14ac:dyDescent="0.25">
      <c r="F339" s="135"/>
      <c r="G339" s="135"/>
      <c r="H339" s="135"/>
      <c r="I339" s="135"/>
      <c r="J339" s="135"/>
    </row>
    <row r="340" spans="6:10" x14ac:dyDescent="0.25">
      <c r="F340" s="135"/>
      <c r="G340" s="135"/>
      <c r="H340" s="135"/>
      <c r="I340" s="135"/>
      <c r="J340" s="135"/>
    </row>
    <row r="341" spans="6:10" x14ac:dyDescent="0.25">
      <c r="F341" s="135"/>
      <c r="G341" s="135"/>
      <c r="H341" s="135"/>
      <c r="I341" s="135"/>
      <c r="J341" s="135"/>
    </row>
    <row r="342" spans="6:10" x14ac:dyDescent="0.25">
      <c r="F342" s="135"/>
      <c r="G342" s="135"/>
      <c r="H342" s="135"/>
      <c r="I342" s="135"/>
      <c r="J342" s="135"/>
    </row>
    <row r="343" spans="6:10" x14ac:dyDescent="0.25">
      <c r="F343" s="135"/>
      <c r="G343" s="135"/>
      <c r="H343" s="135"/>
      <c r="I343" s="135"/>
      <c r="J343" s="135"/>
    </row>
    <row r="344" spans="6:10" x14ac:dyDescent="0.25">
      <c r="F344" s="135"/>
      <c r="G344" s="135"/>
      <c r="H344" s="135"/>
      <c r="I344" s="135"/>
      <c r="J344" s="135"/>
    </row>
    <row r="345" spans="6:10" x14ac:dyDescent="0.25">
      <c r="F345" s="135"/>
      <c r="G345" s="135"/>
      <c r="H345" s="135"/>
      <c r="I345" s="135"/>
      <c r="J345" s="135"/>
    </row>
    <row r="346" spans="6:10" x14ac:dyDescent="0.25">
      <c r="F346" s="135"/>
      <c r="G346" s="135"/>
      <c r="H346" s="135"/>
      <c r="I346" s="135"/>
      <c r="J346" s="135"/>
    </row>
    <row r="347" spans="6:10" x14ac:dyDescent="0.25">
      <c r="F347" s="135"/>
      <c r="G347" s="135"/>
      <c r="H347" s="135"/>
      <c r="I347" s="135"/>
      <c r="J347" s="135"/>
    </row>
    <row r="348" spans="6:10" x14ac:dyDescent="0.25">
      <c r="F348" s="135"/>
      <c r="G348" s="135"/>
      <c r="H348" s="135"/>
      <c r="I348" s="135"/>
      <c r="J348" s="135"/>
    </row>
    <row r="349" spans="6:10" x14ac:dyDescent="0.25">
      <c r="F349" s="135"/>
      <c r="G349" s="135"/>
      <c r="H349" s="135"/>
      <c r="I349" s="135"/>
      <c r="J349" s="135"/>
    </row>
    <row r="350" spans="6:10" x14ac:dyDescent="0.25">
      <c r="F350" s="135"/>
      <c r="G350" s="135"/>
      <c r="H350" s="135"/>
      <c r="I350" s="135"/>
      <c r="J350" s="135"/>
    </row>
    <row r="351" spans="6:10" x14ac:dyDescent="0.25">
      <c r="F351" s="135"/>
      <c r="G351" s="135"/>
      <c r="H351" s="135"/>
      <c r="I351" s="135"/>
      <c r="J351" s="135"/>
    </row>
    <row r="352" spans="6:10" x14ac:dyDescent="0.25">
      <c r="F352" s="135"/>
      <c r="G352" s="135"/>
      <c r="H352" s="135"/>
      <c r="I352" s="135"/>
      <c r="J352" s="135"/>
    </row>
    <row r="353" spans="6:10" x14ac:dyDescent="0.25">
      <c r="F353" s="135"/>
      <c r="G353" s="135"/>
      <c r="H353" s="135"/>
      <c r="I353" s="135"/>
      <c r="J353" s="135"/>
    </row>
    <row r="354" spans="6:10" x14ac:dyDescent="0.25">
      <c r="F354" s="135"/>
      <c r="G354" s="135"/>
      <c r="H354" s="135"/>
      <c r="I354" s="135"/>
      <c r="J354" s="135"/>
    </row>
    <row r="355" spans="6:10" x14ac:dyDescent="0.25">
      <c r="F355" s="135"/>
      <c r="G355" s="135"/>
      <c r="H355" s="135"/>
      <c r="I355" s="135"/>
      <c r="J355" s="135"/>
    </row>
    <row r="356" spans="6:10" x14ac:dyDescent="0.25">
      <c r="F356" s="135"/>
      <c r="G356" s="135"/>
      <c r="H356" s="135"/>
      <c r="I356" s="135"/>
      <c r="J356" s="135"/>
    </row>
    <row r="357" spans="6:10" x14ac:dyDescent="0.25">
      <c r="F357" s="135"/>
      <c r="G357" s="135"/>
      <c r="H357" s="135"/>
      <c r="I357" s="135"/>
      <c r="J357" s="135"/>
    </row>
    <row r="358" spans="6:10" x14ac:dyDescent="0.25">
      <c r="F358" s="135"/>
      <c r="G358" s="135"/>
      <c r="H358" s="135"/>
      <c r="I358" s="135"/>
      <c r="J358" s="135"/>
    </row>
    <row r="359" spans="6:10" x14ac:dyDescent="0.25">
      <c r="F359" s="135"/>
      <c r="G359" s="135"/>
      <c r="H359" s="135"/>
      <c r="I359" s="135"/>
      <c r="J359" s="135"/>
    </row>
    <row r="360" spans="6:10" x14ac:dyDescent="0.25">
      <c r="F360" s="135"/>
      <c r="G360" s="135"/>
      <c r="H360" s="135"/>
      <c r="I360" s="135"/>
      <c r="J360" s="135"/>
    </row>
    <row r="361" spans="6:10" x14ac:dyDescent="0.25">
      <c r="F361" s="135"/>
      <c r="G361" s="135"/>
      <c r="H361" s="135"/>
      <c r="I361" s="135"/>
      <c r="J361" s="135"/>
    </row>
    <row r="362" spans="6:10" x14ac:dyDescent="0.25">
      <c r="F362" s="135"/>
      <c r="G362" s="135"/>
      <c r="H362" s="135"/>
      <c r="I362" s="135"/>
      <c r="J362" s="135"/>
    </row>
    <row r="363" spans="6:10" x14ac:dyDescent="0.25">
      <c r="F363" s="135"/>
      <c r="G363" s="135"/>
      <c r="H363" s="135"/>
      <c r="I363" s="135"/>
      <c r="J363" s="135"/>
    </row>
    <row r="364" spans="6:10" x14ac:dyDescent="0.25">
      <c r="F364" s="135"/>
      <c r="G364" s="135"/>
      <c r="H364" s="135"/>
      <c r="I364" s="135"/>
      <c r="J364" s="135"/>
    </row>
    <row r="365" spans="6:10" x14ac:dyDescent="0.25">
      <c r="F365" s="135"/>
      <c r="G365" s="135"/>
      <c r="H365" s="135"/>
      <c r="I365" s="135"/>
      <c r="J365" s="135"/>
    </row>
    <row r="366" spans="6:10" x14ac:dyDescent="0.25">
      <c r="F366" s="135"/>
      <c r="G366" s="135"/>
      <c r="H366" s="135"/>
      <c r="I366" s="135"/>
      <c r="J366" s="135"/>
    </row>
    <row r="367" spans="6:10" x14ac:dyDescent="0.25">
      <c r="F367" s="135"/>
      <c r="G367" s="135"/>
      <c r="H367" s="135"/>
      <c r="I367" s="135"/>
      <c r="J367" s="135"/>
    </row>
    <row r="368" spans="6:10" x14ac:dyDescent="0.25">
      <c r="F368" s="135"/>
      <c r="G368" s="135"/>
      <c r="H368" s="135"/>
      <c r="I368" s="135"/>
      <c r="J368" s="135"/>
    </row>
    <row r="369" spans="6:10" x14ac:dyDescent="0.25">
      <c r="F369" s="135"/>
      <c r="G369" s="135"/>
      <c r="H369" s="135"/>
      <c r="I369" s="135"/>
      <c r="J369" s="135"/>
    </row>
    <row r="370" spans="6:10" x14ac:dyDescent="0.25">
      <c r="F370" s="135"/>
      <c r="G370" s="135"/>
      <c r="H370" s="135"/>
      <c r="I370" s="135"/>
      <c r="J370" s="135"/>
    </row>
    <row r="371" spans="6:10" x14ac:dyDescent="0.25">
      <c r="F371" s="135"/>
      <c r="G371" s="135"/>
      <c r="H371" s="135"/>
      <c r="I371" s="135"/>
      <c r="J371" s="135"/>
    </row>
    <row r="372" spans="6:10" x14ac:dyDescent="0.25">
      <c r="F372" s="135"/>
      <c r="G372" s="135"/>
      <c r="H372" s="135"/>
      <c r="I372" s="135"/>
      <c r="J372" s="135"/>
    </row>
    <row r="373" spans="6:10" x14ac:dyDescent="0.25">
      <c r="F373" s="135"/>
      <c r="G373" s="135"/>
      <c r="H373" s="135"/>
      <c r="I373" s="135"/>
      <c r="J373" s="135"/>
    </row>
    <row r="374" spans="6:10" x14ac:dyDescent="0.25">
      <c r="F374" s="135"/>
      <c r="G374" s="135"/>
      <c r="H374" s="135"/>
      <c r="I374" s="135"/>
      <c r="J374" s="135"/>
    </row>
    <row r="375" spans="6:10" x14ac:dyDescent="0.25">
      <c r="F375" s="135"/>
      <c r="G375" s="135"/>
      <c r="H375" s="135"/>
      <c r="I375" s="135"/>
      <c r="J375" s="135"/>
    </row>
    <row r="376" spans="6:10" x14ac:dyDescent="0.25">
      <c r="F376" s="135"/>
      <c r="G376" s="135"/>
      <c r="H376" s="135"/>
      <c r="I376" s="135"/>
      <c r="J376" s="135"/>
    </row>
    <row r="377" spans="6:10" x14ac:dyDescent="0.25">
      <c r="F377" s="135"/>
      <c r="G377" s="135"/>
      <c r="H377" s="135"/>
      <c r="I377" s="135"/>
      <c r="J377" s="135"/>
    </row>
    <row r="378" spans="6:10" x14ac:dyDescent="0.25">
      <c r="F378" s="135"/>
      <c r="G378" s="135"/>
      <c r="H378" s="135"/>
      <c r="I378" s="135"/>
      <c r="J378" s="135"/>
    </row>
    <row r="379" spans="6:10" x14ac:dyDescent="0.25">
      <c r="F379" s="135"/>
      <c r="G379" s="135"/>
      <c r="H379" s="135"/>
      <c r="I379" s="135"/>
      <c r="J379" s="135"/>
    </row>
    <row r="380" spans="6:10" x14ac:dyDescent="0.25">
      <c r="F380" s="135"/>
      <c r="G380" s="135"/>
      <c r="H380" s="135"/>
      <c r="I380" s="135"/>
      <c r="J380" s="135"/>
    </row>
    <row r="381" spans="6:10" x14ac:dyDescent="0.25">
      <c r="F381" s="135"/>
      <c r="G381" s="135"/>
      <c r="H381" s="135"/>
      <c r="I381" s="135"/>
      <c r="J381" s="135"/>
    </row>
    <row r="382" spans="6:10" x14ac:dyDescent="0.25">
      <c r="F382" s="135"/>
      <c r="G382" s="135"/>
      <c r="H382" s="135"/>
      <c r="I382" s="135"/>
      <c r="J382" s="135"/>
    </row>
    <row r="383" spans="6:10" x14ac:dyDescent="0.25">
      <c r="F383" s="135"/>
      <c r="G383" s="135"/>
      <c r="H383" s="135"/>
      <c r="I383" s="135"/>
      <c r="J383" s="135"/>
    </row>
    <row r="384" spans="6:10" x14ac:dyDescent="0.25">
      <c r="F384" s="135"/>
      <c r="G384" s="135"/>
      <c r="H384" s="135"/>
      <c r="I384" s="135"/>
      <c r="J384" s="135"/>
    </row>
    <row r="385" spans="6:10" x14ac:dyDescent="0.25">
      <c r="F385" s="135"/>
      <c r="G385" s="135"/>
      <c r="H385" s="135"/>
      <c r="I385" s="135"/>
      <c r="J385" s="135"/>
    </row>
    <row r="386" spans="6:10" x14ac:dyDescent="0.25">
      <c r="F386" s="135"/>
      <c r="G386" s="135"/>
      <c r="H386" s="135"/>
      <c r="I386" s="135"/>
      <c r="J386" s="135"/>
    </row>
    <row r="387" spans="6:10" x14ac:dyDescent="0.25">
      <c r="F387" s="135"/>
      <c r="G387" s="135"/>
      <c r="H387" s="135"/>
      <c r="I387" s="135"/>
      <c r="J387" s="135"/>
    </row>
    <row r="388" spans="6:10" x14ac:dyDescent="0.25">
      <c r="F388" s="135"/>
      <c r="G388" s="135"/>
      <c r="H388" s="135"/>
      <c r="I388" s="135"/>
      <c r="J388" s="135"/>
    </row>
    <row r="389" spans="6:10" x14ac:dyDescent="0.25">
      <c r="F389" s="135"/>
      <c r="G389" s="135"/>
      <c r="H389" s="135"/>
      <c r="I389" s="135"/>
      <c r="J389" s="135"/>
    </row>
    <row r="390" spans="6:10" x14ac:dyDescent="0.25">
      <c r="F390" s="135"/>
      <c r="G390" s="135"/>
      <c r="H390" s="135"/>
      <c r="I390" s="135"/>
      <c r="J390" s="135"/>
    </row>
    <row r="391" spans="6:10" x14ac:dyDescent="0.25">
      <c r="F391" s="135"/>
      <c r="G391" s="135"/>
      <c r="H391" s="135"/>
      <c r="I391" s="135"/>
      <c r="J391" s="135"/>
    </row>
    <row r="392" spans="6:10" x14ac:dyDescent="0.25">
      <c r="F392" s="135"/>
      <c r="G392" s="135"/>
      <c r="H392" s="135"/>
      <c r="I392" s="135"/>
      <c r="J392" s="135"/>
    </row>
    <row r="393" spans="6:10" x14ac:dyDescent="0.25">
      <c r="F393" s="135"/>
      <c r="G393" s="135"/>
      <c r="H393" s="135"/>
      <c r="I393" s="135"/>
      <c r="J393" s="135"/>
    </row>
    <row r="394" spans="6:10" x14ac:dyDescent="0.25">
      <c r="F394" s="135"/>
      <c r="G394" s="135"/>
      <c r="H394" s="135"/>
      <c r="I394" s="135"/>
      <c r="J394" s="135"/>
    </row>
    <row r="395" spans="6:10" x14ac:dyDescent="0.25">
      <c r="F395" s="135"/>
      <c r="G395" s="135"/>
      <c r="H395" s="135"/>
      <c r="I395" s="135"/>
      <c r="J395" s="135"/>
    </row>
    <row r="396" spans="6:10" x14ac:dyDescent="0.25">
      <c r="F396" s="135"/>
      <c r="G396" s="135"/>
      <c r="H396" s="135"/>
      <c r="I396" s="135"/>
      <c r="J396" s="135"/>
    </row>
    <row r="397" spans="6:10" x14ac:dyDescent="0.25">
      <c r="F397" s="135"/>
      <c r="G397" s="135"/>
      <c r="H397" s="135"/>
      <c r="I397" s="135"/>
      <c r="J397" s="135"/>
    </row>
    <row r="398" spans="6:10" x14ac:dyDescent="0.25">
      <c r="F398" s="135"/>
      <c r="G398" s="135"/>
      <c r="H398" s="135"/>
      <c r="I398" s="135"/>
      <c r="J398" s="135"/>
    </row>
    <row r="399" spans="6:10" x14ac:dyDescent="0.25">
      <c r="F399" s="135"/>
      <c r="G399" s="135"/>
      <c r="H399" s="135"/>
      <c r="I399" s="135"/>
      <c r="J399" s="135"/>
    </row>
    <row r="400" spans="6:10" x14ac:dyDescent="0.25">
      <c r="F400" s="135"/>
      <c r="G400" s="135"/>
      <c r="H400" s="135"/>
      <c r="I400" s="135"/>
      <c r="J400" s="135"/>
    </row>
    <row r="401" spans="6:10" x14ac:dyDescent="0.25">
      <c r="F401" s="135"/>
      <c r="G401" s="135"/>
      <c r="H401" s="135"/>
      <c r="I401" s="135"/>
      <c r="J401" s="135"/>
    </row>
    <row r="402" spans="6:10" x14ac:dyDescent="0.25">
      <c r="F402" s="135"/>
      <c r="G402" s="135"/>
      <c r="H402" s="135"/>
      <c r="I402" s="135"/>
      <c r="J402" s="135"/>
    </row>
    <row r="403" spans="6:10" x14ac:dyDescent="0.25">
      <c r="F403" s="135"/>
      <c r="G403" s="135"/>
      <c r="H403" s="135"/>
      <c r="I403" s="135"/>
      <c r="J403" s="135"/>
    </row>
    <row r="404" spans="6:10" x14ac:dyDescent="0.25">
      <c r="F404" s="135"/>
      <c r="G404" s="135"/>
      <c r="H404" s="135"/>
      <c r="I404" s="135"/>
      <c r="J404" s="135"/>
    </row>
    <row r="405" spans="6:10" x14ac:dyDescent="0.25">
      <c r="F405" s="135"/>
      <c r="G405" s="135"/>
      <c r="H405" s="135"/>
      <c r="I405" s="135"/>
      <c r="J405" s="135"/>
    </row>
    <row r="406" spans="6:10" x14ac:dyDescent="0.25">
      <c r="F406" s="135"/>
      <c r="G406" s="135"/>
      <c r="H406" s="135"/>
      <c r="I406" s="135"/>
      <c r="J406" s="135"/>
    </row>
    <row r="407" spans="6:10" x14ac:dyDescent="0.25">
      <c r="F407" s="135"/>
      <c r="G407" s="135"/>
      <c r="H407" s="135"/>
      <c r="I407" s="135"/>
      <c r="J407" s="135"/>
    </row>
    <row r="408" spans="6:10" x14ac:dyDescent="0.25">
      <c r="F408" s="135"/>
      <c r="G408" s="135"/>
      <c r="H408" s="135"/>
      <c r="I408" s="135"/>
      <c r="J408" s="135"/>
    </row>
    <row r="409" spans="6:10" x14ac:dyDescent="0.25">
      <c r="F409" s="135"/>
      <c r="G409" s="135"/>
      <c r="H409" s="135"/>
      <c r="I409" s="135"/>
      <c r="J409" s="135"/>
    </row>
    <row r="410" spans="6:10" x14ac:dyDescent="0.25">
      <c r="F410" s="135"/>
      <c r="G410" s="135"/>
      <c r="H410" s="135"/>
      <c r="I410" s="135"/>
      <c r="J410" s="135"/>
    </row>
    <row r="411" spans="6:10" x14ac:dyDescent="0.25">
      <c r="F411" s="135"/>
      <c r="G411" s="135"/>
      <c r="H411" s="135"/>
      <c r="I411" s="135"/>
      <c r="J411" s="135"/>
    </row>
    <row r="412" spans="6:10" x14ac:dyDescent="0.25">
      <c r="F412" s="135"/>
      <c r="G412" s="135"/>
      <c r="H412" s="135"/>
      <c r="I412" s="135"/>
      <c r="J412" s="135"/>
    </row>
    <row r="413" spans="6:10" x14ac:dyDescent="0.25">
      <c r="F413" s="135"/>
      <c r="G413" s="135"/>
      <c r="H413" s="135"/>
      <c r="I413" s="135"/>
      <c r="J413" s="135"/>
    </row>
    <row r="414" spans="6:10" x14ac:dyDescent="0.25">
      <c r="F414" s="135"/>
      <c r="G414" s="135"/>
      <c r="H414" s="135"/>
      <c r="I414" s="135"/>
      <c r="J414" s="135"/>
    </row>
    <row r="415" spans="6:10" x14ac:dyDescent="0.25">
      <c r="F415" s="135"/>
      <c r="G415" s="135"/>
      <c r="H415" s="135"/>
      <c r="I415" s="135"/>
      <c r="J415" s="135"/>
    </row>
    <row r="416" spans="6:10" x14ac:dyDescent="0.25">
      <c r="F416" s="135"/>
      <c r="G416" s="135"/>
      <c r="H416" s="135"/>
      <c r="I416" s="135"/>
      <c r="J416" s="135"/>
    </row>
    <row r="417" spans="6:10" x14ac:dyDescent="0.25">
      <c r="F417" s="135"/>
      <c r="G417" s="135"/>
      <c r="H417" s="135"/>
      <c r="I417" s="135"/>
      <c r="J417" s="135"/>
    </row>
    <row r="418" spans="6:10" x14ac:dyDescent="0.25">
      <c r="F418" s="135"/>
      <c r="G418" s="135"/>
      <c r="H418" s="135"/>
      <c r="I418" s="135"/>
      <c r="J418" s="135"/>
    </row>
    <row r="419" spans="6:10" x14ac:dyDescent="0.25">
      <c r="F419" s="135"/>
      <c r="G419" s="135"/>
      <c r="H419" s="135"/>
      <c r="I419" s="135"/>
      <c r="J419" s="135"/>
    </row>
    <row r="420" spans="6:10" x14ac:dyDescent="0.25">
      <c r="F420" s="135"/>
      <c r="G420" s="135"/>
      <c r="H420" s="135"/>
      <c r="I420" s="135"/>
      <c r="J420" s="135"/>
    </row>
    <row r="421" spans="6:10" x14ac:dyDescent="0.25">
      <c r="F421" s="135"/>
      <c r="G421" s="135"/>
      <c r="H421" s="135"/>
      <c r="I421" s="135"/>
      <c r="J421" s="135"/>
    </row>
    <row r="422" spans="6:10" x14ac:dyDescent="0.25">
      <c r="F422" s="135"/>
      <c r="G422" s="135"/>
      <c r="H422" s="135"/>
      <c r="I422" s="135"/>
      <c r="J422" s="135"/>
    </row>
    <row r="423" spans="6:10" x14ac:dyDescent="0.25">
      <c r="F423" s="135"/>
      <c r="G423" s="135"/>
      <c r="H423" s="135"/>
      <c r="I423" s="135"/>
      <c r="J423" s="135"/>
    </row>
    <row r="424" spans="6:10" x14ac:dyDescent="0.25">
      <c r="F424" s="135"/>
      <c r="G424" s="135"/>
      <c r="H424" s="135"/>
      <c r="I424" s="135"/>
      <c r="J424" s="135"/>
    </row>
    <row r="425" spans="6:10" x14ac:dyDescent="0.25">
      <c r="F425" s="135"/>
      <c r="G425" s="135"/>
      <c r="H425" s="135"/>
      <c r="I425" s="135"/>
      <c r="J425" s="135"/>
    </row>
    <row r="426" spans="6:10" x14ac:dyDescent="0.25">
      <c r="F426" s="135"/>
      <c r="G426" s="135"/>
      <c r="H426" s="135"/>
      <c r="I426" s="135"/>
      <c r="J426" s="135"/>
    </row>
    <row r="427" spans="6:10" x14ac:dyDescent="0.25">
      <c r="F427" s="135"/>
      <c r="G427" s="135"/>
      <c r="H427" s="135"/>
      <c r="I427" s="135"/>
      <c r="J427" s="135"/>
    </row>
    <row r="428" spans="6:10" x14ac:dyDescent="0.25">
      <c r="F428" s="135"/>
      <c r="G428" s="135"/>
      <c r="H428" s="135"/>
      <c r="I428" s="135"/>
      <c r="J428" s="135"/>
    </row>
    <row r="429" spans="6:10" x14ac:dyDescent="0.25">
      <c r="F429" s="135"/>
      <c r="G429" s="135"/>
      <c r="H429" s="135"/>
      <c r="I429" s="135"/>
      <c r="J429" s="135"/>
    </row>
    <row r="430" spans="6:10" x14ac:dyDescent="0.25">
      <c r="F430" s="135"/>
      <c r="G430" s="135"/>
      <c r="H430" s="135"/>
      <c r="I430" s="135"/>
      <c r="J430" s="135"/>
    </row>
    <row r="431" spans="6:10" x14ac:dyDescent="0.25">
      <c r="F431" s="135"/>
      <c r="G431" s="135"/>
      <c r="H431" s="135"/>
      <c r="I431" s="135"/>
      <c r="J431" s="135"/>
    </row>
    <row r="432" spans="6:10" x14ac:dyDescent="0.25">
      <c r="F432" s="135"/>
      <c r="G432" s="135"/>
      <c r="H432" s="135"/>
      <c r="I432" s="135"/>
      <c r="J432" s="135"/>
    </row>
    <row r="433" spans="6:10" x14ac:dyDescent="0.25">
      <c r="F433" s="135"/>
      <c r="G433" s="135"/>
      <c r="H433" s="135"/>
      <c r="I433" s="135"/>
      <c r="J433" s="135"/>
    </row>
    <row r="434" spans="6:10" x14ac:dyDescent="0.25">
      <c r="F434" s="135"/>
      <c r="G434" s="135"/>
      <c r="H434" s="135"/>
      <c r="I434" s="135"/>
      <c r="J434" s="135"/>
    </row>
    <row r="435" spans="6:10" x14ac:dyDescent="0.25">
      <c r="F435" s="135"/>
      <c r="G435" s="135"/>
      <c r="H435" s="135"/>
      <c r="I435" s="135"/>
      <c r="J435" s="135"/>
    </row>
    <row r="436" spans="6:10" x14ac:dyDescent="0.25">
      <c r="F436" s="135"/>
      <c r="G436" s="135"/>
      <c r="H436" s="135"/>
      <c r="I436" s="135"/>
      <c r="J436" s="135"/>
    </row>
    <row r="437" spans="6:10" x14ac:dyDescent="0.25">
      <c r="F437" s="135"/>
      <c r="G437" s="135"/>
      <c r="H437" s="135"/>
      <c r="I437" s="135"/>
      <c r="J437" s="135"/>
    </row>
    <row r="438" spans="6:10" x14ac:dyDescent="0.25">
      <c r="F438" s="135"/>
      <c r="G438" s="135"/>
      <c r="H438" s="135"/>
      <c r="I438" s="135"/>
      <c r="J438" s="135"/>
    </row>
    <row r="439" spans="6:10" x14ac:dyDescent="0.25">
      <c r="F439" s="135"/>
      <c r="G439" s="135"/>
      <c r="H439" s="135"/>
      <c r="I439" s="135"/>
      <c r="J439" s="135"/>
    </row>
    <row r="440" spans="6:10" x14ac:dyDescent="0.25">
      <c r="F440" s="135"/>
      <c r="G440" s="135"/>
      <c r="H440" s="135"/>
      <c r="I440" s="135"/>
      <c r="J440" s="135"/>
    </row>
    <row r="441" spans="6:10" x14ac:dyDescent="0.25">
      <c r="F441" s="135"/>
      <c r="G441" s="135"/>
      <c r="H441" s="135"/>
      <c r="I441" s="135"/>
      <c r="J441" s="135"/>
    </row>
    <row r="442" spans="6:10" x14ac:dyDescent="0.25">
      <c r="F442" s="135"/>
      <c r="G442" s="135"/>
      <c r="H442" s="135"/>
      <c r="I442" s="135"/>
      <c r="J442" s="135"/>
    </row>
    <row r="443" spans="6:10" x14ac:dyDescent="0.25">
      <c r="F443" s="135"/>
      <c r="G443" s="135"/>
      <c r="H443" s="135"/>
      <c r="I443" s="135"/>
      <c r="J443" s="135"/>
    </row>
    <row r="444" spans="6:10" x14ac:dyDescent="0.25">
      <c r="F444" s="135"/>
      <c r="G444" s="135"/>
      <c r="H444" s="135"/>
      <c r="I444" s="135"/>
      <c r="J444" s="135"/>
    </row>
    <row r="445" spans="6:10" x14ac:dyDescent="0.25">
      <c r="F445" s="135"/>
      <c r="G445" s="135"/>
      <c r="H445" s="135"/>
      <c r="I445" s="135"/>
      <c r="J445" s="135"/>
    </row>
    <row r="446" spans="6:10" x14ac:dyDescent="0.25">
      <c r="F446" s="135"/>
      <c r="G446" s="135"/>
      <c r="H446" s="135"/>
      <c r="I446" s="135"/>
      <c r="J446" s="135"/>
    </row>
    <row r="447" spans="6:10" x14ac:dyDescent="0.25">
      <c r="F447" s="135"/>
      <c r="G447" s="135"/>
      <c r="H447" s="135"/>
      <c r="I447" s="135"/>
      <c r="J447" s="135"/>
    </row>
    <row r="448" spans="6:10" x14ac:dyDescent="0.25">
      <c r="F448" s="135"/>
      <c r="G448" s="135"/>
      <c r="H448" s="135"/>
      <c r="I448" s="135"/>
      <c r="J448" s="135"/>
    </row>
    <row r="449" spans="6:10" x14ac:dyDescent="0.25">
      <c r="F449" s="135"/>
      <c r="G449" s="135"/>
      <c r="H449" s="135"/>
      <c r="I449" s="135"/>
      <c r="J449" s="135"/>
    </row>
    <row r="450" spans="6:10" x14ac:dyDescent="0.25">
      <c r="F450" s="135"/>
      <c r="G450" s="135"/>
      <c r="H450" s="135"/>
      <c r="I450" s="135"/>
      <c r="J450" s="135"/>
    </row>
    <row r="451" spans="6:10" x14ac:dyDescent="0.25">
      <c r="F451" s="135"/>
      <c r="G451" s="135"/>
      <c r="H451" s="135"/>
      <c r="I451" s="135"/>
      <c r="J451" s="135"/>
    </row>
    <row r="452" spans="6:10" x14ac:dyDescent="0.25">
      <c r="F452" s="135"/>
      <c r="G452" s="135"/>
      <c r="H452" s="135"/>
      <c r="I452" s="135"/>
      <c r="J452" s="135"/>
    </row>
    <row r="453" spans="6:10" x14ac:dyDescent="0.25">
      <c r="F453" s="135"/>
      <c r="G453" s="135"/>
      <c r="H453" s="135"/>
      <c r="I453" s="135"/>
      <c r="J453" s="135"/>
    </row>
    <row r="454" spans="6:10" x14ac:dyDescent="0.25">
      <c r="F454" s="135"/>
      <c r="G454" s="135"/>
      <c r="H454" s="135"/>
      <c r="I454" s="135"/>
      <c r="J454" s="135"/>
    </row>
    <row r="455" spans="6:10" x14ac:dyDescent="0.25">
      <c r="F455" s="135"/>
      <c r="G455" s="135"/>
      <c r="H455" s="135"/>
      <c r="I455" s="135"/>
      <c r="J455" s="135"/>
    </row>
    <row r="456" spans="6:10" x14ac:dyDescent="0.25">
      <c r="F456" s="135"/>
      <c r="G456" s="135"/>
      <c r="H456" s="135"/>
      <c r="I456" s="135"/>
      <c r="J456" s="135"/>
    </row>
    <row r="457" spans="6:10" x14ac:dyDescent="0.25">
      <c r="F457" s="135"/>
      <c r="G457" s="135"/>
      <c r="H457" s="135"/>
      <c r="I457" s="135"/>
      <c r="J457" s="135"/>
    </row>
    <row r="458" spans="6:10" x14ac:dyDescent="0.25">
      <c r="F458" s="135"/>
      <c r="G458" s="135"/>
      <c r="H458" s="135"/>
      <c r="I458" s="135"/>
      <c r="J458" s="135"/>
    </row>
    <row r="459" spans="6:10" x14ac:dyDescent="0.25">
      <c r="F459" s="135"/>
      <c r="G459" s="135"/>
      <c r="H459" s="135"/>
      <c r="I459" s="135"/>
      <c r="J459" s="135"/>
    </row>
    <row r="460" spans="6:10" x14ac:dyDescent="0.25">
      <c r="F460" s="135"/>
      <c r="G460" s="135"/>
      <c r="H460" s="135"/>
      <c r="I460" s="135"/>
      <c r="J460" s="135"/>
    </row>
    <row r="461" spans="6:10" x14ac:dyDescent="0.25">
      <c r="F461" s="135"/>
      <c r="G461" s="135"/>
      <c r="H461" s="135"/>
      <c r="I461" s="135"/>
      <c r="J461" s="135"/>
    </row>
    <row r="462" spans="6:10" x14ac:dyDescent="0.25">
      <c r="F462" s="135"/>
      <c r="G462" s="135"/>
      <c r="H462" s="135"/>
      <c r="I462" s="135"/>
      <c r="J462" s="135"/>
    </row>
    <row r="463" spans="6:10" x14ac:dyDescent="0.25">
      <c r="F463" s="135"/>
      <c r="G463" s="135"/>
      <c r="H463" s="135"/>
      <c r="I463" s="135"/>
      <c r="J463" s="135"/>
    </row>
    <row r="464" spans="6:10" x14ac:dyDescent="0.25">
      <c r="F464" s="135"/>
      <c r="G464" s="135"/>
      <c r="H464" s="135"/>
      <c r="I464" s="135"/>
      <c r="J464" s="135"/>
    </row>
    <row r="465" spans="6:10" x14ac:dyDescent="0.25">
      <c r="F465" s="135"/>
      <c r="G465" s="135"/>
      <c r="H465" s="135"/>
      <c r="I465" s="135"/>
      <c r="J465" s="135"/>
    </row>
    <row r="466" spans="6:10" x14ac:dyDescent="0.25">
      <c r="F466" s="135"/>
      <c r="G466" s="135"/>
      <c r="H466" s="135"/>
      <c r="I466" s="135"/>
      <c r="J466" s="135"/>
    </row>
    <row r="467" spans="6:10" x14ac:dyDescent="0.25">
      <c r="F467" s="135"/>
      <c r="G467" s="135"/>
      <c r="H467" s="135"/>
      <c r="I467" s="135"/>
      <c r="J467" s="135"/>
    </row>
    <row r="468" spans="6:10" x14ac:dyDescent="0.25">
      <c r="F468" s="135"/>
      <c r="G468" s="135"/>
      <c r="H468" s="135"/>
      <c r="I468" s="135"/>
      <c r="J468" s="135"/>
    </row>
    <row r="469" spans="6:10" x14ac:dyDescent="0.25">
      <c r="F469" s="135"/>
      <c r="G469" s="135"/>
      <c r="H469" s="135"/>
      <c r="I469" s="135"/>
      <c r="J469" s="135"/>
    </row>
    <row r="470" spans="6:10" x14ac:dyDescent="0.25">
      <c r="F470" s="135"/>
      <c r="G470" s="135"/>
      <c r="H470" s="135"/>
      <c r="I470" s="135"/>
      <c r="J470" s="135"/>
    </row>
    <row r="471" spans="6:10" x14ac:dyDescent="0.25">
      <c r="F471" s="135"/>
      <c r="G471" s="135"/>
      <c r="H471" s="135"/>
      <c r="I471" s="135"/>
      <c r="J471" s="135"/>
    </row>
    <row r="472" spans="6:10" x14ac:dyDescent="0.25">
      <c r="F472" s="135"/>
      <c r="G472" s="135"/>
      <c r="H472" s="135"/>
      <c r="I472" s="135"/>
      <c r="J472" s="135"/>
    </row>
    <row r="473" spans="6:10" x14ac:dyDescent="0.25">
      <c r="F473" s="135"/>
      <c r="G473" s="135"/>
      <c r="H473" s="135"/>
      <c r="I473" s="135"/>
      <c r="J473" s="135"/>
    </row>
    <row r="474" spans="6:10" x14ac:dyDescent="0.25">
      <c r="F474" s="135"/>
      <c r="G474" s="135"/>
      <c r="H474" s="135"/>
      <c r="I474" s="135"/>
      <c r="J474" s="135"/>
    </row>
    <row r="475" spans="6:10" x14ac:dyDescent="0.25">
      <c r="F475" s="135"/>
      <c r="G475" s="135"/>
      <c r="H475" s="135"/>
      <c r="I475" s="135"/>
      <c r="J475" s="135"/>
    </row>
    <row r="476" spans="6:10" x14ac:dyDescent="0.25">
      <c r="F476" s="135"/>
      <c r="G476" s="135"/>
      <c r="H476" s="135"/>
      <c r="I476" s="135"/>
      <c r="J476" s="135"/>
    </row>
    <row r="477" spans="6:10" x14ac:dyDescent="0.25">
      <c r="F477" s="135"/>
      <c r="G477" s="135"/>
      <c r="H477" s="135"/>
      <c r="I477" s="135"/>
      <c r="J477" s="135"/>
    </row>
    <row r="478" spans="6:10" x14ac:dyDescent="0.25">
      <c r="F478" s="135"/>
      <c r="G478" s="135"/>
      <c r="H478" s="135"/>
      <c r="I478" s="135"/>
      <c r="J478" s="135"/>
    </row>
    <row r="479" spans="6:10" x14ac:dyDescent="0.25">
      <c r="F479" s="135"/>
      <c r="G479" s="135"/>
      <c r="H479" s="135"/>
      <c r="I479" s="135"/>
      <c r="J479" s="135"/>
    </row>
    <row r="480" spans="6:10" x14ac:dyDescent="0.25">
      <c r="F480" s="135"/>
      <c r="G480" s="135"/>
      <c r="H480" s="135"/>
      <c r="I480" s="135"/>
      <c r="J480" s="135"/>
    </row>
    <row r="481" spans="6:10" x14ac:dyDescent="0.25">
      <c r="F481" s="135"/>
      <c r="G481" s="135"/>
      <c r="H481" s="135"/>
      <c r="I481" s="135"/>
      <c r="J481" s="135"/>
    </row>
    <row r="482" spans="6:10" x14ac:dyDescent="0.25">
      <c r="F482" s="135"/>
      <c r="G482" s="135"/>
      <c r="H482" s="135"/>
      <c r="I482" s="135"/>
      <c r="J482" s="135"/>
    </row>
    <row r="483" spans="6:10" x14ac:dyDescent="0.25">
      <c r="F483" s="135"/>
      <c r="G483" s="135"/>
      <c r="H483" s="135"/>
      <c r="I483" s="135"/>
      <c r="J483" s="135"/>
    </row>
    <row r="484" spans="6:10" x14ac:dyDescent="0.25">
      <c r="F484" s="135"/>
      <c r="G484" s="135"/>
      <c r="H484" s="135"/>
      <c r="I484" s="135"/>
      <c r="J484" s="135"/>
    </row>
    <row r="485" spans="6:10" x14ac:dyDescent="0.25">
      <c r="F485" s="135"/>
      <c r="G485" s="135"/>
      <c r="H485" s="135"/>
      <c r="I485" s="135"/>
      <c r="J485" s="135"/>
    </row>
    <row r="486" spans="6:10" x14ac:dyDescent="0.25">
      <c r="F486" s="135"/>
      <c r="G486" s="135"/>
      <c r="H486" s="135"/>
      <c r="I486" s="135"/>
      <c r="J486" s="135"/>
    </row>
    <row r="487" spans="6:10" x14ac:dyDescent="0.25">
      <c r="F487" s="135"/>
      <c r="G487" s="135"/>
      <c r="H487" s="135"/>
      <c r="I487" s="135"/>
      <c r="J487" s="135"/>
    </row>
    <row r="488" spans="6:10" x14ac:dyDescent="0.25">
      <c r="F488" s="135"/>
      <c r="G488" s="135"/>
      <c r="H488" s="135"/>
      <c r="I488" s="135"/>
      <c r="J488" s="135"/>
    </row>
    <row r="489" spans="6:10" x14ac:dyDescent="0.25">
      <c r="F489" s="135"/>
      <c r="G489" s="135"/>
      <c r="H489" s="135"/>
      <c r="I489" s="135"/>
      <c r="J489" s="135"/>
    </row>
    <row r="490" spans="6:10" x14ac:dyDescent="0.25">
      <c r="F490" s="135"/>
      <c r="G490" s="135"/>
      <c r="H490" s="135"/>
      <c r="I490" s="135"/>
      <c r="J490" s="135"/>
    </row>
    <row r="491" spans="6:10" x14ac:dyDescent="0.25">
      <c r="F491" s="135"/>
      <c r="G491" s="135"/>
      <c r="H491" s="135"/>
      <c r="I491" s="135"/>
      <c r="J491" s="135"/>
    </row>
    <row r="492" spans="6:10" x14ac:dyDescent="0.25">
      <c r="F492" s="135"/>
      <c r="G492" s="135"/>
      <c r="H492" s="135"/>
      <c r="I492" s="135"/>
      <c r="J492" s="135"/>
    </row>
    <row r="493" spans="6:10" x14ac:dyDescent="0.25">
      <c r="F493" s="135"/>
      <c r="G493" s="135"/>
      <c r="H493" s="135"/>
      <c r="I493" s="135"/>
      <c r="J493" s="135"/>
    </row>
    <row r="494" spans="6:10" x14ac:dyDescent="0.25">
      <c r="F494" s="135"/>
      <c r="G494" s="135"/>
      <c r="H494" s="135"/>
      <c r="I494" s="135"/>
      <c r="J494" s="135"/>
    </row>
    <row r="495" spans="6:10" x14ac:dyDescent="0.25">
      <c r="F495" s="135"/>
      <c r="G495" s="135"/>
      <c r="H495" s="135"/>
      <c r="I495" s="135"/>
      <c r="J495" s="135"/>
    </row>
    <row r="496" spans="6:10" x14ac:dyDescent="0.25">
      <c r="F496" s="135"/>
      <c r="G496" s="135"/>
      <c r="H496" s="135"/>
      <c r="I496" s="135"/>
      <c r="J496" s="135"/>
    </row>
    <row r="497" spans="6:10" x14ac:dyDescent="0.25">
      <c r="F497" s="135"/>
      <c r="G497" s="135"/>
      <c r="H497" s="135"/>
      <c r="I497" s="135"/>
      <c r="J497" s="135"/>
    </row>
    <row r="498" spans="6:10" x14ac:dyDescent="0.25">
      <c r="F498" s="135"/>
      <c r="G498" s="135"/>
      <c r="H498" s="135"/>
      <c r="I498" s="135"/>
      <c r="J498" s="135"/>
    </row>
    <row r="499" spans="6:10" x14ac:dyDescent="0.25">
      <c r="F499" s="135"/>
      <c r="G499" s="135"/>
      <c r="H499" s="135"/>
      <c r="I499" s="135"/>
      <c r="J499" s="135"/>
    </row>
    <row r="500" spans="6:10" x14ac:dyDescent="0.25">
      <c r="F500" s="135"/>
      <c r="G500" s="135"/>
      <c r="H500" s="135"/>
      <c r="I500" s="135"/>
      <c r="J500" s="135"/>
    </row>
    <row r="501" spans="6:10" x14ac:dyDescent="0.25">
      <c r="F501" s="135"/>
      <c r="G501" s="135"/>
      <c r="H501" s="135"/>
      <c r="I501" s="135"/>
      <c r="J501" s="135"/>
    </row>
    <row r="502" spans="6:10" x14ac:dyDescent="0.25">
      <c r="F502" s="135"/>
      <c r="G502" s="135"/>
      <c r="H502" s="135"/>
      <c r="I502" s="135"/>
      <c r="J502" s="135"/>
    </row>
    <row r="503" spans="6:10" x14ac:dyDescent="0.25">
      <c r="F503" s="135"/>
      <c r="G503" s="135"/>
      <c r="H503" s="135"/>
      <c r="I503" s="135"/>
      <c r="J503" s="135"/>
    </row>
    <row r="504" spans="6:10" x14ac:dyDescent="0.25">
      <c r="F504" s="135"/>
      <c r="G504" s="135"/>
      <c r="H504" s="135"/>
      <c r="I504" s="135"/>
      <c r="J504" s="135"/>
    </row>
    <row r="505" spans="6:10" x14ac:dyDescent="0.25">
      <c r="F505" s="135"/>
      <c r="G505" s="135"/>
      <c r="H505" s="135"/>
      <c r="I505" s="135"/>
      <c r="J505" s="135"/>
    </row>
    <row r="506" spans="6:10" x14ac:dyDescent="0.25">
      <c r="F506" s="135"/>
      <c r="G506" s="135"/>
      <c r="H506" s="135"/>
      <c r="I506" s="135"/>
      <c r="J506" s="135"/>
    </row>
    <row r="507" spans="6:10" x14ac:dyDescent="0.25">
      <c r="F507" s="135"/>
      <c r="G507" s="135"/>
      <c r="H507" s="135"/>
      <c r="I507" s="135"/>
      <c r="J507" s="135"/>
    </row>
    <row r="508" spans="6:10" x14ac:dyDescent="0.25">
      <c r="F508" s="135"/>
      <c r="G508" s="135"/>
      <c r="H508" s="135"/>
      <c r="I508" s="135"/>
      <c r="J508" s="135"/>
    </row>
    <row r="509" spans="6:10" x14ac:dyDescent="0.25">
      <c r="F509" s="135"/>
      <c r="G509" s="135"/>
      <c r="H509" s="135"/>
      <c r="I509" s="135"/>
      <c r="J509" s="135"/>
    </row>
    <row r="510" spans="6:10" x14ac:dyDescent="0.25">
      <c r="F510" s="135"/>
      <c r="G510" s="135"/>
      <c r="H510" s="135"/>
      <c r="I510" s="135"/>
      <c r="J510" s="135"/>
    </row>
    <row r="511" spans="6:10" x14ac:dyDescent="0.25">
      <c r="F511" s="135"/>
      <c r="G511" s="135"/>
      <c r="H511" s="135"/>
      <c r="I511" s="135"/>
      <c r="J511" s="135"/>
    </row>
    <row r="512" spans="6:10" x14ac:dyDescent="0.25">
      <c r="F512" s="135"/>
      <c r="G512" s="135"/>
      <c r="H512" s="135"/>
      <c r="I512" s="135"/>
      <c r="J512" s="135"/>
    </row>
    <row r="513" spans="6:10" x14ac:dyDescent="0.25">
      <c r="F513" s="135"/>
      <c r="G513" s="135"/>
      <c r="H513" s="135"/>
      <c r="I513" s="135"/>
      <c r="J513" s="135"/>
    </row>
    <row r="514" spans="6:10" x14ac:dyDescent="0.25">
      <c r="F514" s="135"/>
      <c r="G514" s="135"/>
      <c r="H514" s="135"/>
      <c r="I514" s="135"/>
      <c r="J514" s="135"/>
    </row>
    <row r="515" spans="6:10" x14ac:dyDescent="0.25">
      <c r="F515" s="135"/>
      <c r="G515" s="135"/>
      <c r="H515" s="135"/>
      <c r="I515" s="135"/>
      <c r="J515" s="135"/>
    </row>
    <row r="516" spans="6:10" x14ac:dyDescent="0.25">
      <c r="F516" s="135"/>
      <c r="G516" s="135"/>
      <c r="H516" s="135"/>
      <c r="I516" s="135"/>
      <c r="J516" s="135"/>
    </row>
    <row r="517" spans="6:10" x14ac:dyDescent="0.25">
      <c r="F517" s="135"/>
      <c r="G517" s="135"/>
      <c r="H517" s="135"/>
      <c r="I517" s="135"/>
      <c r="J517" s="135"/>
    </row>
    <row r="518" spans="6:10" x14ac:dyDescent="0.25">
      <c r="F518" s="135"/>
      <c r="G518" s="135"/>
      <c r="H518" s="135"/>
      <c r="I518" s="135"/>
      <c r="J518" s="135"/>
    </row>
    <row r="519" spans="6:10" x14ac:dyDescent="0.25">
      <c r="F519" s="135"/>
      <c r="G519" s="135"/>
      <c r="H519" s="135"/>
      <c r="I519" s="135"/>
      <c r="J519" s="135"/>
    </row>
    <row r="520" spans="6:10" x14ac:dyDescent="0.25">
      <c r="F520" s="135"/>
      <c r="G520" s="135"/>
      <c r="H520" s="135"/>
      <c r="I520" s="135"/>
      <c r="J520" s="135"/>
    </row>
    <row r="521" spans="6:10" x14ac:dyDescent="0.25">
      <c r="F521" s="135"/>
      <c r="G521" s="135"/>
      <c r="H521" s="135"/>
      <c r="I521" s="135"/>
      <c r="J521" s="135"/>
    </row>
    <row r="522" spans="6:10" x14ac:dyDescent="0.25">
      <c r="F522" s="135"/>
      <c r="G522" s="135"/>
      <c r="H522" s="135"/>
      <c r="I522" s="135"/>
      <c r="J522" s="135"/>
    </row>
    <row r="523" spans="6:10" x14ac:dyDescent="0.25">
      <c r="F523" s="135"/>
      <c r="G523" s="135"/>
      <c r="H523" s="135"/>
      <c r="I523" s="135"/>
      <c r="J523" s="135"/>
    </row>
    <row r="524" spans="6:10" x14ac:dyDescent="0.25">
      <c r="F524" s="135"/>
      <c r="G524" s="135"/>
      <c r="H524" s="135"/>
      <c r="I524" s="135"/>
      <c r="J524" s="135"/>
    </row>
    <row r="525" spans="6:10" x14ac:dyDescent="0.25">
      <c r="F525" s="135"/>
      <c r="G525" s="135"/>
      <c r="H525" s="135"/>
      <c r="I525" s="135"/>
      <c r="J525" s="135"/>
    </row>
    <row r="526" spans="6:10" x14ac:dyDescent="0.25">
      <c r="F526" s="135"/>
      <c r="G526" s="135"/>
      <c r="H526" s="135"/>
      <c r="I526" s="135"/>
      <c r="J526" s="135"/>
    </row>
    <row r="527" spans="6:10" x14ac:dyDescent="0.25">
      <c r="F527" s="135"/>
      <c r="G527" s="135"/>
      <c r="H527" s="135"/>
      <c r="I527" s="135"/>
      <c r="J527" s="135"/>
    </row>
    <row r="528" spans="6:10" x14ac:dyDescent="0.25">
      <c r="F528" s="135"/>
      <c r="G528" s="135"/>
      <c r="H528" s="135"/>
      <c r="I528" s="135"/>
      <c r="J528" s="135"/>
    </row>
    <row r="529" spans="6:10" x14ac:dyDescent="0.25">
      <c r="F529" s="135"/>
      <c r="G529" s="135"/>
      <c r="H529" s="135"/>
      <c r="I529" s="135"/>
      <c r="J529" s="135"/>
    </row>
    <row r="530" spans="6:10" x14ac:dyDescent="0.25">
      <c r="F530" s="135"/>
      <c r="G530" s="135"/>
      <c r="H530" s="135"/>
      <c r="I530" s="135"/>
      <c r="J530" s="135"/>
    </row>
    <row r="531" spans="6:10" x14ac:dyDescent="0.25">
      <c r="F531" s="135"/>
      <c r="G531" s="135"/>
      <c r="H531" s="135"/>
      <c r="I531" s="135"/>
      <c r="J531" s="135"/>
    </row>
    <row r="532" spans="6:10" x14ac:dyDescent="0.25">
      <c r="F532" s="135"/>
      <c r="G532" s="135"/>
      <c r="H532" s="135"/>
      <c r="I532" s="135"/>
      <c r="J532" s="135"/>
    </row>
    <row r="533" spans="6:10" x14ac:dyDescent="0.25">
      <c r="F533" s="135"/>
      <c r="G533" s="135"/>
      <c r="H533" s="135"/>
      <c r="I533" s="135"/>
      <c r="J533" s="135"/>
    </row>
    <row r="534" spans="6:10" x14ac:dyDescent="0.25">
      <c r="F534" s="135"/>
      <c r="G534" s="135"/>
      <c r="H534" s="135"/>
      <c r="I534" s="135"/>
      <c r="J534" s="135"/>
    </row>
    <row r="535" spans="6:10" x14ac:dyDescent="0.25">
      <c r="F535" s="135"/>
      <c r="G535" s="135"/>
      <c r="H535" s="135"/>
      <c r="I535" s="135"/>
      <c r="J535" s="135"/>
    </row>
    <row r="536" spans="6:10" x14ac:dyDescent="0.25">
      <c r="F536" s="135"/>
      <c r="G536" s="135"/>
      <c r="H536" s="135"/>
      <c r="I536" s="135"/>
      <c r="J536" s="135"/>
    </row>
    <row r="537" spans="6:10" x14ac:dyDescent="0.25">
      <c r="F537" s="135"/>
      <c r="G537" s="135"/>
      <c r="H537" s="135"/>
      <c r="I537" s="135"/>
      <c r="J537" s="135"/>
    </row>
    <row r="538" spans="6:10" x14ac:dyDescent="0.25">
      <c r="F538" s="135"/>
      <c r="G538" s="135"/>
      <c r="H538" s="135"/>
      <c r="I538" s="135"/>
      <c r="J538" s="135"/>
    </row>
    <row r="539" spans="6:10" x14ac:dyDescent="0.25">
      <c r="F539" s="135"/>
      <c r="G539" s="135"/>
      <c r="H539" s="135"/>
      <c r="I539" s="135"/>
      <c r="J539" s="135"/>
    </row>
    <row r="540" spans="6:10" x14ac:dyDescent="0.25">
      <c r="F540" s="135"/>
      <c r="G540" s="135"/>
      <c r="H540" s="135"/>
      <c r="I540" s="135"/>
      <c r="J540" s="135"/>
    </row>
    <row r="541" spans="6:10" x14ac:dyDescent="0.25">
      <c r="F541" s="135"/>
      <c r="G541" s="135"/>
      <c r="H541" s="135"/>
      <c r="I541" s="135"/>
      <c r="J541" s="135"/>
    </row>
    <row r="542" spans="6:10" x14ac:dyDescent="0.25">
      <c r="F542" s="135"/>
      <c r="G542" s="135"/>
      <c r="H542" s="135"/>
      <c r="I542" s="135"/>
      <c r="J542" s="135"/>
    </row>
    <row r="543" spans="6:10" x14ac:dyDescent="0.25">
      <c r="F543" s="135"/>
      <c r="G543" s="135"/>
      <c r="H543" s="135"/>
      <c r="I543" s="135"/>
      <c r="J543" s="135"/>
    </row>
    <row r="544" spans="6:10" x14ac:dyDescent="0.25">
      <c r="F544" s="135"/>
      <c r="G544" s="135"/>
      <c r="H544" s="135"/>
      <c r="I544" s="135"/>
      <c r="J544" s="135"/>
    </row>
    <row r="545" spans="6:10" x14ac:dyDescent="0.25">
      <c r="F545" s="135"/>
      <c r="G545" s="135"/>
      <c r="H545" s="135"/>
      <c r="I545" s="135"/>
      <c r="J545" s="135"/>
    </row>
    <row r="546" spans="6:10" x14ac:dyDescent="0.25">
      <c r="F546" s="135"/>
      <c r="G546" s="135"/>
      <c r="H546" s="135"/>
      <c r="I546" s="135"/>
      <c r="J546" s="135"/>
    </row>
    <row r="547" spans="6:10" x14ac:dyDescent="0.25">
      <c r="F547" s="135"/>
      <c r="G547" s="135"/>
      <c r="H547" s="135"/>
      <c r="I547" s="135"/>
      <c r="J547" s="135"/>
    </row>
    <row r="548" spans="6:10" x14ac:dyDescent="0.25">
      <c r="F548" s="135"/>
      <c r="G548" s="135"/>
      <c r="H548" s="135"/>
      <c r="I548" s="135"/>
      <c r="J548" s="135"/>
    </row>
    <row r="549" spans="6:10" x14ac:dyDescent="0.25">
      <c r="F549" s="135"/>
      <c r="G549" s="135"/>
      <c r="H549" s="135"/>
      <c r="I549" s="135"/>
      <c r="J549" s="135"/>
    </row>
    <row r="550" spans="6:10" x14ac:dyDescent="0.25">
      <c r="F550" s="135"/>
      <c r="G550" s="135"/>
      <c r="H550" s="135"/>
      <c r="I550" s="135"/>
      <c r="J550" s="135"/>
    </row>
    <row r="551" spans="6:10" x14ac:dyDescent="0.25">
      <c r="F551" s="135"/>
      <c r="G551" s="135"/>
      <c r="H551" s="135"/>
      <c r="I551" s="135"/>
      <c r="J551" s="135"/>
    </row>
    <row r="552" spans="6:10" x14ac:dyDescent="0.25">
      <c r="F552" s="135"/>
      <c r="G552" s="135"/>
      <c r="H552" s="135"/>
      <c r="I552" s="135"/>
      <c r="J552" s="135"/>
    </row>
    <row r="553" spans="6:10" x14ac:dyDescent="0.25">
      <c r="F553" s="135"/>
      <c r="G553" s="135"/>
      <c r="H553" s="135"/>
      <c r="I553" s="135"/>
      <c r="J553" s="135"/>
    </row>
    <row r="554" spans="6:10" x14ac:dyDescent="0.25">
      <c r="F554" s="135"/>
      <c r="G554" s="135"/>
      <c r="H554" s="135"/>
      <c r="I554" s="135"/>
      <c r="J554" s="135"/>
    </row>
    <row r="555" spans="6:10" x14ac:dyDescent="0.25">
      <c r="F555" s="135"/>
      <c r="G555" s="135"/>
      <c r="H555" s="135"/>
      <c r="I555" s="135"/>
      <c r="J555" s="135"/>
    </row>
    <row r="556" spans="6:10" x14ac:dyDescent="0.25">
      <c r="F556" s="135"/>
      <c r="G556" s="135"/>
      <c r="H556" s="135"/>
      <c r="I556" s="135"/>
      <c r="J556" s="135"/>
    </row>
    <row r="557" spans="6:10" x14ac:dyDescent="0.25">
      <c r="F557" s="135"/>
      <c r="G557" s="135"/>
      <c r="H557" s="135"/>
      <c r="I557" s="135"/>
      <c r="J557" s="135"/>
    </row>
    <row r="558" spans="6:10" x14ac:dyDescent="0.25">
      <c r="F558" s="135"/>
      <c r="G558" s="135"/>
      <c r="H558" s="135"/>
      <c r="I558" s="135"/>
      <c r="J558" s="135"/>
    </row>
    <row r="559" spans="6:10" x14ac:dyDescent="0.25">
      <c r="F559" s="135"/>
      <c r="G559" s="135"/>
      <c r="H559" s="135"/>
      <c r="I559" s="135"/>
      <c r="J559" s="135"/>
    </row>
    <row r="560" spans="6:10" x14ac:dyDescent="0.25">
      <c r="F560" s="135"/>
      <c r="G560" s="135"/>
      <c r="H560" s="135"/>
      <c r="I560" s="135"/>
      <c r="J560" s="135"/>
    </row>
    <row r="561" spans="6:10" x14ac:dyDescent="0.25">
      <c r="F561" s="135"/>
      <c r="G561" s="135"/>
      <c r="H561" s="135"/>
      <c r="I561" s="135"/>
      <c r="J561" s="135"/>
    </row>
    <row r="562" spans="6:10" x14ac:dyDescent="0.25">
      <c r="F562" s="135"/>
      <c r="G562" s="135"/>
      <c r="H562" s="135"/>
      <c r="I562" s="135"/>
      <c r="J562" s="135"/>
    </row>
    <row r="563" spans="6:10" x14ac:dyDescent="0.25">
      <c r="F563" s="135"/>
      <c r="G563" s="135"/>
      <c r="H563" s="135"/>
      <c r="I563" s="135"/>
      <c r="J563" s="135"/>
    </row>
    <row r="564" spans="6:10" x14ac:dyDescent="0.25">
      <c r="F564" s="135"/>
      <c r="G564" s="135"/>
      <c r="H564" s="135"/>
      <c r="I564" s="135"/>
      <c r="J564" s="135"/>
    </row>
    <row r="565" spans="6:10" x14ac:dyDescent="0.25">
      <c r="F565" s="135"/>
      <c r="G565" s="135"/>
      <c r="H565" s="135"/>
      <c r="I565" s="135"/>
      <c r="J565" s="135"/>
    </row>
    <row r="566" spans="6:10" x14ac:dyDescent="0.25">
      <c r="F566" s="135"/>
      <c r="G566" s="135"/>
      <c r="H566" s="135"/>
      <c r="I566" s="135"/>
      <c r="J566" s="135"/>
    </row>
  </sheetData>
  <mergeCells count="29">
    <mergeCell ref="A169:H169"/>
    <mergeCell ref="A112:H112"/>
    <mergeCell ref="A121:H121"/>
    <mergeCell ref="A127:H127"/>
    <mergeCell ref="A133:H133"/>
    <mergeCell ref="A146:H146"/>
    <mergeCell ref="A151:H151"/>
    <mergeCell ref="A98:H98"/>
    <mergeCell ref="G5:G6"/>
    <mergeCell ref="H5:H6"/>
    <mergeCell ref="A8:H8"/>
    <mergeCell ref="A9:H9"/>
    <mergeCell ref="A16:H16"/>
    <mergeCell ref="A25:H25"/>
    <mergeCell ref="A34:H34"/>
    <mergeCell ref="A51:H51"/>
    <mergeCell ref="A58:H58"/>
    <mergeCell ref="A67:H67"/>
    <mergeCell ref="A75:H75"/>
    <mergeCell ref="D1:E1"/>
    <mergeCell ref="A2:H2"/>
    <mergeCell ref="A4:E4"/>
    <mergeCell ref="F4:H4"/>
    <mergeCell ref="A5:A6"/>
    <mergeCell ref="B5:B6"/>
    <mergeCell ref="C5:C6"/>
    <mergeCell ref="D5:D6"/>
    <mergeCell ref="E5:E6"/>
    <mergeCell ref="F5:F6"/>
  </mergeCells>
  <pageMargins left="0.25" right="0.25" top="0.75" bottom="0.75" header="0.3" footer="0.3"/>
  <pageSetup paperSize="9" scale="50"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48"/>
  <sheetViews>
    <sheetView workbookViewId="0">
      <selection activeCell="N7" sqref="N7"/>
    </sheetView>
  </sheetViews>
  <sheetFormatPr defaultRowHeight="15" x14ac:dyDescent="0.25"/>
  <cols>
    <col min="1" max="1" width="21.7109375" customWidth="1"/>
    <col min="2" max="2" width="18.28515625" hidden="1" customWidth="1"/>
    <col min="3" max="3" width="0" hidden="1" customWidth="1"/>
    <col min="4" max="4" width="9.7109375" customWidth="1"/>
    <col min="5" max="6" width="10.42578125" customWidth="1"/>
    <col min="7" max="7" width="11.7109375" customWidth="1"/>
    <col min="10" max="11" width="10" bestFit="1" customWidth="1"/>
  </cols>
  <sheetData>
    <row r="1" spans="1:24" s="382" customFormat="1" x14ac:dyDescent="0.25">
      <c r="I1" s="382" t="s">
        <v>604</v>
      </c>
    </row>
    <row r="2" spans="1:24" s="382" customFormat="1" ht="33.75" customHeight="1" x14ac:dyDescent="0.25">
      <c r="A2" s="1014" t="s">
        <v>606</v>
      </c>
      <c r="B2" s="1014"/>
      <c r="C2" s="1014"/>
      <c r="D2" s="1014"/>
      <c r="E2" s="1014"/>
      <c r="F2" s="1014"/>
      <c r="G2" s="1014"/>
      <c r="H2" s="1014"/>
      <c r="I2" s="1014"/>
      <c r="J2" s="1014"/>
    </row>
    <row r="3" spans="1:24" s="382" customFormat="1" ht="15.75" thickBot="1" x14ac:dyDescent="0.3">
      <c r="J3" s="445" t="s">
        <v>605</v>
      </c>
    </row>
    <row r="4" spans="1:24" ht="76.5" x14ac:dyDescent="0.25">
      <c r="A4" s="49" t="s">
        <v>1</v>
      </c>
      <c r="B4" s="50" t="s">
        <v>2</v>
      </c>
      <c r="C4" s="50" t="s">
        <v>3</v>
      </c>
      <c r="D4" s="50" t="s">
        <v>4</v>
      </c>
      <c r="E4" s="50" t="s">
        <v>5</v>
      </c>
      <c r="F4" s="51" t="s">
        <v>6</v>
      </c>
      <c r="G4" s="50" t="s">
        <v>7</v>
      </c>
      <c r="H4" s="50" t="s">
        <v>399</v>
      </c>
      <c r="I4" s="374" t="s">
        <v>8</v>
      </c>
      <c r="J4" s="462" t="s">
        <v>637</v>
      </c>
      <c r="K4" s="97"/>
      <c r="L4" s="97"/>
      <c r="M4" s="97"/>
      <c r="N4" s="97"/>
    </row>
    <row r="5" spans="1:24" ht="15.75" thickBot="1" x14ac:dyDescent="0.3">
      <c r="A5" s="1019" t="s">
        <v>446</v>
      </c>
      <c r="B5" s="1019"/>
      <c r="C5" s="1019"/>
      <c r="D5" s="1019"/>
      <c r="E5" s="1019"/>
      <c r="F5" s="1019"/>
      <c r="G5" s="1019"/>
      <c r="H5" s="1019"/>
      <c r="I5" s="1019"/>
      <c r="J5" s="453"/>
      <c r="K5" s="97"/>
      <c r="L5" s="97"/>
      <c r="M5" s="97"/>
      <c r="N5" s="97"/>
    </row>
    <row r="6" spans="1:24" x14ac:dyDescent="0.25">
      <c r="A6" s="990" t="s">
        <v>391</v>
      </c>
      <c r="B6" s="991"/>
      <c r="C6" s="991"/>
      <c r="D6" s="991"/>
      <c r="E6" s="991"/>
      <c r="F6" s="991"/>
      <c r="G6" s="991"/>
      <c r="H6" s="991"/>
      <c r="I6" s="991"/>
      <c r="J6" s="378"/>
      <c r="K6" s="97"/>
      <c r="L6" s="97"/>
      <c r="M6" s="97"/>
      <c r="N6" s="97"/>
    </row>
    <row r="7" spans="1:24" x14ac:dyDescent="0.25">
      <c r="A7" s="1015" t="s">
        <v>10</v>
      </c>
      <c r="B7" s="1016"/>
      <c r="C7" s="1016"/>
      <c r="D7" s="1016"/>
      <c r="E7" s="1016"/>
      <c r="F7" s="1016"/>
      <c r="G7" s="1016"/>
      <c r="H7" s="1016"/>
      <c r="I7" s="1016"/>
      <c r="J7" s="379"/>
      <c r="K7" s="98"/>
      <c r="L7" s="97"/>
      <c r="M7" s="97"/>
      <c r="N7" s="97"/>
      <c r="O7" s="97"/>
      <c r="P7" s="97"/>
      <c r="Q7" s="97"/>
      <c r="R7" s="97"/>
      <c r="S7" s="97"/>
      <c r="T7" s="97"/>
      <c r="U7" s="97"/>
      <c r="V7" s="97"/>
      <c r="W7" s="97"/>
    </row>
    <row r="8" spans="1:24" x14ac:dyDescent="0.25">
      <c r="A8" s="99" t="s">
        <v>24</v>
      </c>
      <c r="B8" s="74"/>
      <c r="C8" s="1"/>
      <c r="D8" s="314">
        <v>12</v>
      </c>
      <c r="E8" s="314">
        <v>3</v>
      </c>
      <c r="F8" s="349">
        <v>1647</v>
      </c>
      <c r="G8" s="174">
        <v>1650</v>
      </c>
      <c r="H8" s="370">
        <v>414.5</v>
      </c>
      <c r="I8" s="393">
        <v>1</v>
      </c>
      <c r="J8" s="463">
        <f>ROUND((G8+H8)*('29_01_H_2020'!$F$14)*I8*12*1.2409,2)</f>
        <v>3074.21</v>
      </c>
      <c r="K8" s="166"/>
      <c r="L8" s="166"/>
      <c r="M8" s="169"/>
      <c r="N8" s="166"/>
      <c r="O8" s="166"/>
      <c r="P8" s="166"/>
      <c r="Q8" s="166"/>
      <c r="R8" s="166"/>
      <c r="S8" s="166"/>
      <c r="T8" s="166"/>
      <c r="U8" s="167"/>
      <c r="V8" s="168"/>
      <c r="W8" s="110"/>
      <c r="X8" s="110"/>
    </row>
    <row r="9" spans="1:24" x14ac:dyDescent="0.25">
      <c r="A9" s="99" t="s">
        <v>24</v>
      </c>
      <c r="B9" s="74"/>
      <c r="C9" s="1"/>
      <c r="D9" s="314">
        <v>12</v>
      </c>
      <c r="E9" s="314">
        <v>3</v>
      </c>
      <c r="F9" s="349">
        <v>1647</v>
      </c>
      <c r="G9" s="174">
        <v>1550</v>
      </c>
      <c r="H9" s="370">
        <v>401.5</v>
      </c>
      <c r="I9" s="393">
        <v>1</v>
      </c>
      <c r="J9" s="463">
        <f>ROUND((G9+H9)*('29_01_H_2020'!$F$14)*I9*12*1.2409,2)</f>
        <v>2905.94</v>
      </c>
      <c r="K9" s="166"/>
      <c r="L9" s="166"/>
      <c r="M9" s="169"/>
      <c r="N9" s="166"/>
      <c r="O9" s="166"/>
      <c r="P9" s="166"/>
      <c r="Q9" s="166"/>
      <c r="R9" s="166"/>
      <c r="S9" s="166"/>
      <c r="T9" s="166"/>
      <c r="U9" s="167"/>
      <c r="V9" s="168"/>
      <c r="W9" s="110"/>
      <c r="X9" s="110"/>
    </row>
    <row r="10" spans="1:24" x14ac:dyDescent="0.25">
      <c r="A10" s="99" t="s">
        <v>24</v>
      </c>
      <c r="B10" s="74"/>
      <c r="C10" s="1"/>
      <c r="D10" s="314">
        <v>12</v>
      </c>
      <c r="E10" s="314">
        <v>3</v>
      </c>
      <c r="F10" s="349">
        <v>1647</v>
      </c>
      <c r="G10" s="174">
        <v>1450</v>
      </c>
      <c r="H10" s="370">
        <v>238.5</v>
      </c>
      <c r="I10" s="393">
        <v>0.4</v>
      </c>
      <c r="J10" s="463">
        <f>ROUND((G10+H10)*('29_01_H_2020'!$F$14)*I10*12*1.2409,2)</f>
        <v>1005.72</v>
      </c>
      <c r="K10" s="166"/>
      <c r="L10" s="166"/>
      <c r="M10" s="169"/>
      <c r="N10" s="166"/>
      <c r="O10" s="166"/>
      <c r="P10" s="166"/>
      <c r="Q10" s="166"/>
      <c r="R10" s="166"/>
      <c r="S10" s="166"/>
      <c r="T10" s="166"/>
      <c r="U10" s="167"/>
      <c r="V10" s="168"/>
      <c r="W10" s="110"/>
      <c r="X10" s="110"/>
    </row>
    <row r="11" spans="1:24" x14ac:dyDescent="0.25">
      <c r="A11" s="99" t="s">
        <v>24</v>
      </c>
      <c r="B11" s="74"/>
      <c r="C11" s="1"/>
      <c r="D11" s="314">
        <v>12</v>
      </c>
      <c r="E11" s="314">
        <v>3</v>
      </c>
      <c r="F11" s="349">
        <v>1647</v>
      </c>
      <c r="G11" s="174">
        <v>1450</v>
      </c>
      <c r="H11" s="370">
        <v>438.5</v>
      </c>
      <c r="I11" s="393">
        <v>1</v>
      </c>
      <c r="J11" s="463">
        <f>ROUND((G11+H11)*('29_01_H_2020'!$F$14)*I11*12*1.2409,2)</f>
        <v>2812.13</v>
      </c>
      <c r="K11" s="166"/>
      <c r="L11" s="166"/>
      <c r="M11" s="169"/>
      <c r="N11" s="166"/>
      <c r="O11" s="166"/>
      <c r="P11" s="166"/>
      <c r="Q11" s="166"/>
      <c r="R11" s="166"/>
      <c r="S11" s="166"/>
      <c r="T11" s="166"/>
      <c r="U11" s="167"/>
      <c r="V11" s="168"/>
      <c r="W11" s="110"/>
      <c r="X11" s="110"/>
    </row>
    <row r="12" spans="1:24" x14ac:dyDescent="0.25">
      <c r="A12" s="99" t="s">
        <v>24</v>
      </c>
      <c r="B12" s="74"/>
      <c r="C12" s="1"/>
      <c r="D12" s="314">
        <v>12</v>
      </c>
      <c r="E12" s="314">
        <v>3</v>
      </c>
      <c r="F12" s="349">
        <v>1647</v>
      </c>
      <c r="G12" s="174">
        <v>1450</v>
      </c>
      <c r="H12" s="370">
        <v>388.5</v>
      </c>
      <c r="I12" s="393">
        <v>0.4</v>
      </c>
      <c r="J12" s="463">
        <f>ROUND((G12+H12)*('29_01_H_2020'!$F$14)*I12*12*1.2409,2)</f>
        <v>1095.07</v>
      </c>
      <c r="K12" s="166"/>
      <c r="L12" s="166"/>
      <c r="M12" s="169"/>
      <c r="N12" s="166"/>
      <c r="O12" s="166"/>
      <c r="P12" s="166"/>
      <c r="Q12" s="166"/>
      <c r="R12" s="166"/>
      <c r="S12" s="166"/>
      <c r="T12" s="166"/>
      <c r="U12" s="167"/>
      <c r="V12" s="168"/>
      <c r="W12" s="110"/>
      <c r="X12" s="110"/>
    </row>
    <row r="13" spans="1:24" x14ac:dyDescent="0.25">
      <c r="A13" s="99" t="s">
        <v>24</v>
      </c>
      <c r="B13" s="74"/>
      <c r="C13" s="1"/>
      <c r="D13" s="314">
        <v>12</v>
      </c>
      <c r="E13" s="314">
        <v>3</v>
      </c>
      <c r="F13" s="349">
        <v>1647</v>
      </c>
      <c r="G13" s="174">
        <v>1450</v>
      </c>
      <c r="H13" s="370">
        <v>288.5</v>
      </c>
      <c r="I13" s="393">
        <v>0.75</v>
      </c>
      <c r="J13" s="463">
        <f>ROUND((G13+H13)*('29_01_H_2020'!$F$14)*I13*12*1.2409,2)</f>
        <v>1941.57</v>
      </c>
      <c r="K13" s="166"/>
      <c r="L13" s="166"/>
      <c r="M13" s="169"/>
      <c r="N13" s="166"/>
      <c r="O13" s="166"/>
      <c r="P13" s="166"/>
      <c r="Q13" s="166"/>
      <c r="R13" s="166"/>
      <c r="S13" s="166"/>
      <c r="T13" s="166"/>
      <c r="U13" s="167"/>
      <c r="V13" s="168"/>
      <c r="W13" s="110"/>
      <c r="X13" s="110"/>
    </row>
    <row r="14" spans="1:24" x14ac:dyDescent="0.25">
      <c r="A14" s="99" t="s">
        <v>24</v>
      </c>
      <c r="B14" s="74"/>
      <c r="C14" s="1"/>
      <c r="D14" s="314">
        <v>12</v>
      </c>
      <c r="E14" s="314">
        <v>3</v>
      </c>
      <c r="F14" s="349">
        <v>1647</v>
      </c>
      <c r="G14" s="174">
        <v>1450</v>
      </c>
      <c r="H14" s="370">
        <v>288.5</v>
      </c>
      <c r="I14" s="393">
        <v>0.4</v>
      </c>
      <c r="J14" s="463">
        <f>ROUND((G14+H14)*('29_01_H_2020'!$F$14)*I14*12*1.2409,2)</f>
        <v>1035.51</v>
      </c>
      <c r="K14" s="166"/>
      <c r="L14" s="166"/>
      <c r="M14" s="169"/>
      <c r="N14" s="166"/>
      <c r="O14" s="166"/>
      <c r="P14" s="166"/>
      <c r="Q14" s="166"/>
      <c r="R14" s="166"/>
      <c r="S14" s="166"/>
      <c r="T14" s="166"/>
      <c r="U14" s="167"/>
      <c r="V14" s="168"/>
      <c r="W14" s="110"/>
      <c r="X14" s="110"/>
    </row>
    <row r="15" spans="1:24" x14ac:dyDescent="0.25">
      <c r="A15" s="99" t="s">
        <v>24</v>
      </c>
      <c r="B15" s="74"/>
      <c r="C15" s="1"/>
      <c r="D15" s="314">
        <v>10</v>
      </c>
      <c r="E15" s="314">
        <v>3</v>
      </c>
      <c r="F15" s="349">
        <v>1287</v>
      </c>
      <c r="G15" s="174">
        <v>1350</v>
      </c>
      <c r="H15" s="370">
        <v>195.5</v>
      </c>
      <c r="I15" s="393">
        <v>0.2</v>
      </c>
      <c r="J15" s="463">
        <f>ROUND((G15+H15)*('29_01_H_2020'!$F$14)*I15*12*1.2409,2)</f>
        <v>460.27</v>
      </c>
      <c r="K15" s="166"/>
      <c r="L15" s="166"/>
      <c r="M15" s="169"/>
      <c r="N15" s="166"/>
      <c r="O15" s="166"/>
      <c r="P15" s="166"/>
      <c r="Q15" s="166"/>
      <c r="R15" s="166"/>
      <c r="S15" s="166"/>
      <c r="T15" s="166"/>
      <c r="U15" s="167"/>
      <c r="V15" s="168"/>
      <c r="W15" s="110"/>
      <c r="X15" s="110"/>
    </row>
    <row r="16" spans="1:24" x14ac:dyDescent="0.25">
      <c r="A16" s="99" t="s">
        <v>24</v>
      </c>
      <c r="B16" s="74"/>
      <c r="C16" s="1"/>
      <c r="D16" s="314">
        <v>10</v>
      </c>
      <c r="E16" s="314">
        <v>3</v>
      </c>
      <c r="F16" s="349">
        <v>1287</v>
      </c>
      <c r="G16" s="174">
        <v>1350</v>
      </c>
      <c r="H16" s="370">
        <v>195.5</v>
      </c>
      <c r="I16" s="393">
        <v>0.4</v>
      </c>
      <c r="J16" s="463">
        <f>ROUND((G16+H16)*('29_01_H_2020'!$F$14)*I16*12*1.2409,2)</f>
        <v>920.55</v>
      </c>
      <c r="K16" s="166"/>
      <c r="L16" s="166"/>
      <c r="M16" s="169"/>
      <c r="N16" s="166"/>
      <c r="O16" s="166"/>
      <c r="P16" s="166"/>
      <c r="Q16" s="166"/>
      <c r="R16" s="166"/>
      <c r="S16" s="166"/>
      <c r="T16" s="166"/>
      <c r="U16" s="167"/>
      <c r="V16" s="168"/>
      <c r="W16" s="110"/>
      <c r="X16" s="110"/>
    </row>
    <row r="17" spans="1:24" x14ac:dyDescent="0.25">
      <c r="A17" s="99" t="s">
        <v>24</v>
      </c>
      <c r="B17" s="74"/>
      <c r="C17" s="1"/>
      <c r="D17" s="314">
        <v>10</v>
      </c>
      <c r="E17" s="314">
        <v>3</v>
      </c>
      <c r="F17" s="349">
        <v>1287</v>
      </c>
      <c r="G17" s="174">
        <v>1350</v>
      </c>
      <c r="H17" s="370">
        <v>195.5</v>
      </c>
      <c r="I17" s="393">
        <v>0.2</v>
      </c>
      <c r="J17" s="463">
        <f>ROUND((G17+H17)*('29_01_H_2020'!$F$14)*I17*12*1.2409,2)</f>
        <v>460.27</v>
      </c>
      <c r="K17" s="166"/>
      <c r="L17" s="166"/>
      <c r="M17" s="169"/>
      <c r="N17" s="166"/>
      <c r="O17" s="166"/>
      <c r="P17" s="166"/>
      <c r="Q17" s="166"/>
      <c r="R17" s="166"/>
      <c r="S17" s="166"/>
      <c r="T17" s="166"/>
      <c r="U17" s="167"/>
      <c r="V17" s="168"/>
      <c r="W17" s="110"/>
      <c r="X17" s="110"/>
    </row>
    <row r="18" spans="1:24" x14ac:dyDescent="0.25">
      <c r="A18" s="99" t="s">
        <v>24</v>
      </c>
      <c r="B18" s="74"/>
      <c r="C18" s="1"/>
      <c r="D18" s="314">
        <v>10</v>
      </c>
      <c r="E18" s="314">
        <v>3</v>
      </c>
      <c r="F18" s="349">
        <v>1287</v>
      </c>
      <c r="G18" s="174">
        <v>1350</v>
      </c>
      <c r="H18" s="370">
        <v>195.5</v>
      </c>
      <c r="I18" s="393">
        <v>0.2</v>
      </c>
      <c r="J18" s="463">
        <f>ROUND((G18+H18)*('29_01_H_2020'!$F$14)*I18*12*1.2409,2)</f>
        <v>460.27</v>
      </c>
      <c r="K18" s="166"/>
      <c r="L18" s="166"/>
      <c r="M18" s="169"/>
      <c r="N18" s="166"/>
      <c r="O18" s="166"/>
      <c r="P18" s="166"/>
      <c r="Q18" s="166"/>
      <c r="R18" s="166"/>
      <c r="S18" s="166"/>
      <c r="T18" s="166"/>
      <c r="U18" s="167"/>
      <c r="V18" s="168"/>
      <c r="W18" s="110"/>
      <c r="X18" s="110"/>
    </row>
    <row r="19" spans="1:24" x14ac:dyDescent="0.25">
      <c r="A19" s="99" t="s">
        <v>24</v>
      </c>
      <c r="B19" s="74"/>
      <c r="C19" s="1"/>
      <c r="D19" s="314">
        <v>10</v>
      </c>
      <c r="E19" s="314">
        <v>3</v>
      </c>
      <c r="F19" s="349">
        <v>1287</v>
      </c>
      <c r="G19" s="174">
        <v>1350</v>
      </c>
      <c r="H19" s="370">
        <v>195.5</v>
      </c>
      <c r="I19" s="393">
        <v>1</v>
      </c>
      <c r="J19" s="463">
        <f>ROUND((G19+H19)*('29_01_H_2020'!$F$14)*I19*12*1.2409,2)</f>
        <v>2301.37</v>
      </c>
      <c r="K19" s="166"/>
      <c r="L19" s="166"/>
      <c r="M19" s="169"/>
      <c r="N19" s="166"/>
      <c r="O19" s="166"/>
      <c r="P19" s="166"/>
      <c r="Q19" s="166"/>
      <c r="R19" s="166"/>
      <c r="S19" s="166"/>
      <c r="T19" s="166"/>
      <c r="U19" s="167"/>
      <c r="V19" s="168"/>
      <c r="W19" s="110"/>
      <c r="X19" s="110"/>
    </row>
    <row r="20" spans="1:24" x14ac:dyDescent="0.25">
      <c r="A20" s="99" t="s">
        <v>24</v>
      </c>
      <c r="B20" s="74"/>
      <c r="C20" s="1"/>
      <c r="D20" s="314">
        <v>10</v>
      </c>
      <c r="E20" s="314">
        <v>3</v>
      </c>
      <c r="F20" s="349">
        <v>1287</v>
      </c>
      <c r="G20" s="174">
        <v>1350</v>
      </c>
      <c r="H20" s="370">
        <v>195.5</v>
      </c>
      <c r="I20" s="393">
        <v>0.2</v>
      </c>
      <c r="J20" s="463">
        <f>ROUND((G20+H20)*('29_01_H_2020'!$F$14)*I20*12*1.2409,2)</f>
        <v>460.27</v>
      </c>
      <c r="K20" s="166"/>
      <c r="L20" s="166"/>
      <c r="M20" s="169"/>
      <c r="N20" s="166"/>
      <c r="O20" s="166"/>
      <c r="P20" s="166"/>
      <c r="Q20" s="166"/>
      <c r="R20" s="166"/>
      <c r="S20" s="166"/>
      <c r="T20" s="166"/>
      <c r="U20" s="167"/>
      <c r="V20" s="168"/>
      <c r="W20" s="110"/>
      <c r="X20" s="110"/>
    </row>
    <row r="21" spans="1:24" x14ac:dyDescent="0.25">
      <c r="A21" s="99" t="s">
        <v>24</v>
      </c>
      <c r="B21" s="74"/>
      <c r="C21" s="1"/>
      <c r="D21" s="314">
        <v>10</v>
      </c>
      <c r="E21" s="314">
        <v>3</v>
      </c>
      <c r="F21" s="349">
        <v>1287</v>
      </c>
      <c r="G21" s="174">
        <v>1350</v>
      </c>
      <c r="H21" s="370">
        <v>195.5</v>
      </c>
      <c r="I21" s="393">
        <v>0.2</v>
      </c>
      <c r="J21" s="463">
        <f>ROUND((G21+H21)*('29_01_H_2020'!$F$14)*I21*12*1.2409,2)</f>
        <v>460.27</v>
      </c>
      <c r="K21" s="166"/>
      <c r="L21" s="166"/>
      <c r="M21" s="169"/>
      <c r="N21" s="166"/>
      <c r="O21" s="166"/>
      <c r="P21" s="166"/>
      <c r="Q21" s="166"/>
      <c r="R21" s="166"/>
      <c r="S21" s="166"/>
      <c r="T21" s="166"/>
      <c r="U21" s="167"/>
      <c r="V21" s="168"/>
      <c r="W21" s="110"/>
      <c r="X21" s="110"/>
    </row>
    <row r="22" spans="1:24" x14ac:dyDescent="0.25">
      <c r="A22" s="99" t="s">
        <v>24</v>
      </c>
      <c r="B22" s="74"/>
      <c r="C22" s="1"/>
      <c r="D22" s="314">
        <v>10</v>
      </c>
      <c r="E22" s="314">
        <v>3</v>
      </c>
      <c r="F22" s="349">
        <v>1287</v>
      </c>
      <c r="G22" s="174">
        <v>1350</v>
      </c>
      <c r="H22" s="370">
        <v>195.5</v>
      </c>
      <c r="I22" s="393">
        <v>0.4</v>
      </c>
      <c r="J22" s="463">
        <f>ROUND((G22+H22)*('29_01_H_2020'!$F$14)*I22*12*1.2409,2)</f>
        <v>920.55</v>
      </c>
      <c r="K22" s="166"/>
      <c r="L22" s="166"/>
      <c r="M22" s="169"/>
      <c r="N22" s="166"/>
      <c r="O22" s="166"/>
      <c r="P22" s="166"/>
      <c r="Q22" s="166"/>
      <c r="R22" s="166"/>
      <c r="S22" s="166"/>
      <c r="T22" s="166"/>
      <c r="U22" s="167"/>
      <c r="V22" s="168"/>
      <c r="W22" s="110"/>
      <c r="X22" s="110"/>
    </row>
    <row r="23" spans="1:24" x14ac:dyDescent="0.25">
      <c r="A23" s="99" t="s">
        <v>24</v>
      </c>
      <c r="B23" s="74"/>
      <c r="C23" s="1"/>
      <c r="D23" s="314">
        <v>10</v>
      </c>
      <c r="E23" s="314">
        <v>3</v>
      </c>
      <c r="F23" s="349">
        <v>1287</v>
      </c>
      <c r="G23" s="174">
        <v>1350</v>
      </c>
      <c r="H23" s="370">
        <v>195.5</v>
      </c>
      <c r="I23" s="393">
        <v>0.45</v>
      </c>
      <c r="J23" s="463">
        <f>ROUND((G23+H23)*('29_01_H_2020'!$F$14)*I23*12*1.2409,2)</f>
        <v>1035.6199999999999</v>
      </c>
      <c r="K23" s="166"/>
      <c r="L23" s="166"/>
      <c r="M23" s="169"/>
      <c r="N23" s="166"/>
      <c r="O23" s="166"/>
      <c r="P23" s="166"/>
      <c r="Q23" s="166"/>
      <c r="R23" s="166"/>
      <c r="S23" s="166"/>
      <c r="T23" s="166"/>
      <c r="U23" s="167"/>
      <c r="V23" s="168"/>
      <c r="W23" s="110"/>
      <c r="X23" s="110"/>
    </row>
    <row r="24" spans="1:24" x14ac:dyDescent="0.25">
      <c r="A24" s="99" t="s">
        <v>24</v>
      </c>
      <c r="B24" s="74"/>
      <c r="C24" s="1"/>
      <c r="D24" s="314">
        <v>10</v>
      </c>
      <c r="E24" s="314">
        <v>3</v>
      </c>
      <c r="F24" s="349">
        <v>1287</v>
      </c>
      <c r="G24" s="174">
        <v>1350</v>
      </c>
      <c r="H24" s="370">
        <v>195.5</v>
      </c>
      <c r="I24" s="393">
        <v>0.75</v>
      </c>
      <c r="J24" s="463">
        <f>ROUND((G24+H24)*('29_01_H_2020'!$F$14)*I24*12*1.2409,2)</f>
        <v>1726.03</v>
      </c>
      <c r="K24" s="166"/>
      <c r="L24" s="166"/>
      <c r="M24" s="169"/>
      <c r="N24" s="166"/>
      <c r="O24" s="166"/>
      <c r="P24" s="166"/>
      <c r="Q24" s="166"/>
      <c r="R24" s="166"/>
      <c r="S24" s="166"/>
      <c r="T24" s="166"/>
      <c r="U24" s="167"/>
      <c r="V24" s="168"/>
      <c r="W24" s="110"/>
      <c r="X24" s="110"/>
    </row>
    <row r="25" spans="1:24" x14ac:dyDescent="0.25">
      <c r="A25" s="99" t="s">
        <v>24</v>
      </c>
      <c r="B25" s="74"/>
      <c r="C25" s="1"/>
      <c r="D25" s="314">
        <v>10</v>
      </c>
      <c r="E25" s="314">
        <v>3</v>
      </c>
      <c r="F25" s="349">
        <v>1287</v>
      </c>
      <c r="G25" s="174">
        <v>1200</v>
      </c>
      <c r="H25" s="370">
        <v>176</v>
      </c>
      <c r="I25" s="393">
        <v>0.6</v>
      </c>
      <c r="J25" s="463">
        <f>ROUND((G25+H25)*('29_01_H_2020'!$F$14)*I25*12*1.2409,2)</f>
        <v>1229.3800000000001</v>
      </c>
      <c r="K25" s="166"/>
      <c r="L25" s="166"/>
      <c r="M25" s="169"/>
      <c r="N25" s="166"/>
      <c r="O25" s="166"/>
      <c r="P25" s="166"/>
      <c r="Q25" s="166"/>
      <c r="R25" s="166"/>
      <c r="S25" s="166"/>
      <c r="T25" s="166"/>
      <c r="U25" s="167"/>
      <c r="V25" s="168"/>
      <c r="W25" s="110"/>
      <c r="X25" s="110"/>
    </row>
    <row r="26" spans="1:24" x14ac:dyDescent="0.25">
      <c r="A26" s="99" t="s">
        <v>24</v>
      </c>
      <c r="B26" s="74"/>
      <c r="C26" s="1"/>
      <c r="D26" s="314">
        <v>10</v>
      </c>
      <c r="E26" s="314">
        <v>3</v>
      </c>
      <c r="F26" s="349">
        <v>1287</v>
      </c>
      <c r="G26" s="174">
        <v>1200</v>
      </c>
      <c r="H26" s="370">
        <v>176</v>
      </c>
      <c r="I26" s="393">
        <v>0.6</v>
      </c>
      <c r="J26" s="463">
        <f>ROUND((G26+H26)*('29_01_H_2020'!$F$14)*I26*12*1.2409,2)</f>
        <v>1229.3800000000001</v>
      </c>
      <c r="K26" s="166"/>
      <c r="L26" s="166"/>
      <c r="M26" s="169"/>
      <c r="N26" s="166"/>
      <c r="O26" s="166"/>
      <c r="P26" s="166"/>
      <c r="Q26" s="166"/>
      <c r="R26" s="166"/>
      <c r="S26" s="166"/>
      <c r="T26" s="166"/>
      <c r="U26" s="167"/>
      <c r="V26" s="168"/>
      <c r="W26" s="110"/>
      <c r="X26" s="110"/>
    </row>
    <row r="27" spans="1:24" x14ac:dyDescent="0.25">
      <c r="A27" s="99" t="s">
        <v>24</v>
      </c>
      <c r="B27" s="74"/>
      <c r="C27" s="1"/>
      <c r="D27" s="314">
        <v>10</v>
      </c>
      <c r="E27" s="314">
        <v>3</v>
      </c>
      <c r="F27" s="349">
        <v>1287</v>
      </c>
      <c r="G27" s="174">
        <v>1200</v>
      </c>
      <c r="H27" s="370">
        <v>176</v>
      </c>
      <c r="I27" s="393">
        <v>0.2</v>
      </c>
      <c r="J27" s="463">
        <f>ROUND((G27+H27)*('29_01_H_2020'!$F$14)*I27*12*1.2409,2)</f>
        <v>409.79</v>
      </c>
      <c r="K27" s="166"/>
      <c r="L27" s="166"/>
      <c r="M27" s="169"/>
      <c r="N27" s="166"/>
      <c r="O27" s="166"/>
      <c r="P27" s="166"/>
      <c r="Q27" s="166"/>
      <c r="R27" s="166"/>
      <c r="S27" s="166"/>
      <c r="T27" s="166"/>
      <c r="U27" s="167"/>
      <c r="V27" s="168"/>
      <c r="W27" s="110"/>
      <c r="X27" s="110"/>
    </row>
    <row r="28" spans="1:24" x14ac:dyDescent="0.25">
      <c r="A28" s="99" t="s">
        <v>24</v>
      </c>
      <c r="B28" s="74"/>
      <c r="C28" s="1"/>
      <c r="D28" s="314">
        <v>9</v>
      </c>
      <c r="E28" s="314">
        <v>2</v>
      </c>
      <c r="F28" s="349">
        <v>1015</v>
      </c>
      <c r="G28" s="174">
        <v>1200</v>
      </c>
      <c r="H28" s="370">
        <v>50</v>
      </c>
      <c r="I28" s="393">
        <v>0.2</v>
      </c>
      <c r="J28" s="463">
        <f>ROUND((G28+H28)*('29_01_H_2020'!$F$14)*I28*12*1.2409,2)</f>
        <v>372.27</v>
      </c>
      <c r="K28" s="166"/>
      <c r="L28" s="166"/>
      <c r="M28" s="169"/>
      <c r="N28" s="166"/>
      <c r="O28" s="166"/>
      <c r="P28" s="166"/>
      <c r="Q28" s="166"/>
      <c r="R28" s="166"/>
      <c r="S28" s="166"/>
      <c r="T28" s="166"/>
      <c r="U28" s="167"/>
      <c r="V28" s="168"/>
      <c r="W28" s="110"/>
      <c r="X28" s="110"/>
    </row>
    <row r="29" spans="1:24" x14ac:dyDescent="0.25">
      <c r="A29" s="99" t="s">
        <v>24</v>
      </c>
      <c r="B29" s="74"/>
      <c r="C29" s="1"/>
      <c r="D29" s="314">
        <v>9</v>
      </c>
      <c r="E29" s="314">
        <v>2</v>
      </c>
      <c r="F29" s="349">
        <v>1015</v>
      </c>
      <c r="G29" s="174">
        <v>1200</v>
      </c>
      <c r="H29" s="370">
        <v>50</v>
      </c>
      <c r="I29" s="393">
        <v>0.2</v>
      </c>
      <c r="J29" s="463">
        <f>ROUND((G29+H29)*('29_01_H_2020'!$F$14)*I29*12*1.2409,2)</f>
        <v>372.27</v>
      </c>
      <c r="K29" s="166"/>
      <c r="L29" s="166"/>
      <c r="M29" s="169"/>
      <c r="N29" s="166"/>
      <c r="O29" s="166"/>
      <c r="P29" s="166"/>
      <c r="Q29" s="166"/>
      <c r="R29" s="166"/>
      <c r="S29" s="166"/>
      <c r="T29" s="166"/>
      <c r="U29" s="167"/>
      <c r="V29" s="168"/>
      <c r="W29" s="110"/>
      <c r="X29" s="110"/>
    </row>
    <row r="30" spans="1:24" x14ac:dyDescent="0.25">
      <c r="A30" s="99" t="s">
        <v>24</v>
      </c>
      <c r="B30" s="74"/>
      <c r="C30" s="1"/>
      <c r="D30" s="314">
        <v>9</v>
      </c>
      <c r="E30" s="314">
        <v>2</v>
      </c>
      <c r="F30" s="349">
        <v>1015</v>
      </c>
      <c r="G30" s="174">
        <v>1200</v>
      </c>
      <c r="H30" s="370">
        <v>50</v>
      </c>
      <c r="I30" s="393">
        <v>0.2</v>
      </c>
      <c r="J30" s="463">
        <f>ROUND((G30+H30)*('29_01_H_2020'!$F$14)*I30*12*1.2409,2)</f>
        <v>372.27</v>
      </c>
      <c r="K30" s="166"/>
      <c r="L30" s="166"/>
      <c r="M30" s="169"/>
      <c r="N30" s="166"/>
      <c r="O30" s="166"/>
      <c r="P30" s="166"/>
      <c r="Q30" s="166"/>
      <c r="R30" s="166"/>
      <c r="S30" s="166"/>
      <c r="T30" s="166"/>
      <c r="U30" s="167"/>
      <c r="V30" s="168"/>
      <c r="W30" s="110"/>
      <c r="X30" s="110"/>
    </row>
    <row r="31" spans="1:24" x14ac:dyDescent="0.25">
      <c r="A31" s="99" t="s">
        <v>24</v>
      </c>
      <c r="B31" s="74"/>
      <c r="C31" s="1"/>
      <c r="D31" s="314">
        <v>9</v>
      </c>
      <c r="E31" s="314">
        <v>2</v>
      </c>
      <c r="F31" s="349">
        <v>1015</v>
      </c>
      <c r="G31" s="174">
        <v>1200</v>
      </c>
      <c r="H31" s="370">
        <v>50</v>
      </c>
      <c r="I31" s="393">
        <v>0.2</v>
      </c>
      <c r="J31" s="463">
        <f>ROUND((G31+H31)*('29_01_H_2020'!$F$14)*I31*12*1.2409,2)</f>
        <v>372.27</v>
      </c>
      <c r="K31" s="166"/>
      <c r="L31" s="166"/>
      <c r="M31" s="169"/>
      <c r="N31" s="166"/>
      <c r="O31" s="166"/>
      <c r="P31" s="166"/>
      <c r="Q31" s="166"/>
      <c r="R31" s="166"/>
      <c r="S31" s="166"/>
      <c r="T31" s="166"/>
      <c r="U31" s="167"/>
      <c r="V31" s="168"/>
      <c r="W31" s="110"/>
      <c r="X31" s="110"/>
    </row>
    <row r="32" spans="1:24" x14ac:dyDescent="0.25">
      <c r="A32" s="1017" t="s">
        <v>27</v>
      </c>
      <c r="B32" s="1018"/>
      <c r="C32" s="1018"/>
      <c r="D32" s="1018"/>
      <c r="E32" s="1018"/>
      <c r="F32" s="1018"/>
      <c r="G32" s="1018"/>
      <c r="H32" s="1018"/>
      <c r="I32" s="1018"/>
      <c r="J32" s="379"/>
      <c r="K32" s="98"/>
      <c r="L32" s="98"/>
      <c r="M32" s="98"/>
      <c r="N32" s="98"/>
      <c r="O32" s="98"/>
      <c r="P32" s="98"/>
      <c r="Q32" s="98"/>
      <c r="R32" s="98"/>
      <c r="S32" s="98"/>
      <c r="T32" s="98"/>
      <c r="U32" s="98"/>
      <c r="V32" s="98"/>
      <c r="W32" s="97"/>
    </row>
    <row r="33" spans="1:24" x14ac:dyDescent="0.25">
      <c r="A33" s="534" t="s">
        <v>32</v>
      </c>
      <c r="B33" s="529"/>
      <c r="C33" s="1"/>
      <c r="D33" s="314">
        <v>8</v>
      </c>
      <c r="E33" s="314">
        <v>3</v>
      </c>
      <c r="F33" s="349">
        <v>1093</v>
      </c>
      <c r="G33" s="174">
        <v>1000</v>
      </c>
      <c r="H33" s="370">
        <v>272</v>
      </c>
      <c r="I33" s="393">
        <v>1</v>
      </c>
      <c r="J33" s="463">
        <f>ROUND((G33+H33)*('29_01_H_2020'!$F$10)*I33*12*1.2409,2)</f>
        <v>1894.11</v>
      </c>
      <c r="K33" s="166"/>
      <c r="L33" s="166"/>
      <c r="M33" s="169"/>
      <c r="N33" s="166"/>
      <c r="O33" s="166"/>
      <c r="P33" s="166"/>
      <c r="Q33" s="166"/>
      <c r="R33" s="166"/>
      <c r="S33" s="166"/>
      <c r="T33" s="166"/>
      <c r="U33" s="167"/>
      <c r="V33" s="168"/>
      <c r="W33" s="110"/>
      <c r="X33" s="110"/>
    </row>
    <row r="34" spans="1:24" x14ac:dyDescent="0.25">
      <c r="A34" s="534" t="s">
        <v>39</v>
      </c>
      <c r="B34" s="529"/>
      <c r="C34" s="1"/>
      <c r="D34" s="314">
        <v>7</v>
      </c>
      <c r="E34" s="314">
        <v>3</v>
      </c>
      <c r="F34" s="349">
        <v>996</v>
      </c>
      <c r="G34" s="174">
        <v>920</v>
      </c>
      <c r="H34" s="370">
        <v>120</v>
      </c>
      <c r="I34" s="393">
        <v>0.5</v>
      </c>
      <c r="J34" s="463">
        <f>ROUND((G34+H34)*('29_01_H_2020'!$F$10)*I34*12*1.2409,2)</f>
        <v>774.32</v>
      </c>
      <c r="K34" s="166"/>
      <c r="L34" s="166"/>
      <c r="M34" s="169"/>
      <c r="N34" s="166"/>
      <c r="O34" s="166"/>
      <c r="P34" s="166"/>
      <c r="Q34" s="166"/>
      <c r="R34" s="166"/>
      <c r="S34" s="166"/>
      <c r="T34" s="166"/>
      <c r="U34" s="167"/>
      <c r="V34" s="168"/>
      <c r="W34" s="110"/>
      <c r="X34" s="110"/>
    </row>
    <row r="35" spans="1:24" x14ac:dyDescent="0.25">
      <c r="A35" s="534" t="s">
        <v>39</v>
      </c>
      <c r="B35" s="529"/>
      <c r="C35" s="1"/>
      <c r="D35" s="314">
        <v>7</v>
      </c>
      <c r="E35" s="314">
        <v>3</v>
      </c>
      <c r="F35" s="349">
        <v>996</v>
      </c>
      <c r="G35" s="174">
        <v>920</v>
      </c>
      <c r="H35" s="370">
        <v>95</v>
      </c>
      <c r="I35" s="393">
        <v>0.5</v>
      </c>
      <c r="J35" s="463">
        <f>ROUND((G35+H35)*('29_01_H_2020'!$F$10)*I35*12*1.2409,2)</f>
        <v>755.71</v>
      </c>
      <c r="K35" s="166"/>
      <c r="L35" s="166"/>
      <c r="M35" s="169"/>
      <c r="N35" s="166"/>
      <c r="O35" s="166"/>
      <c r="P35" s="166"/>
      <c r="Q35" s="166"/>
      <c r="R35" s="166"/>
      <c r="S35" s="166"/>
      <c r="T35" s="166"/>
      <c r="U35" s="167"/>
      <c r="V35" s="168"/>
      <c r="W35" s="110"/>
      <c r="X35" s="110"/>
    </row>
    <row r="36" spans="1:24" x14ac:dyDescent="0.25">
      <c r="A36" s="534" t="s">
        <v>39</v>
      </c>
      <c r="B36" s="529"/>
      <c r="C36" s="1"/>
      <c r="D36" s="314">
        <v>7</v>
      </c>
      <c r="E36" s="314">
        <v>3</v>
      </c>
      <c r="F36" s="349">
        <v>996</v>
      </c>
      <c r="G36" s="174">
        <v>920</v>
      </c>
      <c r="H36" s="370">
        <v>95</v>
      </c>
      <c r="I36" s="393">
        <v>0.5</v>
      </c>
      <c r="J36" s="463">
        <f>ROUND((G36+H36)*('29_01_H_2020'!$F$10)*I36*12*1.2409,2)</f>
        <v>755.71</v>
      </c>
      <c r="K36" s="166"/>
      <c r="L36" s="166"/>
      <c r="M36" s="169"/>
      <c r="N36" s="166"/>
      <c r="O36" s="166"/>
      <c r="P36" s="166"/>
      <c r="Q36" s="166"/>
      <c r="R36" s="166"/>
      <c r="S36" s="166"/>
      <c r="T36" s="166"/>
      <c r="U36" s="167"/>
      <c r="V36" s="168"/>
      <c r="W36" s="110"/>
      <c r="X36" s="110"/>
    </row>
    <row r="37" spans="1:24" x14ac:dyDescent="0.25">
      <c r="A37" s="534" t="s">
        <v>39</v>
      </c>
      <c r="B37" s="529"/>
      <c r="C37" s="1"/>
      <c r="D37" s="314">
        <v>7</v>
      </c>
      <c r="E37" s="314">
        <v>3</v>
      </c>
      <c r="F37" s="349">
        <v>996</v>
      </c>
      <c r="G37" s="174">
        <v>920</v>
      </c>
      <c r="H37" s="370">
        <v>95</v>
      </c>
      <c r="I37" s="393">
        <v>0.5</v>
      </c>
      <c r="J37" s="463">
        <f>ROUND((G37+H37)*('29_01_H_2020'!$F$10)*I37*12*1.2409,2)</f>
        <v>755.71</v>
      </c>
      <c r="K37" s="166"/>
      <c r="L37" s="166"/>
      <c r="M37" s="169"/>
      <c r="N37" s="166"/>
      <c r="O37" s="166"/>
      <c r="P37" s="166"/>
      <c r="Q37" s="166"/>
      <c r="R37" s="166"/>
      <c r="S37" s="166"/>
      <c r="T37" s="166"/>
      <c r="U37" s="167"/>
      <c r="V37" s="168"/>
      <c r="W37" s="110"/>
      <c r="X37" s="110"/>
    </row>
    <row r="38" spans="1:24" x14ac:dyDescent="0.25">
      <c r="A38" s="534" t="s">
        <v>39</v>
      </c>
      <c r="B38" s="529"/>
      <c r="C38" s="1"/>
      <c r="D38" s="314">
        <v>7</v>
      </c>
      <c r="E38" s="314">
        <v>3</v>
      </c>
      <c r="F38" s="349">
        <v>996</v>
      </c>
      <c r="G38" s="174">
        <v>920</v>
      </c>
      <c r="H38" s="370">
        <v>95</v>
      </c>
      <c r="I38" s="393">
        <v>0.5</v>
      </c>
      <c r="J38" s="463">
        <f>ROUND((G38+H38)*('29_01_H_2020'!$F$10)*I38*12*1.2409,2)</f>
        <v>755.71</v>
      </c>
      <c r="K38" s="166"/>
      <c r="L38" s="166"/>
      <c r="M38" s="169"/>
      <c r="N38" s="166"/>
      <c r="O38" s="166"/>
      <c r="P38" s="166"/>
      <c r="Q38" s="166"/>
      <c r="R38" s="166"/>
      <c r="S38" s="166"/>
      <c r="T38" s="166"/>
      <c r="U38" s="167"/>
      <c r="V38" s="168"/>
      <c r="W38" s="110"/>
      <c r="X38" s="110"/>
    </row>
    <row r="39" spans="1:24" x14ac:dyDescent="0.25">
      <c r="A39" s="534" t="s">
        <v>39</v>
      </c>
      <c r="B39" s="529"/>
      <c r="C39" s="1"/>
      <c r="D39" s="314">
        <v>7</v>
      </c>
      <c r="E39" s="314">
        <v>3</v>
      </c>
      <c r="F39" s="349">
        <v>996</v>
      </c>
      <c r="G39" s="174">
        <v>920</v>
      </c>
      <c r="H39" s="370">
        <v>95</v>
      </c>
      <c r="I39" s="393">
        <v>0.5</v>
      </c>
      <c r="J39" s="463">
        <f>ROUND((G39+H39)*('29_01_H_2020'!$F$10)*I39*12*1.2409,2)</f>
        <v>755.71</v>
      </c>
      <c r="K39" s="166"/>
      <c r="L39" s="166"/>
      <c r="M39" s="169"/>
      <c r="N39" s="166"/>
      <c r="O39" s="166"/>
      <c r="P39" s="166"/>
      <c r="Q39" s="166"/>
      <c r="R39" s="166"/>
      <c r="S39" s="166"/>
      <c r="T39" s="166"/>
      <c r="U39" s="167"/>
      <c r="V39" s="168"/>
      <c r="W39" s="110"/>
      <c r="X39" s="110"/>
    </row>
    <row r="40" spans="1:24" x14ac:dyDescent="0.25">
      <c r="A40" s="534" t="s">
        <v>39</v>
      </c>
      <c r="B40" s="529"/>
      <c r="C40" s="1"/>
      <c r="D40" s="314">
        <v>7</v>
      </c>
      <c r="E40" s="314">
        <v>3</v>
      </c>
      <c r="F40" s="349">
        <v>996</v>
      </c>
      <c r="G40" s="174">
        <v>920</v>
      </c>
      <c r="H40" s="370">
        <v>95</v>
      </c>
      <c r="I40" s="393">
        <v>0.5</v>
      </c>
      <c r="J40" s="463">
        <f>ROUND((G40+H40)*('29_01_H_2020'!$F$10)*I40*12*1.2409,2)</f>
        <v>755.71</v>
      </c>
      <c r="K40" s="166"/>
      <c r="L40" s="166"/>
      <c r="M40" s="169"/>
      <c r="N40" s="166"/>
      <c r="O40" s="166"/>
      <c r="P40" s="166"/>
      <c r="Q40" s="166"/>
      <c r="R40" s="166"/>
      <c r="S40" s="166"/>
      <c r="T40" s="166"/>
      <c r="U40" s="167"/>
      <c r="V40" s="168"/>
      <c r="W40" s="110"/>
      <c r="X40" s="110"/>
    </row>
    <row r="41" spans="1:24" x14ac:dyDescent="0.25">
      <c r="A41" s="534" t="s">
        <v>39</v>
      </c>
      <c r="B41" s="529"/>
      <c r="C41" s="1"/>
      <c r="D41" s="314">
        <v>7</v>
      </c>
      <c r="E41" s="314">
        <v>3</v>
      </c>
      <c r="F41" s="349">
        <v>996</v>
      </c>
      <c r="G41" s="174">
        <v>920</v>
      </c>
      <c r="H41" s="370">
        <v>95</v>
      </c>
      <c r="I41" s="393">
        <v>0.5</v>
      </c>
      <c r="J41" s="463">
        <f>ROUND((G41+H41)*('29_01_H_2020'!$F$10)*I41*12*1.2409,2)</f>
        <v>755.71</v>
      </c>
      <c r="K41" s="166"/>
      <c r="L41" s="166"/>
      <c r="M41" s="169"/>
      <c r="N41" s="166"/>
      <c r="O41" s="166"/>
      <c r="P41" s="166"/>
      <c r="Q41" s="166"/>
      <c r="R41" s="166"/>
      <c r="S41" s="166"/>
      <c r="T41" s="166"/>
      <c r="U41" s="167"/>
      <c r="V41" s="168"/>
      <c r="W41" s="110"/>
      <c r="X41" s="110"/>
    </row>
    <row r="42" spans="1:24" x14ac:dyDescent="0.25">
      <c r="A42" s="534" t="s">
        <v>39</v>
      </c>
      <c r="B42" s="529"/>
      <c r="C42" s="1"/>
      <c r="D42" s="314">
        <v>7</v>
      </c>
      <c r="E42" s="314">
        <v>3</v>
      </c>
      <c r="F42" s="349">
        <v>996</v>
      </c>
      <c r="G42" s="174">
        <v>920</v>
      </c>
      <c r="H42" s="370">
        <v>95</v>
      </c>
      <c r="I42" s="393">
        <v>0.5</v>
      </c>
      <c r="J42" s="463">
        <f>ROUND((G42+H42)*('29_01_H_2020'!$F$10)*I42*12*1.2409,2)</f>
        <v>755.71</v>
      </c>
      <c r="K42" s="166"/>
      <c r="L42" s="166"/>
      <c r="M42" s="169"/>
      <c r="N42" s="166"/>
      <c r="O42" s="166"/>
      <c r="P42" s="166"/>
      <c r="Q42" s="166"/>
      <c r="R42" s="166"/>
      <c r="S42" s="166"/>
      <c r="T42" s="166"/>
      <c r="U42" s="167"/>
      <c r="V42" s="168"/>
      <c r="W42" s="110"/>
      <c r="X42" s="110"/>
    </row>
    <row r="43" spans="1:24" x14ac:dyDescent="0.25">
      <c r="A43" s="534" t="s">
        <v>39</v>
      </c>
      <c r="B43" s="529"/>
      <c r="C43" s="1"/>
      <c r="D43" s="314">
        <v>7</v>
      </c>
      <c r="E43" s="314">
        <v>3</v>
      </c>
      <c r="F43" s="349">
        <v>996</v>
      </c>
      <c r="G43" s="174">
        <v>920</v>
      </c>
      <c r="H43" s="370">
        <v>95</v>
      </c>
      <c r="I43" s="393">
        <v>0.5</v>
      </c>
      <c r="J43" s="463">
        <f>ROUND((G43+H43)*('29_01_H_2020'!$F$10)*I43*12*1.2409,2)</f>
        <v>755.71</v>
      </c>
      <c r="K43" s="166"/>
      <c r="L43" s="166"/>
      <c r="M43" s="169"/>
      <c r="N43" s="166"/>
      <c r="O43" s="166"/>
      <c r="P43" s="166"/>
      <c r="Q43" s="166"/>
      <c r="R43" s="166"/>
      <c r="S43" s="166"/>
      <c r="T43" s="166"/>
      <c r="U43" s="167"/>
      <c r="V43" s="168"/>
      <c r="W43" s="110"/>
      <c r="X43" s="110"/>
    </row>
    <row r="44" spans="1:24" x14ac:dyDescent="0.25">
      <c r="A44" s="534" t="s">
        <v>39</v>
      </c>
      <c r="B44" s="529"/>
      <c r="C44" s="1"/>
      <c r="D44" s="314">
        <v>7</v>
      </c>
      <c r="E44" s="314">
        <v>3</v>
      </c>
      <c r="F44" s="349">
        <v>996</v>
      </c>
      <c r="G44" s="174">
        <v>920</v>
      </c>
      <c r="H44" s="370">
        <v>95</v>
      </c>
      <c r="I44" s="393">
        <v>1</v>
      </c>
      <c r="J44" s="463">
        <f>ROUND((G44+H44)*('29_01_H_2020'!$F$10)*I44*12*1.2409,2)</f>
        <v>1511.42</v>
      </c>
      <c r="K44" s="166"/>
      <c r="L44" s="166"/>
      <c r="M44" s="169"/>
      <c r="N44" s="166"/>
      <c r="O44" s="166"/>
      <c r="P44" s="166"/>
      <c r="Q44" s="166"/>
      <c r="R44" s="166"/>
      <c r="S44" s="166"/>
      <c r="T44" s="166"/>
      <c r="U44" s="167"/>
      <c r="V44" s="168"/>
      <c r="W44" s="110"/>
      <c r="X44" s="110"/>
    </row>
    <row r="45" spans="1:24" x14ac:dyDescent="0.25">
      <c r="A45" s="534" t="s">
        <v>275</v>
      </c>
      <c r="B45" s="529"/>
      <c r="C45" s="1"/>
      <c r="D45" s="314">
        <v>7</v>
      </c>
      <c r="E45" s="314">
        <v>3</v>
      </c>
      <c r="F45" s="349">
        <v>996</v>
      </c>
      <c r="G45" s="174">
        <v>920</v>
      </c>
      <c r="H45" s="370">
        <v>170</v>
      </c>
      <c r="I45" s="393">
        <v>0.5</v>
      </c>
      <c r="J45" s="463">
        <f>ROUND((G45+H45)*('29_01_H_2020'!$F$10)*I45*12*1.2409,2)</f>
        <v>811.55</v>
      </c>
      <c r="K45" s="166"/>
      <c r="L45" s="166"/>
      <c r="M45" s="169"/>
      <c r="N45" s="166"/>
      <c r="O45" s="166"/>
      <c r="P45" s="166"/>
      <c r="Q45" s="166"/>
      <c r="R45" s="166"/>
      <c r="S45" s="166"/>
      <c r="T45" s="166"/>
      <c r="U45" s="167"/>
      <c r="V45" s="168"/>
      <c r="W45" s="110"/>
      <c r="X45" s="110"/>
    </row>
    <row r="46" spans="1:24" x14ac:dyDescent="0.25">
      <c r="A46" s="534" t="s">
        <v>275</v>
      </c>
      <c r="B46" s="529"/>
      <c r="C46" s="1"/>
      <c r="D46" s="314">
        <v>7</v>
      </c>
      <c r="E46" s="314">
        <v>3</v>
      </c>
      <c r="F46" s="349">
        <v>996</v>
      </c>
      <c r="G46" s="174">
        <v>920</v>
      </c>
      <c r="H46" s="370">
        <v>170</v>
      </c>
      <c r="I46" s="393">
        <v>0.5</v>
      </c>
      <c r="J46" s="463">
        <f>ROUND((G46+H46)*('29_01_H_2020'!$F$10)*I46*12*1.2409,2)</f>
        <v>811.55</v>
      </c>
      <c r="K46" s="166"/>
      <c r="L46" s="166"/>
      <c r="M46" s="169"/>
      <c r="N46" s="166"/>
      <c r="O46" s="166"/>
      <c r="P46" s="166"/>
      <c r="Q46" s="166"/>
      <c r="R46" s="166"/>
      <c r="S46" s="166"/>
      <c r="T46" s="166"/>
      <c r="U46" s="167"/>
      <c r="V46" s="168"/>
      <c r="W46" s="110"/>
      <c r="X46" s="110"/>
    </row>
    <row r="47" spans="1:24" x14ac:dyDescent="0.25">
      <c r="A47" s="534" t="s">
        <v>275</v>
      </c>
      <c r="B47" s="529"/>
      <c r="C47" s="1"/>
      <c r="D47" s="314">
        <v>7</v>
      </c>
      <c r="E47" s="314">
        <v>3</v>
      </c>
      <c r="F47" s="349">
        <v>996</v>
      </c>
      <c r="G47" s="174">
        <v>920</v>
      </c>
      <c r="H47" s="370">
        <v>170</v>
      </c>
      <c r="I47" s="393">
        <v>0.5</v>
      </c>
      <c r="J47" s="463">
        <f>ROUND((G47+H47)*('29_01_H_2020'!$F$10)*I47*12*1.2409,2)</f>
        <v>811.55</v>
      </c>
      <c r="K47" s="166"/>
      <c r="L47" s="166"/>
      <c r="M47" s="169"/>
      <c r="N47" s="166"/>
      <c r="O47" s="166"/>
      <c r="P47" s="166"/>
      <c r="Q47" s="166"/>
      <c r="R47" s="166"/>
      <c r="S47" s="166"/>
      <c r="T47" s="166"/>
      <c r="U47" s="167"/>
      <c r="V47" s="168"/>
      <c r="W47" s="110"/>
      <c r="X47" s="110"/>
    </row>
    <row r="48" spans="1:24" x14ac:dyDescent="0.25">
      <c r="A48" s="534" t="s">
        <v>392</v>
      </c>
      <c r="B48" s="529"/>
      <c r="C48" s="1"/>
      <c r="D48" s="314">
        <v>9</v>
      </c>
      <c r="E48" s="314">
        <v>3</v>
      </c>
      <c r="F48" s="349">
        <v>1190</v>
      </c>
      <c r="G48" s="174">
        <v>920</v>
      </c>
      <c r="H48" s="370">
        <v>95</v>
      </c>
      <c r="I48" s="393">
        <v>0.25</v>
      </c>
      <c r="J48" s="463">
        <f>ROUND((G48+H48)*('29_01_H_2020'!$F$10)*I48*12*1.2409,2)</f>
        <v>377.85</v>
      </c>
      <c r="K48" s="166"/>
      <c r="L48" s="166"/>
      <c r="M48" s="169"/>
      <c r="N48" s="166"/>
      <c r="O48" s="166"/>
      <c r="P48" s="166"/>
      <c r="Q48" s="166"/>
      <c r="R48" s="166"/>
      <c r="S48" s="166"/>
      <c r="T48" s="166"/>
      <c r="U48" s="167"/>
      <c r="V48" s="168"/>
      <c r="W48" s="110"/>
      <c r="X48" s="110"/>
    </row>
    <row r="49" spans="1:24" x14ac:dyDescent="0.25">
      <c r="A49" s="534" t="s">
        <v>392</v>
      </c>
      <c r="B49" s="529"/>
      <c r="C49" s="1"/>
      <c r="D49" s="314">
        <v>9</v>
      </c>
      <c r="E49" s="314">
        <v>3</v>
      </c>
      <c r="F49" s="349">
        <v>1190</v>
      </c>
      <c r="G49" s="174">
        <v>920</v>
      </c>
      <c r="H49" s="370">
        <v>95</v>
      </c>
      <c r="I49" s="393">
        <v>0.25</v>
      </c>
      <c r="J49" s="463">
        <f>ROUND((G49+H49)*('29_01_H_2020'!$F$10)*I49*12*1.2409,2)</f>
        <v>377.85</v>
      </c>
      <c r="K49" s="166"/>
      <c r="L49" s="166"/>
      <c r="M49" s="169"/>
      <c r="N49" s="166"/>
      <c r="O49" s="166"/>
      <c r="P49" s="166"/>
      <c r="Q49" s="166"/>
      <c r="R49" s="166"/>
      <c r="S49" s="166"/>
      <c r="T49" s="166"/>
      <c r="U49" s="167"/>
      <c r="V49" s="168"/>
      <c r="W49" s="110"/>
      <c r="X49" s="110"/>
    </row>
    <row r="50" spans="1:24" x14ac:dyDescent="0.25">
      <c r="A50" s="534" t="s">
        <v>392</v>
      </c>
      <c r="B50" s="529"/>
      <c r="C50" s="1"/>
      <c r="D50" s="314">
        <v>9</v>
      </c>
      <c r="E50" s="314">
        <v>3</v>
      </c>
      <c r="F50" s="349">
        <v>1190</v>
      </c>
      <c r="G50" s="174">
        <v>920</v>
      </c>
      <c r="H50" s="370">
        <v>95</v>
      </c>
      <c r="I50" s="393">
        <v>0.6</v>
      </c>
      <c r="J50" s="463">
        <f>ROUND((G50+H50)*('29_01_H_2020'!$F$10)*I50*12*1.2409,2)</f>
        <v>906.85</v>
      </c>
      <c r="K50" s="166"/>
      <c r="L50" s="166"/>
      <c r="M50" s="169"/>
      <c r="N50" s="166"/>
      <c r="O50" s="166"/>
      <c r="P50" s="166"/>
      <c r="Q50" s="166"/>
      <c r="R50" s="166"/>
      <c r="S50" s="166"/>
      <c r="T50" s="166"/>
      <c r="U50" s="167"/>
      <c r="V50" s="168"/>
      <c r="W50" s="110"/>
      <c r="X50" s="110"/>
    </row>
    <row r="51" spans="1:24" x14ac:dyDescent="0.25">
      <c r="A51" s="534" t="s">
        <v>392</v>
      </c>
      <c r="B51" s="529"/>
      <c r="C51" s="1"/>
      <c r="D51" s="314">
        <v>9</v>
      </c>
      <c r="E51" s="314">
        <v>3</v>
      </c>
      <c r="F51" s="349">
        <v>1190</v>
      </c>
      <c r="G51" s="174">
        <v>920</v>
      </c>
      <c r="H51" s="370">
        <v>95</v>
      </c>
      <c r="I51" s="393">
        <v>0.6</v>
      </c>
      <c r="J51" s="463">
        <f>ROUND((G51+H51)*('29_01_H_2020'!$F$10)*I51*12*1.2409,2)</f>
        <v>906.85</v>
      </c>
      <c r="K51" s="166"/>
      <c r="L51" s="166"/>
      <c r="M51" s="169"/>
      <c r="N51" s="166"/>
      <c r="O51" s="166"/>
      <c r="P51" s="166"/>
      <c r="Q51" s="166"/>
      <c r="R51" s="166"/>
      <c r="S51" s="166"/>
      <c r="T51" s="166"/>
      <c r="U51" s="167"/>
      <c r="V51" s="168"/>
      <c r="W51" s="110"/>
      <c r="X51" s="110"/>
    </row>
    <row r="52" spans="1:24" x14ac:dyDescent="0.25">
      <c r="A52" s="534" t="s">
        <v>392</v>
      </c>
      <c r="B52" s="529"/>
      <c r="C52" s="1"/>
      <c r="D52" s="314">
        <v>9</v>
      </c>
      <c r="E52" s="314">
        <v>3</v>
      </c>
      <c r="F52" s="349">
        <v>1190</v>
      </c>
      <c r="G52" s="174">
        <v>920</v>
      </c>
      <c r="H52" s="370">
        <v>95</v>
      </c>
      <c r="I52" s="393">
        <v>0.7</v>
      </c>
      <c r="J52" s="463">
        <f>ROUND((G52+H52)*('29_01_H_2020'!$F$10)*I52*12*1.2409,2)</f>
        <v>1057.99</v>
      </c>
      <c r="K52" s="166"/>
      <c r="L52" s="166"/>
      <c r="M52" s="169"/>
      <c r="N52" s="166"/>
      <c r="O52" s="166"/>
      <c r="P52" s="166"/>
      <c r="Q52" s="166"/>
      <c r="R52" s="166"/>
      <c r="S52" s="166"/>
      <c r="T52" s="166"/>
      <c r="U52" s="167"/>
      <c r="V52" s="168"/>
      <c r="W52" s="110"/>
      <c r="X52" s="110"/>
    </row>
    <row r="53" spans="1:24" x14ac:dyDescent="0.25">
      <c r="A53" s="1017" t="s">
        <v>46</v>
      </c>
      <c r="B53" s="1018"/>
      <c r="C53" s="1018"/>
      <c r="D53" s="1018"/>
      <c r="E53" s="1018"/>
      <c r="F53" s="1018"/>
      <c r="G53" s="1018"/>
      <c r="H53" s="1018"/>
      <c r="I53" s="1018"/>
      <c r="J53" s="379"/>
      <c r="K53" s="98"/>
      <c r="L53" s="98"/>
      <c r="M53" s="98"/>
      <c r="N53" s="98"/>
      <c r="O53" s="98"/>
      <c r="P53" s="98"/>
      <c r="Q53" s="98"/>
      <c r="R53" s="98"/>
      <c r="S53" s="98"/>
      <c r="T53" s="98"/>
      <c r="U53" s="98"/>
      <c r="V53" s="98"/>
      <c r="W53" s="97"/>
    </row>
    <row r="54" spans="1:24" x14ac:dyDescent="0.25">
      <c r="A54" s="102" t="s">
        <v>393</v>
      </c>
      <c r="B54" s="103"/>
      <c r="C54" s="48"/>
      <c r="D54" s="314">
        <v>12</v>
      </c>
      <c r="E54" s="314">
        <v>3</v>
      </c>
      <c r="F54" s="349">
        <v>1647</v>
      </c>
      <c r="G54" s="370">
        <v>1650</v>
      </c>
      <c r="H54" s="370">
        <v>171.875</v>
      </c>
      <c r="I54" s="376">
        <v>0.7</v>
      </c>
      <c r="J54" s="463">
        <f>ROUND((G54+H54)*('29_01_H_2020'!$F$14)*I54*12*1.2409,2)</f>
        <v>1899.04</v>
      </c>
      <c r="K54" s="166"/>
      <c r="L54" s="166"/>
      <c r="M54" s="169"/>
      <c r="N54" s="166"/>
      <c r="O54" s="166"/>
      <c r="P54" s="166"/>
      <c r="Q54" s="166"/>
      <c r="R54" s="166"/>
      <c r="S54" s="166"/>
      <c r="T54" s="166"/>
      <c r="U54" s="167"/>
      <c r="V54" s="168"/>
      <c r="W54" s="110"/>
      <c r="X54" s="110"/>
    </row>
    <row r="55" spans="1:24" x14ac:dyDescent="0.25">
      <c r="A55" s="102" t="s">
        <v>393</v>
      </c>
      <c r="B55" s="103"/>
      <c r="C55" s="48"/>
      <c r="D55" s="314">
        <v>9</v>
      </c>
      <c r="E55" s="314">
        <v>3</v>
      </c>
      <c r="F55" s="349">
        <v>1190</v>
      </c>
      <c r="G55" s="370">
        <v>1100</v>
      </c>
      <c r="H55" s="370">
        <v>114.58333333333334</v>
      </c>
      <c r="I55" s="376">
        <v>0.3</v>
      </c>
      <c r="J55" s="463">
        <f>ROUND((G55+H55)*('29_01_H_2020'!$F$14)*I55*12*1.2409,2)</f>
        <v>542.58000000000004</v>
      </c>
      <c r="K55" s="166"/>
      <c r="L55" s="166"/>
      <c r="M55" s="169"/>
      <c r="N55" s="166"/>
      <c r="O55" s="166"/>
      <c r="P55" s="166"/>
      <c r="Q55" s="166"/>
      <c r="R55" s="166"/>
      <c r="S55" s="166"/>
      <c r="T55" s="166"/>
      <c r="U55" s="167"/>
      <c r="V55" s="168"/>
      <c r="W55" s="110"/>
      <c r="X55" s="110"/>
    </row>
    <row r="56" spans="1:24" x14ac:dyDescent="0.25">
      <c r="A56" s="102" t="s">
        <v>364</v>
      </c>
      <c r="B56" s="103"/>
      <c r="C56" s="48"/>
      <c r="D56" s="314">
        <v>9</v>
      </c>
      <c r="E56" s="314">
        <v>3</v>
      </c>
      <c r="F56" s="349">
        <v>1190</v>
      </c>
      <c r="G56" s="370">
        <v>1250</v>
      </c>
      <c r="H56" s="370">
        <v>130.20833333333334</v>
      </c>
      <c r="I56" s="376">
        <v>0.7</v>
      </c>
      <c r="J56" s="463">
        <f>ROUND((G56+H56)*('29_01_H_2020'!$F$14)*I56*12*1.2409,2)</f>
        <v>1438.67</v>
      </c>
      <c r="K56" s="166"/>
      <c r="L56" s="166"/>
      <c r="M56" s="169"/>
      <c r="N56" s="166"/>
      <c r="O56" s="166"/>
      <c r="P56" s="166"/>
      <c r="Q56" s="166"/>
      <c r="R56" s="166"/>
      <c r="S56" s="166"/>
      <c r="T56" s="166"/>
      <c r="U56" s="167"/>
      <c r="V56" s="168"/>
      <c r="W56" s="110"/>
      <c r="X56" s="110"/>
    </row>
    <row r="57" spans="1:24" x14ac:dyDescent="0.25">
      <c r="A57" s="102" t="s">
        <v>364</v>
      </c>
      <c r="B57" s="103"/>
      <c r="C57" s="48"/>
      <c r="D57" s="314">
        <v>9</v>
      </c>
      <c r="E57" s="314">
        <v>3</v>
      </c>
      <c r="F57" s="349">
        <v>1190</v>
      </c>
      <c r="G57" s="370">
        <v>1150</v>
      </c>
      <c r="H57" s="370">
        <v>119.79166666666666</v>
      </c>
      <c r="I57" s="376">
        <v>0.6</v>
      </c>
      <c r="J57" s="463">
        <f>ROUND((G57+H57)*('29_01_H_2020'!$F$14)*I57*12*1.2409,2)</f>
        <v>1134.49</v>
      </c>
      <c r="K57" s="166"/>
      <c r="L57" s="166"/>
      <c r="M57" s="169"/>
      <c r="N57" s="166"/>
      <c r="O57" s="166"/>
      <c r="P57" s="166"/>
      <c r="Q57" s="166"/>
      <c r="R57" s="166"/>
      <c r="S57" s="166"/>
      <c r="T57" s="166"/>
      <c r="U57" s="167"/>
      <c r="V57" s="168"/>
      <c r="W57" s="110"/>
      <c r="X57" s="110"/>
    </row>
    <row r="58" spans="1:24" x14ac:dyDescent="0.25">
      <c r="A58" s="102" t="s">
        <v>364</v>
      </c>
      <c r="B58" s="103"/>
      <c r="C58" s="48"/>
      <c r="D58" s="314">
        <v>9</v>
      </c>
      <c r="E58" s="314">
        <v>3</v>
      </c>
      <c r="F58" s="349">
        <v>1190</v>
      </c>
      <c r="G58" s="370">
        <v>1150</v>
      </c>
      <c r="H58" s="370">
        <v>119.79166666666666</v>
      </c>
      <c r="I58" s="376">
        <v>0.2</v>
      </c>
      <c r="J58" s="463">
        <f>ROUND((G58+H58)*('29_01_H_2020'!$F$14)*I58*12*1.2409,2)</f>
        <v>378.16</v>
      </c>
      <c r="K58" s="166"/>
      <c r="L58" s="166"/>
      <c r="M58" s="169"/>
      <c r="N58" s="166"/>
      <c r="O58" s="166"/>
      <c r="P58" s="166"/>
      <c r="Q58" s="166"/>
      <c r="R58" s="166"/>
      <c r="S58" s="166"/>
      <c r="T58" s="166"/>
      <c r="U58" s="167"/>
      <c r="V58" s="168"/>
      <c r="W58" s="110"/>
      <c r="X58" s="110"/>
    </row>
    <row r="59" spans="1:24" x14ac:dyDescent="0.25">
      <c r="A59" s="102" t="s">
        <v>394</v>
      </c>
      <c r="B59" s="103"/>
      <c r="C59" s="48"/>
      <c r="D59" s="314">
        <v>4</v>
      </c>
      <c r="E59" s="314">
        <v>3</v>
      </c>
      <c r="F59" s="349">
        <v>705</v>
      </c>
      <c r="G59" s="370">
        <v>770</v>
      </c>
      <c r="H59" s="370">
        <v>80.208333333333343</v>
      </c>
      <c r="I59" s="376">
        <v>1</v>
      </c>
      <c r="J59" s="463">
        <f>ROUND((G59+H59)*('29_01_H_2020'!$F$14)*I59*12*1.2409,2)</f>
        <v>1266.03</v>
      </c>
      <c r="K59" s="166"/>
      <c r="L59" s="166"/>
      <c r="M59" s="169"/>
      <c r="N59" s="166"/>
      <c r="O59" s="166"/>
      <c r="P59" s="166"/>
      <c r="Q59" s="166"/>
      <c r="R59" s="166"/>
      <c r="S59" s="166"/>
      <c r="T59" s="166"/>
      <c r="U59" s="167"/>
      <c r="V59" s="168"/>
      <c r="W59" s="110"/>
      <c r="X59" s="110"/>
    </row>
    <row r="60" spans="1:24" x14ac:dyDescent="0.25">
      <c r="A60" s="102" t="s">
        <v>394</v>
      </c>
      <c r="B60" s="103"/>
      <c r="C60" s="48"/>
      <c r="D60" s="314">
        <v>4</v>
      </c>
      <c r="E60" s="314">
        <v>3</v>
      </c>
      <c r="F60" s="349">
        <v>705</v>
      </c>
      <c r="G60" s="370">
        <v>770</v>
      </c>
      <c r="H60" s="370">
        <v>80.208333333333343</v>
      </c>
      <c r="I60" s="376">
        <v>1</v>
      </c>
      <c r="J60" s="463">
        <f>ROUND((G60+H60)*('29_01_H_2020'!$F$14)*I60*12*1.2409,2)</f>
        <v>1266.03</v>
      </c>
      <c r="K60" s="166"/>
      <c r="L60" s="166"/>
      <c r="M60" s="169"/>
      <c r="N60" s="166"/>
      <c r="O60" s="166"/>
      <c r="P60" s="166"/>
      <c r="Q60" s="166"/>
      <c r="R60" s="166"/>
      <c r="S60" s="166"/>
      <c r="T60" s="166"/>
      <c r="U60" s="167"/>
      <c r="V60" s="168"/>
      <c r="W60" s="110"/>
      <c r="X60" s="110"/>
    </row>
    <row r="61" spans="1:24" x14ac:dyDescent="0.25">
      <c r="A61" s="102" t="s">
        <v>394</v>
      </c>
      <c r="B61" s="103"/>
      <c r="C61" s="48"/>
      <c r="D61" s="314">
        <v>4</v>
      </c>
      <c r="E61" s="314">
        <v>3</v>
      </c>
      <c r="F61" s="349">
        <v>705</v>
      </c>
      <c r="G61" s="370">
        <v>640</v>
      </c>
      <c r="H61" s="370">
        <v>66.666666666666671</v>
      </c>
      <c r="I61" s="376">
        <v>1</v>
      </c>
      <c r="J61" s="463">
        <f>ROUND((G61+H61)*('29_01_H_2020'!$F$14)*I61*12*1.2409,2)</f>
        <v>1052.28</v>
      </c>
      <c r="K61" s="166"/>
      <c r="L61" s="166"/>
      <c r="M61" s="169"/>
      <c r="N61" s="166"/>
      <c r="O61" s="166"/>
      <c r="P61" s="166"/>
      <c r="Q61" s="166"/>
      <c r="R61" s="166"/>
      <c r="S61" s="166"/>
      <c r="T61" s="166"/>
      <c r="U61" s="167"/>
      <c r="V61" s="168"/>
      <c r="W61" s="110"/>
      <c r="X61" s="110"/>
    </row>
    <row r="62" spans="1:24" x14ac:dyDescent="0.25">
      <c r="A62" s="102" t="s">
        <v>394</v>
      </c>
      <c r="B62" s="103"/>
      <c r="C62" s="48"/>
      <c r="D62" s="314">
        <v>4</v>
      </c>
      <c r="E62" s="314">
        <v>3</v>
      </c>
      <c r="F62" s="349">
        <v>705</v>
      </c>
      <c r="G62" s="370">
        <v>640</v>
      </c>
      <c r="H62" s="370">
        <v>66.666666666666671</v>
      </c>
      <c r="I62" s="376">
        <v>1</v>
      </c>
      <c r="J62" s="463">
        <f>ROUND((G62+H62)*('29_01_H_2020'!$F$14)*I62*12*1.2409,2)</f>
        <v>1052.28</v>
      </c>
      <c r="K62" s="166"/>
      <c r="L62" s="166"/>
      <c r="M62" s="169"/>
      <c r="N62" s="166"/>
      <c r="O62" s="166"/>
      <c r="P62" s="166"/>
      <c r="Q62" s="166"/>
      <c r="R62" s="166"/>
      <c r="S62" s="166"/>
      <c r="T62" s="166"/>
      <c r="U62" s="167"/>
      <c r="V62" s="168"/>
      <c r="W62" s="110"/>
      <c r="X62" s="110"/>
    </row>
    <row r="63" spans="1:24" x14ac:dyDescent="0.25">
      <c r="A63" s="99" t="s">
        <v>395</v>
      </c>
      <c r="B63" s="2"/>
      <c r="C63" s="1"/>
      <c r="D63" s="314">
        <v>2</v>
      </c>
      <c r="E63" s="314">
        <v>3</v>
      </c>
      <c r="F63" s="349">
        <v>530</v>
      </c>
      <c r="G63" s="370">
        <v>510</v>
      </c>
      <c r="H63" s="370">
        <v>53.125</v>
      </c>
      <c r="I63" s="393">
        <v>0.6</v>
      </c>
      <c r="J63" s="463">
        <f>ROUND((G63+H63)*('29_01_H_2020'!$F$14)*I63*12*1.2409,2)</f>
        <v>503.12</v>
      </c>
      <c r="K63" s="166"/>
      <c r="L63" s="166"/>
      <c r="M63" s="169"/>
      <c r="N63" s="166"/>
      <c r="O63" s="166"/>
      <c r="P63" s="166"/>
      <c r="Q63" s="166"/>
      <c r="R63" s="166"/>
      <c r="S63" s="166"/>
      <c r="T63" s="166"/>
      <c r="U63" s="167"/>
      <c r="V63" s="168"/>
      <c r="W63" s="110"/>
      <c r="X63" s="110"/>
    </row>
    <row r="64" spans="1:24" x14ac:dyDescent="0.25">
      <c r="A64" s="99" t="s">
        <v>395</v>
      </c>
      <c r="B64" s="100"/>
      <c r="C64" s="101"/>
      <c r="D64" s="314">
        <v>2</v>
      </c>
      <c r="E64" s="314">
        <v>3</v>
      </c>
      <c r="F64" s="349">
        <v>530</v>
      </c>
      <c r="G64" s="371">
        <v>510</v>
      </c>
      <c r="H64" s="370">
        <v>53.125</v>
      </c>
      <c r="I64" s="461">
        <v>0.6</v>
      </c>
      <c r="J64" s="463">
        <f>ROUND((G64+H64)*('29_01_H_2020'!$F$14)*I64*12*1.2409,2)</f>
        <v>503.12</v>
      </c>
      <c r="K64" s="166"/>
      <c r="L64" s="166"/>
      <c r="M64" s="169"/>
      <c r="N64" s="166"/>
      <c r="O64" s="166"/>
      <c r="P64" s="166"/>
      <c r="Q64" s="166"/>
      <c r="R64" s="166"/>
      <c r="S64" s="166"/>
      <c r="T64" s="166"/>
      <c r="U64" s="167"/>
      <c r="V64" s="168"/>
      <c r="W64" s="110"/>
      <c r="X64" s="110"/>
    </row>
    <row r="65" spans="1:24" ht="15.75" thickBot="1" x14ac:dyDescent="0.3">
      <c r="A65" s="104" t="s">
        <v>396</v>
      </c>
      <c r="B65" s="100"/>
      <c r="C65" s="101"/>
      <c r="D65" s="314">
        <v>2</v>
      </c>
      <c r="E65" s="314">
        <v>3</v>
      </c>
      <c r="F65" s="349">
        <v>530</v>
      </c>
      <c r="G65" s="371">
        <v>510</v>
      </c>
      <c r="H65" s="370">
        <v>53.125</v>
      </c>
      <c r="I65" s="461">
        <v>0.5</v>
      </c>
      <c r="J65" s="463">
        <f>ROUND((G65+H65)*('29_01_H_2020'!$F$14)*I65*12*1.2409,2)</f>
        <v>419.27</v>
      </c>
      <c r="K65" s="166"/>
      <c r="L65" s="166"/>
      <c r="M65" s="169"/>
      <c r="N65" s="166"/>
      <c r="O65" s="166"/>
      <c r="P65" s="166"/>
      <c r="Q65" s="166"/>
      <c r="R65" s="166"/>
      <c r="S65" s="166"/>
      <c r="T65" s="166"/>
      <c r="U65" s="167"/>
      <c r="V65" s="168"/>
      <c r="W65" s="110"/>
      <c r="X65" s="110"/>
    </row>
    <row r="66" spans="1:24" ht="15.75" thickBot="1" x14ac:dyDescent="0.3">
      <c r="A66" s="464" t="s">
        <v>55</v>
      </c>
      <c r="B66" s="465" t="s">
        <v>52</v>
      </c>
      <c r="C66" s="465"/>
      <c r="D66" s="465" t="s">
        <v>52</v>
      </c>
      <c r="E66" s="465" t="s">
        <v>52</v>
      </c>
      <c r="F66" s="465" t="s">
        <v>52</v>
      </c>
      <c r="G66" s="465" t="s">
        <v>52</v>
      </c>
      <c r="H66" s="465" t="s">
        <v>52</v>
      </c>
      <c r="I66" s="466">
        <f>SUM(I8:I31,I33:I52,I54:I65)</f>
        <v>30.250000000000004</v>
      </c>
      <c r="J66" s="467">
        <f>SUM(J8:J31,J33:J52,J54:J65)</f>
        <v>55931.6</v>
      </c>
      <c r="K66" s="98"/>
      <c r="L66" s="98"/>
      <c r="M66" s="98"/>
      <c r="N66" s="98"/>
      <c r="O66" s="98"/>
      <c r="P66" s="98"/>
      <c r="Q66" s="98"/>
      <c r="R66" s="98"/>
      <c r="S66" s="98"/>
      <c r="T66" s="98"/>
      <c r="U66" s="98"/>
      <c r="V66" s="98"/>
      <c r="W66" s="97"/>
    </row>
    <row r="67" spans="1:24" x14ac:dyDescent="0.25">
      <c r="J67" s="98"/>
      <c r="K67" s="380"/>
      <c r="L67" s="98"/>
      <c r="M67" s="98"/>
      <c r="N67" s="98"/>
      <c r="O67" s="98"/>
      <c r="P67" s="98"/>
      <c r="Q67" s="98"/>
      <c r="R67" s="98"/>
      <c r="S67" s="98"/>
      <c r="T67" s="98"/>
      <c r="U67" s="98"/>
      <c r="V67" s="98"/>
      <c r="W67" s="97"/>
    </row>
    <row r="68" spans="1:24" x14ac:dyDescent="0.25">
      <c r="J68" s="98"/>
      <c r="K68" s="98"/>
      <c r="L68" s="98"/>
      <c r="M68" s="98"/>
      <c r="N68" s="98"/>
      <c r="O68" s="98"/>
      <c r="P68" s="98"/>
      <c r="Q68" s="98"/>
      <c r="R68" s="98"/>
      <c r="S68" s="98"/>
      <c r="T68" s="98"/>
      <c r="U68" s="98"/>
      <c r="V68" s="98"/>
      <c r="W68" s="97"/>
    </row>
    <row r="69" spans="1:24" x14ac:dyDescent="0.25">
      <c r="J69" s="97"/>
      <c r="K69" s="98"/>
      <c r="L69" s="98"/>
      <c r="M69" s="98"/>
      <c r="N69" s="98"/>
      <c r="O69" s="98"/>
      <c r="P69" s="98"/>
      <c r="Q69" s="98"/>
      <c r="R69" s="98"/>
      <c r="S69" s="98"/>
      <c r="T69" s="98"/>
      <c r="U69" s="98"/>
      <c r="V69" s="98"/>
      <c r="W69" s="97"/>
    </row>
    <row r="70" spans="1:24" x14ac:dyDescent="0.25">
      <c r="J70" s="97"/>
      <c r="K70" s="98"/>
      <c r="L70" s="98"/>
      <c r="M70" s="98"/>
      <c r="N70" s="98"/>
      <c r="O70" s="98"/>
      <c r="P70" s="98"/>
      <c r="Q70" s="98"/>
      <c r="R70" s="98"/>
      <c r="S70" s="98"/>
      <c r="T70" s="98"/>
      <c r="U70" s="98"/>
      <c r="V70" s="98"/>
      <c r="W70" s="97"/>
    </row>
    <row r="71" spans="1:24" x14ac:dyDescent="0.25">
      <c r="J71" s="97"/>
      <c r="K71" s="98"/>
      <c r="L71" s="98"/>
      <c r="M71" s="98"/>
      <c r="N71" s="98"/>
      <c r="O71" s="98"/>
      <c r="P71" s="98"/>
      <c r="Q71" s="98"/>
      <c r="R71" s="98"/>
      <c r="S71" s="98"/>
      <c r="T71" s="98"/>
      <c r="U71" s="98"/>
      <c r="V71" s="98"/>
      <c r="W71" s="97"/>
    </row>
    <row r="72" spans="1:24" x14ac:dyDescent="0.25">
      <c r="J72" s="97"/>
      <c r="K72" s="98"/>
      <c r="L72" s="98"/>
      <c r="M72" s="98"/>
      <c r="N72" s="98"/>
      <c r="O72" s="98"/>
      <c r="P72" s="98"/>
      <c r="Q72" s="98"/>
      <c r="R72" s="98"/>
      <c r="S72" s="98"/>
      <c r="T72" s="98"/>
      <c r="U72" s="98"/>
      <c r="V72" s="98"/>
      <c r="W72" s="97"/>
    </row>
    <row r="73" spans="1:24" x14ac:dyDescent="0.25">
      <c r="J73" s="97"/>
      <c r="K73" s="98"/>
      <c r="L73" s="98"/>
      <c r="M73" s="98"/>
      <c r="N73" s="98"/>
      <c r="O73" s="98"/>
      <c r="P73" s="98"/>
      <c r="Q73" s="98"/>
      <c r="R73" s="98"/>
      <c r="S73" s="98"/>
      <c r="T73" s="98"/>
      <c r="U73" s="98"/>
      <c r="V73" s="98"/>
      <c r="W73" s="97"/>
    </row>
    <row r="74" spans="1:24" x14ac:dyDescent="0.25">
      <c r="J74" s="97"/>
      <c r="K74" s="98"/>
      <c r="L74" s="98"/>
      <c r="M74" s="98"/>
      <c r="N74" s="98"/>
      <c r="O74" s="98"/>
      <c r="P74" s="98"/>
      <c r="Q74" s="98"/>
      <c r="R74" s="98"/>
      <c r="S74" s="98"/>
      <c r="T74" s="98"/>
      <c r="U74" s="98"/>
      <c r="V74" s="98"/>
      <c r="W74" s="97"/>
    </row>
    <row r="75" spans="1:24" x14ac:dyDescent="0.25">
      <c r="J75" s="97"/>
      <c r="K75" s="98"/>
      <c r="L75" s="98"/>
      <c r="M75" s="98"/>
      <c r="N75" s="98"/>
      <c r="O75" s="98"/>
      <c r="P75" s="98"/>
      <c r="Q75" s="98"/>
      <c r="R75" s="98"/>
      <c r="S75" s="98"/>
      <c r="T75" s="98"/>
      <c r="U75" s="98"/>
      <c r="V75" s="98"/>
      <c r="W75" s="97"/>
    </row>
    <row r="76" spans="1:24" x14ac:dyDescent="0.25">
      <c r="J76" s="97"/>
      <c r="K76" s="98"/>
      <c r="L76" s="98"/>
      <c r="M76" s="98"/>
      <c r="N76" s="98"/>
      <c r="O76" s="98"/>
      <c r="P76" s="98"/>
      <c r="Q76" s="98"/>
      <c r="R76" s="98"/>
      <c r="S76" s="98"/>
      <c r="T76" s="98"/>
      <c r="U76" s="98"/>
      <c r="V76" s="98"/>
      <c r="W76" s="97"/>
    </row>
    <row r="77" spans="1:24" x14ac:dyDescent="0.25">
      <c r="J77" s="97"/>
      <c r="K77" s="98"/>
      <c r="L77" s="98"/>
      <c r="M77" s="98"/>
      <c r="N77" s="98"/>
      <c r="O77" s="98"/>
      <c r="P77" s="98"/>
      <c r="Q77" s="98"/>
      <c r="R77" s="98"/>
      <c r="S77" s="98"/>
      <c r="T77" s="98"/>
      <c r="U77" s="98"/>
      <c r="V77" s="98"/>
      <c r="W77" s="97"/>
    </row>
    <row r="78" spans="1:24" x14ac:dyDescent="0.25">
      <c r="J78" s="97"/>
      <c r="K78" s="98"/>
      <c r="L78" s="98"/>
      <c r="M78" s="98"/>
      <c r="N78" s="98"/>
      <c r="O78" s="98"/>
      <c r="P78" s="98"/>
      <c r="Q78" s="98"/>
      <c r="R78" s="98"/>
      <c r="S78" s="98"/>
      <c r="T78" s="98"/>
      <c r="U78" s="98"/>
      <c r="V78" s="98"/>
      <c r="W78" s="97"/>
    </row>
    <row r="79" spans="1:24" x14ac:dyDescent="0.25">
      <c r="J79" s="97"/>
      <c r="K79" s="98"/>
      <c r="L79" s="98"/>
      <c r="M79" s="98"/>
      <c r="N79" s="98"/>
      <c r="O79" s="98"/>
      <c r="P79" s="98"/>
      <c r="Q79" s="98"/>
      <c r="R79" s="98"/>
      <c r="S79" s="98"/>
      <c r="T79" s="98"/>
      <c r="U79" s="98"/>
      <c r="V79" s="98"/>
      <c r="W79" s="97"/>
    </row>
    <row r="80" spans="1:24" x14ac:dyDescent="0.25">
      <c r="J80" s="97"/>
      <c r="K80" s="98"/>
      <c r="L80" s="98"/>
      <c r="M80" s="98"/>
      <c r="N80" s="98"/>
      <c r="O80" s="98"/>
      <c r="P80" s="98"/>
      <c r="Q80" s="98"/>
      <c r="R80" s="98"/>
      <c r="S80" s="98"/>
      <c r="T80" s="98"/>
      <c r="U80" s="98"/>
      <c r="V80" s="98"/>
      <c r="W80" s="97"/>
    </row>
    <row r="81" spans="10:23" x14ac:dyDescent="0.25">
      <c r="J81" s="97"/>
      <c r="K81" s="98"/>
      <c r="L81" s="98"/>
      <c r="M81" s="98"/>
      <c r="N81" s="98"/>
      <c r="O81" s="98"/>
      <c r="P81" s="98"/>
      <c r="Q81" s="98"/>
      <c r="R81" s="98"/>
      <c r="S81" s="98"/>
      <c r="T81" s="98"/>
      <c r="U81" s="98"/>
      <c r="V81" s="98"/>
      <c r="W81" s="97"/>
    </row>
    <row r="82" spans="10:23" x14ac:dyDescent="0.25">
      <c r="J82" s="97"/>
      <c r="K82" s="98"/>
      <c r="L82" s="98"/>
      <c r="M82" s="98"/>
      <c r="N82" s="98"/>
      <c r="O82" s="98"/>
      <c r="P82" s="98"/>
      <c r="Q82" s="98"/>
      <c r="R82" s="98"/>
      <c r="S82" s="98"/>
      <c r="T82" s="98"/>
      <c r="U82" s="98"/>
      <c r="V82" s="98"/>
      <c r="W82" s="97"/>
    </row>
    <row r="83" spans="10:23" x14ac:dyDescent="0.25">
      <c r="J83" s="97"/>
      <c r="K83" s="98"/>
      <c r="L83" s="98"/>
      <c r="M83" s="98"/>
      <c r="N83" s="98"/>
      <c r="O83" s="98"/>
      <c r="P83" s="98"/>
      <c r="Q83" s="98"/>
      <c r="R83" s="98"/>
      <c r="S83" s="98"/>
      <c r="T83" s="98"/>
      <c r="U83" s="98"/>
      <c r="V83" s="98"/>
      <c r="W83" s="97"/>
    </row>
    <row r="84" spans="10:23" x14ac:dyDescent="0.25">
      <c r="J84" s="97"/>
      <c r="K84" s="98"/>
      <c r="L84" s="98"/>
      <c r="M84" s="98"/>
      <c r="N84" s="98"/>
      <c r="O84" s="98"/>
      <c r="P84" s="98"/>
      <c r="Q84" s="98"/>
      <c r="R84" s="98"/>
      <c r="S84" s="98"/>
      <c r="T84" s="98"/>
      <c r="U84" s="98"/>
      <c r="V84" s="98"/>
      <c r="W84" s="97"/>
    </row>
    <row r="85" spans="10:23" x14ac:dyDescent="0.25">
      <c r="J85" s="97"/>
      <c r="K85" s="98"/>
      <c r="L85" s="98"/>
      <c r="M85" s="98"/>
      <c r="N85" s="98"/>
      <c r="O85" s="98"/>
      <c r="P85" s="98"/>
      <c r="Q85" s="98"/>
      <c r="R85" s="98"/>
      <c r="S85" s="98"/>
      <c r="T85" s="98"/>
      <c r="U85" s="98"/>
      <c r="V85" s="98"/>
      <c r="W85" s="97"/>
    </row>
    <row r="86" spans="10:23" x14ac:dyDescent="0.25">
      <c r="J86" s="97"/>
      <c r="K86" s="98"/>
      <c r="L86" s="98"/>
      <c r="M86" s="98"/>
      <c r="N86" s="98"/>
      <c r="O86" s="98"/>
      <c r="P86" s="98"/>
      <c r="Q86" s="98"/>
      <c r="R86" s="98"/>
      <c r="S86" s="98"/>
      <c r="T86" s="98"/>
      <c r="U86" s="98"/>
      <c r="V86" s="98"/>
      <c r="W86" s="97"/>
    </row>
    <row r="87" spans="10:23" x14ac:dyDescent="0.25">
      <c r="J87" s="97"/>
      <c r="K87" s="98"/>
      <c r="L87" s="98"/>
      <c r="M87" s="98"/>
      <c r="N87" s="98"/>
      <c r="O87" s="98"/>
      <c r="P87" s="98"/>
      <c r="Q87" s="98"/>
      <c r="R87" s="98"/>
      <c r="S87" s="98"/>
      <c r="T87" s="98"/>
      <c r="U87" s="98"/>
      <c r="V87" s="98"/>
      <c r="W87" s="97"/>
    </row>
    <row r="88" spans="10:23" x14ac:dyDescent="0.25">
      <c r="J88" s="97"/>
      <c r="K88" s="98"/>
      <c r="L88" s="98"/>
      <c r="M88" s="98"/>
      <c r="N88" s="98"/>
      <c r="O88" s="98"/>
      <c r="P88" s="98"/>
      <c r="Q88" s="98"/>
      <c r="R88" s="98"/>
      <c r="S88" s="98"/>
      <c r="T88" s="98"/>
      <c r="U88" s="98"/>
      <c r="V88" s="98"/>
      <c r="W88" s="97"/>
    </row>
    <row r="89" spans="10:23" x14ac:dyDescent="0.25">
      <c r="J89" s="97"/>
      <c r="K89" s="98"/>
      <c r="L89" s="98"/>
      <c r="M89" s="98"/>
      <c r="N89" s="98"/>
      <c r="O89" s="98"/>
      <c r="P89" s="98"/>
      <c r="Q89" s="98"/>
      <c r="R89" s="98"/>
      <c r="S89" s="98"/>
      <c r="T89" s="98"/>
      <c r="U89" s="98"/>
      <c r="V89" s="98"/>
      <c r="W89" s="97"/>
    </row>
    <row r="90" spans="10:23" x14ac:dyDescent="0.25">
      <c r="J90" s="97"/>
      <c r="K90" s="98"/>
      <c r="L90" s="98"/>
      <c r="M90" s="98"/>
      <c r="N90" s="98"/>
      <c r="O90" s="98"/>
      <c r="P90" s="98"/>
      <c r="Q90" s="98"/>
      <c r="R90" s="98"/>
      <c r="S90" s="98"/>
      <c r="T90" s="98"/>
      <c r="U90" s="98"/>
      <c r="V90" s="98"/>
      <c r="W90" s="97"/>
    </row>
    <row r="91" spans="10:23" x14ac:dyDescent="0.25">
      <c r="J91" s="97"/>
      <c r="K91" s="98"/>
      <c r="L91" s="98"/>
      <c r="M91" s="98"/>
      <c r="N91" s="98"/>
      <c r="O91" s="98"/>
      <c r="P91" s="98"/>
      <c r="Q91" s="98"/>
      <c r="R91" s="98"/>
      <c r="S91" s="98"/>
      <c r="T91" s="98"/>
      <c r="U91" s="98"/>
      <c r="V91" s="98"/>
      <c r="W91" s="97"/>
    </row>
    <row r="92" spans="10:23" x14ac:dyDescent="0.25">
      <c r="J92" s="97"/>
      <c r="K92" s="98"/>
      <c r="L92" s="98"/>
      <c r="M92" s="98"/>
      <c r="N92" s="98"/>
      <c r="O92" s="98"/>
      <c r="P92" s="98"/>
      <c r="Q92" s="98"/>
      <c r="R92" s="98"/>
      <c r="S92" s="98"/>
      <c r="T92" s="98"/>
      <c r="U92" s="98"/>
      <c r="V92" s="98"/>
      <c r="W92" s="97"/>
    </row>
    <row r="93" spans="10:23" x14ac:dyDescent="0.25">
      <c r="J93" s="97"/>
      <c r="K93" s="98"/>
      <c r="L93" s="98"/>
      <c r="M93" s="98"/>
      <c r="N93" s="98"/>
      <c r="O93" s="98"/>
      <c r="P93" s="98"/>
      <c r="Q93" s="98"/>
      <c r="R93" s="98"/>
      <c r="S93" s="98"/>
      <c r="T93" s="98"/>
      <c r="U93" s="98"/>
      <c r="V93" s="98"/>
      <c r="W93" s="97"/>
    </row>
    <row r="94" spans="10:23" x14ac:dyDescent="0.25">
      <c r="J94" s="97"/>
      <c r="K94" s="98"/>
      <c r="L94" s="98"/>
      <c r="M94" s="98"/>
      <c r="N94" s="98"/>
      <c r="O94" s="98"/>
      <c r="P94" s="98"/>
      <c r="Q94" s="98"/>
      <c r="R94" s="98"/>
      <c r="S94" s="98"/>
      <c r="T94" s="98"/>
      <c r="U94" s="98"/>
      <c r="V94" s="98"/>
      <c r="W94" s="97"/>
    </row>
    <row r="95" spans="10:23" x14ac:dyDescent="0.25">
      <c r="J95" s="97"/>
      <c r="K95" s="98"/>
      <c r="L95" s="98"/>
      <c r="M95" s="98"/>
      <c r="N95" s="98"/>
      <c r="O95" s="98"/>
      <c r="P95" s="98"/>
      <c r="Q95" s="98"/>
      <c r="R95" s="98"/>
      <c r="S95" s="98"/>
      <c r="T95" s="98"/>
      <c r="U95" s="98"/>
      <c r="V95" s="98"/>
      <c r="W95" s="97"/>
    </row>
    <row r="96" spans="10:23" x14ac:dyDescent="0.25">
      <c r="J96" s="97"/>
      <c r="K96" s="98"/>
      <c r="L96" s="98"/>
      <c r="M96" s="98"/>
      <c r="N96" s="98"/>
      <c r="O96" s="98"/>
      <c r="P96" s="98"/>
      <c r="Q96" s="98"/>
      <c r="R96" s="98"/>
      <c r="S96" s="98"/>
      <c r="T96" s="98"/>
      <c r="U96" s="98"/>
      <c r="V96" s="98"/>
      <c r="W96" s="97"/>
    </row>
    <row r="97" spans="10:23" x14ac:dyDescent="0.25">
      <c r="J97" s="97"/>
      <c r="K97" s="98"/>
      <c r="L97" s="98"/>
      <c r="M97" s="98"/>
      <c r="N97" s="98"/>
      <c r="O97" s="98"/>
      <c r="P97" s="98"/>
      <c r="Q97" s="98"/>
      <c r="R97" s="98"/>
      <c r="S97" s="98"/>
      <c r="T97" s="98"/>
      <c r="U97" s="98"/>
      <c r="V97" s="98"/>
      <c r="W97" s="97"/>
    </row>
    <row r="98" spans="10:23" x14ac:dyDescent="0.25">
      <c r="J98" s="97"/>
      <c r="K98" s="98"/>
      <c r="L98" s="98"/>
      <c r="M98" s="98"/>
      <c r="N98" s="98"/>
      <c r="O98" s="98"/>
      <c r="P98" s="98"/>
      <c r="Q98" s="98"/>
      <c r="R98" s="98"/>
      <c r="S98" s="98"/>
      <c r="T98" s="98"/>
      <c r="U98" s="98"/>
      <c r="V98" s="98"/>
      <c r="W98" s="97"/>
    </row>
    <row r="99" spans="10:23" x14ac:dyDescent="0.25">
      <c r="J99" s="97"/>
      <c r="K99" s="98"/>
      <c r="L99" s="98"/>
      <c r="M99" s="98"/>
      <c r="N99" s="98"/>
      <c r="O99" s="98"/>
      <c r="P99" s="98"/>
      <c r="Q99" s="98"/>
      <c r="R99" s="98"/>
      <c r="S99" s="98"/>
      <c r="T99" s="98"/>
      <c r="U99" s="98"/>
      <c r="V99" s="98"/>
      <c r="W99" s="97"/>
    </row>
    <row r="100" spans="10:23" x14ac:dyDescent="0.25">
      <c r="J100" s="97"/>
      <c r="K100" s="98"/>
      <c r="L100" s="98"/>
      <c r="M100" s="98"/>
      <c r="N100" s="98"/>
      <c r="O100" s="98"/>
      <c r="P100" s="98"/>
      <c r="Q100" s="98"/>
      <c r="R100" s="98"/>
      <c r="S100" s="98"/>
      <c r="T100" s="98"/>
      <c r="U100" s="98"/>
      <c r="V100" s="98"/>
      <c r="W100" s="97"/>
    </row>
    <row r="101" spans="10:23" x14ac:dyDescent="0.25">
      <c r="J101" s="97"/>
      <c r="K101" s="98"/>
      <c r="L101" s="98"/>
      <c r="M101" s="98"/>
      <c r="N101" s="98"/>
      <c r="O101" s="98"/>
      <c r="P101" s="98"/>
      <c r="Q101" s="98"/>
      <c r="R101" s="98"/>
      <c r="S101" s="98"/>
      <c r="T101" s="98"/>
      <c r="U101" s="98"/>
      <c r="V101" s="98"/>
      <c r="W101" s="97"/>
    </row>
    <row r="102" spans="10:23" x14ac:dyDescent="0.25">
      <c r="J102" s="97"/>
      <c r="K102" s="98"/>
      <c r="L102" s="98"/>
      <c r="M102" s="98"/>
      <c r="N102" s="98"/>
      <c r="O102" s="98"/>
      <c r="P102" s="98"/>
      <c r="Q102" s="98"/>
      <c r="R102" s="98"/>
      <c r="S102" s="98"/>
      <c r="T102" s="98"/>
      <c r="U102" s="98"/>
      <c r="V102" s="98"/>
      <c r="W102" s="97"/>
    </row>
    <row r="103" spans="10:23" x14ac:dyDescent="0.25">
      <c r="J103" s="97"/>
      <c r="K103" s="98"/>
      <c r="L103" s="98"/>
      <c r="M103" s="98"/>
      <c r="N103" s="98"/>
      <c r="O103" s="98"/>
      <c r="P103" s="98"/>
      <c r="Q103" s="98"/>
      <c r="R103" s="98"/>
      <c r="S103" s="98"/>
      <c r="T103" s="98"/>
      <c r="U103" s="98"/>
      <c r="V103" s="98"/>
      <c r="W103" s="97"/>
    </row>
    <row r="104" spans="10:23" x14ac:dyDescent="0.25">
      <c r="J104" s="97"/>
      <c r="K104" s="98"/>
      <c r="L104" s="98"/>
      <c r="M104" s="98"/>
      <c r="N104" s="98"/>
      <c r="O104" s="98"/>
      <c r="P104" s="98"/>
      <c r="Q104" s="98"/>
      <c r="R104" s="98"/>
      <c r="S104" s="98"/>
      <c r="T104" s="98"/>
      <c r="U104" s="98"/>
      <c r="V104" s="98"/>
      <c r="W104" s="97"/>
    </row>
    <row r="105" spans="10:23" x14ac:dyDescent="0.25">
      <c r="J105" s="97"/>
      <c r="K105" s="98"/>
      <c r="L105" s="98"/>
      <c r="M105" s="98"/>
      <c r="N105" s="98"/>
      <c r="O105" s="98"/>
      <c r="P105" s="98"/>
      <c r="Q105" s="98"/>
      <c r="R105" s="98"/>
      <c r="S105" s="98"/>
      <c r="T105" s="98"/>
      <c r="U105" s="98"/>
      <c r="V105" s="98"/>
      <c r="W105" s="97"/>
    </row>
    <row r="106" spans="10:23" x14ac:dyDescent="0.25">
      <c r="J106" s="97"/>
      <c r="K106" s="98"/>
      <c r="L106" s="98"/>
      <c r="M106" s="98"/>
      <c r="N106" s="98"/>
      <c r="O106" s="98"/>
      <c r="P106" s="98"/>
      <c r="Q106" s="98"/>
      <c r="R106" s="98"/>
      <c r="S106" s="98"/>
      <c r="T106" s="98"/>
      <c r="U106" s="98"/>
      <c r="V106" s="98"/>
      <c r="W106" s="97"/>
    </row>
    <row r="107" spans="10:23" x14ac:dyDescent="0.25">
      <c r="J107" s="97"/>
      <c r="K107" s="98"/>
      <c r="L107" s="98"/>
      <c r="M107" s="98"/>
      <c r="N107" s="98"/>
      <c r="O107" s="98"/>
      <c r="P107" s="98"/>
      <c r="Q107" s="98"/>
      <c r="R107" s="98"/>
      <c r="S107" s="98"/>
      <c r="T107" s="98"/>
      <c r="U107" s="98"/>
      <c r="V107" s="98"/>
      <c r="W107" s="97"/>
    </row>
    <row r="108" spans="10:23" x14ac:dyDescent="0.25">
      <c r="J108" s="97"/>
      <c r="K108" s="98"/>
      <c r="L108" s="98"/>
      <c r="M108" s="98"/>
      <c r="N108" s="98"/>
      <c r="O108" s="98"/>
      <c r="P108" s="98"/>
      <c r="Q108" s="98"/>
      <c r="R108" s="98"/>
      <c r="S108" s="98"/>
      <c r="T108" s="98"/>
      <c r="U108" s="98"/>
      <c r="V108" s="98"/>
      <c r="W108" s="97"/>
    </row>
    <row r="109" spans="10:23" x14ac:dyDescent="0.25">
      <c r="J109" s="97"/>
      <c r="K109" s="98"/>
      <c r="L109" s="98"/>
      <c r="M109" s="98"/>
      <c r="N109" s="98"/>
      <c r="O109" s="98"/>
      <c r="P109" s="98"/>
      <c r="Q109" s="98"/>
      <c r="R109" s="98"/>
      <c r="S109" s="98"/>
      <c r="T109" s="98"/>
      <c r="U109" s="98"/>
      <c r="V109" s="98"/>
      <c r="W109" s="97"/>
    </row>
    <row r="110" spans="10:23" x14ac:dyDescent="0.25">
      <c r="J110" s="97"/>
      <c r="K110" s="97"/>
      <c r="L110" s="97"/>
      <c r="M110" s="97"/>
      <c r="N110" s="97"/>
      <c r="O110" s="97"/>
      <c r="P110" s="97"/>
      <c r="Q110" s="97"/>
      <c r="R110" s="97"/>
      <c r="S110" s="97"/>
      <c r="T110" s="97"/>
      <c r="U110" s="97"/>
      <c r="V110" s="97"/>
      <c r="W110" s="97"/>
    </row>
    <row r="111" spans="10:23" x14ac:dyDescent="0.25">
      <c r="J111" s="97"/>
      <c r="K111" s="97"/>
      <c r="L111" s="97"/>
      <c r="M111" s="97"/>
      <c r="N111" s="97"/>
      <c r="O111" s="97"/>
      <c r="P111" s="97"/>
      <c r="Q111" s="97"/>
      <c r="R111" s="97"/>
      <c r="S111" s="97"/>
      <c r="T111" s="97"/>
      <c r="U111" s="97"/>
      <c r="V111" s="97"/>
      <c r="W111" s="97"/>
    </row>
    <row r="112" spans="10:23" x14ac:dyDescent="0.25">
      <c r="J112" s="97"/>
      <c r="K112" s="97"/>
      <c r="L112" s="97"/>
      <c r="M112" s="97"/>
      <c r="N112" s="97"/>
      <c r="O112" s="97"/>
      <c r="P112" s="97"/>
      <c r="Q112" s="97"/>
      <c r="R112" s="97"/>
      <c r="S112" s="97"/>
      <c r="T112" s="97"/>
      <c r="U112" s="97"/>
      <c r="V112" s="97"/>
      <c r="W112" s="97"/>
    </row>
    <row r="113" spans="10:23" x14ac:dyDescent="0.25">
      <c r="J113" s="97"/>
      <c r="K113" s="97"/>
      <c r="L113" s="97"/>
      <c r="M113" s="97"/>
      <c r="N113" s="97"/>
      <c r="O113" s="97"/>
      <c r="P113" s="97"/>
      <c r="Q113" s="97"/>
      <c r="R113" s="97"/>
      <c r="S113" s="97"/>
      <c r="T113" s="97"/>
      <c r="U113" s="97"/>
      <c r="V113" s="97"/>
      <c r="W113" s="97"/>
    </row>
    <row r="114" spans="10:23" x14ac:dyDescent="0.25">
      <c r="J114" s="97"/>
      <c r="K114" s="97"/>
      <c r="L114" s="97"/>
      <c r="M114" s="97"/>
      <c r="N114" s="97"/>
      <c r="O114" s="97"/>
      <c r="P114" s="97"/>
      <c r="Q114" s="97"/>
      <c r="R114" s="97"/>
      <c r="S114" s="97"/>
      <c r="T114" s="97"/>
      <c r="U114" s="97"/>
      <c r="V114" s="97"/>
      <c r="W114" s="97"/>
    </row>
    <row r="115" spans="10:23" x14ac:dyDescent="0.25">
      <c r="J115" s="97"/>
      <c r="K115" s="97"/>
      <c r="L115" s="97"/>
      <c r="M115" s="97"/>
      <c r="N115" s="97"/>
      <c r="O115" s="97"/>
      <c r="P115" s="97"/>
      <c r="Q115" s="97"/>
      <c r="R115" s="97"/>
      <c r="S115" s="97"/>
      <c r="T115" s="97"/>
      <c r="U115" s="97"/>
      <c r="V115" s="97"/>
      <c r="W115" s="97"/>
    </row>
    <row r="116" spans="10:23" x14ac:dyDescent="0.25">
      <c r="J116" s="97"/>
      <c r="K116" s="97"/>
      <c r="L116" s="97"/>
      <c r="M116" s="97"/>
      <c r="N116" s="97"/>
      <c r="O116" s="97"/>
      <c r="P116" s="97"/>
      <c r="Q116" s="97"/>
      <c r="R116" s="97"/>
      <c r="S116" s="97"/>
      <c r="T116" s="97"/>
      <c r="U116" s="97"/>
      <c r="V116" s="97"/>
      <c r="W116" s="97"/>
    </row>
    <row r="117" spans="10:23" x14ac:dyDescent="0.25">
      <c r="J117" s="97"/>
      <c r="K117" s="97"/>
      <c r="L117" s="97"/>
      <c r="M117" s="97"/>
      <c r="N117" s="97"/>
      <c r="O117" s="97"/>
      <c r="P117" s="97"/>
      <c r="Q117" s="97"/>
      <c r="R117" s="97"/>
      <c r="S117" s="97"/>
      <c r="T117" s="97"/>
      <c r="U117" s="97"/>
      <c r="V117" s="97"/>
      <c r="W117" s="97"/>
    </row>
    <row r="118" spans="10:23" x14ac:dyDescent="0.25">
      <c r="J118" s="97"/>
      <c r="K118" s="97"/>
      <c r="L118" s="97"/>
      <c r="M118" s="97"/>
      <c r="N118" s="97"/>
      <c r="O118" s="97"/>
      <c r="P118" s="97"/>
      <c r="Q118" s="97"/>
      <c r="R118" s="97"/>
      <c r="S118" s="97"/>
      <c r="T118" s="97"/>
      <c r="U118" s="97"/>
      <c r="V118" s="97"/>
      <c r="W118" s="97"/>
    </row>
    <row r="119" spans="10:23" x14ac:dyDescent="0.25">
      <c r="J119" s="97"/>
      <c r="K119" s="97"/>
      <c r="L119" s="97"/>
      <c r="M119" s="97"/>
      <c r="N119" s="97"/>
      <c r="O119" s="97"/>
      <c r="P119" s="97"/>
      <c r="Q119" s="97"/>
      <c r="R119" s="97"/>
      <c r="S119" s="97"/>
      <c r="T119" s="97"/>
      <c r="U119" s="97"/>
      <c r="V119" s="97"/>
      <c r="W119" s="97"/>
    </row>
    <row r="120" spans="10:23" x14ac:dyDescent="0.25">
      <c r="J120" s="97"/>
      <c r="K120" s="97"/>
      <c r="L120" s="97"/>
      <c r="M120" s="97"/>
      <c r="N120" s="97"/>
      <c r="O120" s="97"/>
      <c r="P120" s="97"/>
      <c r="Q120" s="97"/>
      <c r="R120" s="97"/>
      <c r="S120" s="97"/>
      <c r="T120" s="97"/>
      <c r="U120" s="97"/>
      <c r="V120" s="97"/>
      <c r="W120" s="97"/>
    </row>
    <row r="121" spans="10:23" x14ac:dyDescent="0.25">
      <c r="J121" s="97"/>
      <c r="K121" s="97"/>
      <c r="L121" s="97"/>
      <c r="M121" s="97"/>
      <c r="N121" s="97"/>
      <c r="O121" s="97"/>
      <c r="P121" s="97"/>
      <c r="Q121" s="97"/>
      <c r="R121" s="97"/>
      <c r="S121" s="97"/>
      <c r="T121" s="97"/>
      <c r="U121" s="97"/>
      <c r="V121" s="97"/>
      <c r="W121" s="97"/>
    </row>
    <row r="122" spans="10:23" x14ac:dyDescent="0.25">
      <c r="J122" s="97"/>
      <c r="K122" s="97"/>
      <c r="L122" s="97"/>
      <c r="M122" s="97"/>
      <c r="N122" s="97"/>
      <c r="O122" s="97"/>
      <c r="P122" s="97"/>
      <c r="Q122" s="97"/>
      <c r="R122" s="97"/>
      <c r="S122" s="97"/>
      <c r="T122" s="97"/>
      <c r="U122" s="97"/>
      <c r="V122" s="97"/>
      <c r="W122" s="97"/>
    </row>
    <row r="123" spans="10:23" x14ac:dyDescent="0.25">
      <c r="J123" s="97"/>
      <c r="K123" s="97"/>
      <c r="L123" s="97"/>
      <c r="M123" s="97"/>
      <c r="N123" s="97"/>
      <c r="O123" s="97"/>
      <c r="P123" s="97"/>
      <c r="Q123" s="97"/>
      <c r="R123" s="97"/>
      <c r="S123" s="97"/>
      <c r="T123" s="97"/>
      <c r="U123" s="97"/>
      <c r="V123" s="97"/>
      <c r="W123" s="97"/>
    </row>
    <row r="124" spans="10:23" x14ac:dyDescent="0.25">
      <c r="J124" s="97"/>
      <c r="K124" s="97"/>
      <c r="L124" s="97"/>
      <c r="M124" s="97"/>
      <c r="N124" s="97"/>
      <c r="O124" s="97"/>
      <c r="P124" s="97"/>
      <c r="Q124" s="97"/>
      <c r="R124" s="97"/>
      <c r="S124" s="97"/>
      <c r="T124" s="97"/>
      <c r="U124" s="97"/>
      <c r="V124" s="97"/>
      <c r="W124" s="97"/>
    </row>
    <row r="125" spans="10:23" x14ac:dyDescent="0.25">
      <c r="J125" s="97"/>
      <c r="K125" s="97"/>
      <c r="L125" s="97"/>
      <c r="M125" s="97"/>
      <c r="N125" s="97"/>
      <c r="O125" s="97"/>
      <c r="P125" s="97"/>
      <c r="Q125" s="97"/>
      <c r="R125" s="97"/>
      <c r="S125" s="97"/>
      <c r="T125" s="97"/>
      <c r="U125" s="97"/>
      <c r="V125" s="97"/>
      <c r="W125" s="97"/>
    </row>
    <row r="126" spans="10:23" x14ac:dyDescent="0.25">
      <c r="J126" s="97"/>
      <c r="K126" s="97"/>
      <c r="L126" s="97"/>
      <c r="M126" s="97"/>
      <c r="N126" s="97"/>
      <c r="O126" s="97"/>
      <c r="P126" s="97"/>
      <c r="Q126" s="97"/>
      <c r="R126" s="97"/>
      <c r="S126" s="97"/>
      <c r="T126" s="97"/>
      <c r="U126" s="97"/>
      <c r="V126" s="97"/>
      <c r="W126" s="97"/>
    </row>
    <row r="127" spans="10:23" x14ac:dyDescent="0.25">
      <c r="J127" s="97"/>
      <c r="K127" s="97"/>
      <c r="L127" s="97"/>
      <c r="M127" s="97"/>
      <c r="N127" s="97"/>
      <c r="O127" s="97"/>
      <c r="P127" s="97"/>
      <c r="Q127" s="97"/>
      <c r="R127" s="97"/>
      <c r="S127" s="97"/>
      <c r="T127" s="97"/>
      <c r="U127" s="97"/>
      <c r="V127" s="97"/>
      <c r="W127" s="97"/>
    </row>
    <row r="128" spans="10:23" x14ac:dyDescent="0.25">
      <c r="J128" s="97"/>
      <c r="K128" s="97"/>
      <c r="L128" s="97"/>
      <c r="M128" s="97"/>
      <c r="N128" s="97"/>
      <c r="O128" s="97"/>
      <c r="P128" s="97"/>
      <c r="Q128" s="97"/>
      <c r="R128" s="97"/>
      <c r="S128" s="97"/>
      <c r="T128" s="97"/>
      <c r="U128" s="97"/>
      <c r="V128" s="97"/>
      <c r="W128" s="97"/>
    </row>
    <row r="129" spans="10:23" x14ac:dyDescent="0.25">
      <c r="J129" s="97"/>
      <c r="K129" s="97"/>
      <c r="L129" s="97"/>
      <c r="M129" s="97"/>
      <c r="N129" s="97"/>
      <c r="O129" s="97"/>
      <c r="P129" s="97"/>
      <c r="Q129" s="97"/>
      <c r="R129" s="97"/>
      <c r="S129" s="97"/>
      <c r="T129" s="97"/>
      <c r="U129" s="97"/>
      <c r="V129" s="97"/>
      <c r="W129" s="97"/>
    </row>
    <row r="130" spans="10:23" x14ac:dyDescent="0.25">
      <c r="J130" s="97"/>
      <c r="K130" s="97"/>
      <c r="L130" s="97"/>
      <c r="M130" s="97"/>
      <c r="N130" s="97"/>
      <c r="O130" s="97"/>
      <c r="P130" s="97"/>
      <c r="Q130" s="97"/>
      <c r="R130" s="97"/>
      <c r="S130" s="97"/>
      <c r="T130" s="97"/>
      <c r="U130" s="97"/>
      <c r="V130" s="97"/>
      <c r="W130" s="97"/>
    </row>
    <row r="131" spans="10:23" x14ac:dyDescent="0.25">
      <c r="J131" s="97"/>
      <c r="K131" s="97"/>
      <c r="L131" s="97"/>
      <c r="M131" s="97"/>
      <c r="N131" s="97"/>
      <c r="O131" s="97"/>
      <c r="P131" s="97"/>
      <c r="Q131" s="97"/>
      <c r="R131" s="97"/>
      <c r="S131" s="97"/>
      <c r="T131" s="97"/>
      <c r="U131" s="97"/>
      <c r="V131" s="97"/>
      <c r="W131" s="97"/>
    </row>
    <row r="132" spans="10:23" x14ac:dyDescent="0.25">
      <c r="J132" s="97"/>
      <c r="K132" s="97"/>
      <c r="L132" s="97"/>
      <c r="M132" s="97"/>
      <c r="N132" s="97"/>
      <c r="O132" s="97"/>
      <c r="P132" s="97"/>
      <c r="Q132" s="97"/>
      <c r="R132" s="97"/>
      <c r="S132" s="97"/>
      <c r="T132" s="97"/>
      <c r="U132" s="97"/>
      <c r="V132" s="97"/>
      <c r="W132" s="97"/>
    </row>
    <row r="133" spans="10:23" x14ac:dyDescent="0.25">
      <c r="J133" s="97"/>
      <c r="K133" s="97"/>
      <c r="L133" s="97"/>
      <c r="M133" s="97"/>
      <c r="N133" s="97"/>
      <c r="O133" s="97"/>
      <c r="P133" s="97"/>
      <c r="Q133" s="97"/>
      <c r="R133" s="97"/>
      <c r="S133" s="97"/>
      <c r="T133" s="97"/>
      <c r="U133" s="97"/>
      <c r="V133" s="97"/>
      <c r="W133" s="97"/>
    </row>
    <row r="134" spans="10:23" x14ac:dyDescent="0.25">
      <c r="J134" s="97"/>
      <c r="K134" s="97"/>
      <c r="L134" s="97"/>
      <c r="M134" s="97"/>
      <c r="N134" s="97"/>
      <c r="O134" s="97"/>
      <c r="P134" s="97"/>
      <c r="Q134" s="97"/>
      <c r="R134" s="97"/>
      <c r="S134" s="97"/>
      <c r="T134" s="97"/>
      <c r="U134" s="97"/>
      <c r="V134" s="97"/>
      <c r="W134" s="97"/>
    </row>
    <row r="135" spans="10:23" x14ac:dyDescent="0.25">
      <c r="J135" s="97"/>
      <c r="K135" s="97"/>
      <c r="L135" s="97"/>
      <c r="M135" s="97"/>
      <c r="N135" s="97"/>
      <c r="O135" s="97"/>
      <c r="P135" s="97"/>
      <c r="Q135" s="97"/>
      <c r="R135" s="97"/>
      <c r="S135" s="97"/>
      <c r="T135" s="97"/>
      <c r="U135" s="97"/>
      <c r="V135" s="97"/>
      <c r="W135" s="97"/>
    </row>
    <row r="136" spans="10:23" x14ac:dyDescent="0.25">
      <c r="J136" s="97"/>
      <c r="K136" s="97"/>
      <c r="L136" s="97"/>
      <c r="M136" s="97"/>
      <c r="N136" s="97"/>
      <c r="O136" s="97"/>
      <c r="P136" s="97"/>
      <c r="Q136" s="97"/>
      <c r="R136" s="97"/>
      <c r="S136" s="97"/>
      <c r="T136" s="97"/>
      <c r="U136" s="97"/>
      <c r="V136" s="97"/>
      <c r="W136" s="97"/>
    </row>
    <row r="137" spans="10:23" x14ac:dyDescent="0.25">
      <c r="J137" s="97"/>
      <c r="K137" s="97"/>
      <c r="L137" s="97"/>
      <c r="M137" s="97"/>
      <c r="N137" s="97"/>
      <c r="O137" s="97"/>
      <c r="P137" s="97"/>
      <c r="Q137" s="97"/>
      <c r="R137" s="97"/>
      <c r="S137" s="97"/>
      <c r="T137" s="97"/>
      <c r="U137" s="97"/>
      <c r="V137" s="97"/>
      <c r="W137" s="97"/>
    </row>
    <row r="138" spans="10:23" x14ac:dyDescent="0.25">
      <c r="J138" s="97"/>
      <c r="K138" s="97"/>
      <c r="L138" s="97"/>
      <c r="M138" s="97"/>
      <c r="N138" s="97"/>
      <c r="O138" s="97"/>
      <c r="P138" s="97"/>
      <c r="Q138" s="97"/>
      <c r="R138" s="97"/>
      <c r="S138" s="97"/>
      <c r="T138" s="97"/>
      <c r="U138" s="97"/>
      <c r="V138" s="97"/>
      <c r="W138" s="97"/>
    </row>
    <row r="139" spans="10:23" x14ac:dyDescent="0.25">
      <c r="J139" s="97"/>
      <c r="K139" s="97"/>
      <c r="L139" s="97"/>
      <c r="M139" s="97"/>
      <c r="N139" s="97"/>
      <c r="O139" s="97"/>
      <c r="P139" s="97"/>
      <c r="Q139" s="97"/>
      <c r="R139" s="97"/>
      <c r="S139" s="97"/>
      <c r="T139" s="97"/>
      <c r="U139" s="97"/>
      <c r="V139" s="97"/>
      <c r="W139" s="97"/>
    </row>
    <row r="140" spans="10:23" x14ac:dyDescent="0.25">
      <c r="J140" s="97"/>
      <c r="K140" s="97"/>
      <c r="L140" s="97"/>
      <c r="M140" s="97"/>
      <c r="N140" s="97"/>
      <c r="O140" s="97"/>
      <c r="P140" s="97"/>
      <c r="Q140" s="97"/>
      <c r="R140" s="97"/>
      <c r="S140" s="97"/>
      <c r="T140" s="97"/>
      <c r="U140" s="97"/>
      <c r="V140" s="97"/>
      <c r="W140" s="97"/>
    </row>
    <row r="141" spans="10:23" x14ac:dyDescent="0.25">
      <c r="J141" s="97"/>
      <c r="K141" s="97"/>
      <c r="L141" s="97"/>
      <c r="M141" s="97"/>
      <c r="N141" s="97"/>
      <c r="O141" s="97"/>
      <c r="P141" s="97"/>
      <c r="Q141" s="97"/>
      <c r="R141" s="97"/>
      <c r="S141" s="97"/>
      <c r="T141" s="97"/>
      <c r="U141" s="97"/>
      <c r="V141" s="97"/>
      <c r="W141" s="97"/>
    </row>
    <row r="142" spans="10:23" x14ac:dyDescent="0.25">
      <c r="J142" s="97"/>
      <c r="K142" s="97"/>
      <c r="L142" s="97"/>
      <c r="M142" s="97"/>
      <c r="N142" s="97"/>
      <c r="O142" s="97"/>
      <c r="P142" s="97"/>
      <c r="Q142" s="97"/>
      <c r="R142" s="97"/>
      <c r="S142" s="97"/>
      <c r="T142" s="97"/>
      <c r="U142" s="97"/>
      <c r="V142" s="97"/>
      <c r="W142" s="97"/>
    </row>
    <row r="143" spans="10:23" x14ac:dyDescent="0.25">
      <c r="J143" s="97"/>
      <c r="K143" s="97"/>
      <c r="L143" s="97"/>
      <c r="M143" s="97"/>
      <c r="N143" s="97"/>
      <c r="O143" s="97"/>
      <c r="P143" s="97"/>
      <c r="Q143" s="97"/>
      <c r="R143" s="97"/>
      <c r="S143" s="97"/>
      <c r="T143" s="97"/>
      <c r="U143" s="97"/>
      <c r="V143" s="97"/>
      <c r="W143" s="97"/>
    </row>
    <row r="144" spans="10:23" x14ac:dyDescent="0.25">
      <c r="J144" s="97"/>
      <c r="K144" s="97"/>
      <c r="L144" s="97"/>
      <c r="M144" s="97"/>
      <c r="N144" s="97"/>
      <c r="O144" s="97"/>
      <c r="P144" s="97"/>
      <c r="Q144" s="97"/>
      <c r="R144" s="97"/>
      <c r="S144" s="97"/>
      <c r="T144" s="97"/>
      <c r="U144" s="97"/>
      <c r="V144" s="97"/>
      <c r="W144" s="97"/>
    </row>
    <row r="145" spans="10:23" x14ac:dyDescent="0.25">
      <c r="J145" s="97"/>
      <c r="K145" s="97"/>
      <c r="L145" s="97"/>
      <c r="M145" s="97"/>
      <c r="N145" s="97"/>
      <c r="O145" s="97"/>
      <c r="P145" s="97"/>
      <c r="Q145" s="97"/>
      <c r="R145" s="97"/>
      <c r="S145" s="97"/>
      <c r="T145" s="97"/>
      <c r="U145" s="97"/>
      <c r="V145" s="97"/>
      <c r="W145" s="97"/>
    </row>
    <row r="146" spans="10:23" x14ac:dyDescent="0.25">
      <c r="J146" s="97"/>
      <c r="K146" s="97"/>
      <c r="L146" s="97"/>
      <c r="M146" s="97"/>
      <c r="N146" s="97"/>
      <c r="O146" s="97"/>
      <c r="P146" s="97"/>
      <c r="Q146" s="97"/>
      <c r="R146" s="97"/>
      <c r="S146" s="97"/>
      <c r="T146" s="97"/>
      <c r="U146" s="97"/>
      <c r="V146" s="97"/>
      <c r="W146" s="97"/>
    </row>
    <row r="147" spans="10:23" x14ac:dyDescent="0.25">
      <c r="J147" s="97"/>
      <c r="K147" s="97"/>
      <c r="L147" s="97"/>
      <c r="M147" s="97"/>
      <c r="N147" s="97"/>
      <c r="O147" s="97"/>
      <c r="P147" s="97"/>
      <c r="Q147" s="97"/>
      <c r="R147" s="97"/>
      <c r="S147" s="97"/>
      <c r="T147" s="97"/>
      <c r="U147" s="97"/>
      <c r="V147" s="97"/>
      <c r="W147" s="97"/>
    </row>
    <row r="148" spans="10:23" x14ac:dyDescent="0.25">
      <c r="J148" s="97"/>
      <c r="K148" s="97"/>
      <c r="L148" s="97"/>
      <c r="M148" s="97"/>
      <c r="N148" s="97"/>
      <c r="O148" s="97"/>
      <c r="P148" s="97"/>
      <c r="Q148" s="97"/>
      <c r="R148" s="97"/>
      <c r="S148" s="97"/>
      <c r="T148" s="97"/>
      <c r="U148" s="97"/>
      <c r="V148" s="97"/>
      <c r="W148" s="97"/>
    </row>
  </sheetData>
  <mergeCells count="6">
    <mergeCell ref="A2:J2"/>
    <mergeCell ref="A6:I6"/>
    <mergeCell ref="A7:I7"/>
    <mergeCell ref="A32:I32"/>
    <mergeCell ref="A53:I53"/>
    <mergeCell ref="A5:I5"/>
  </mergeCells>
  <pageMargins left="0.25" right="0.25" top="0.75" bottom="0.75" header="0.3" footer="0.3"/>
  <pageSetup paperSize="9" scale="5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04"/>
  <sheetViews>
    <sheetView showZeros="0" zoomScaleNormal="100" workbookViewId="0">
      <pane ySplit="7" topLeftCell="A8" activePane="bottomLeft" state="frozen"/>
      <selection activeCell="V212" sqref="V212"/>
      <selection pane="bottomLeft" activeCell="Q19" sqref="Q19"/>
    </sheetView>
  </sheetViews>
  <sheetFormatPr defaultRowHeight="15" x14ac:dyDescent="0.25"/>
  <cols>
    <col min="1" max="1" width="27.7109375" style="27" customWidth="1"/>
    <col min="2" max="2" width="11.28515625" style="27" customWidth="1"/>
    <col min="3" max="3" width="11" style="27" customWidth="1"/>
    <col min="4" max="4" width="10.7109375" style="27" customWidth="1"/>
    <col min="5" max="5" width="8.140625" style="27" bestFit="1" customWidth="1"/>
    <col min="6" max="6" width="11.85546875" style="29" customWidth="1"/>
    <col min="7" max="7" width="11" style="27" customWidth="1"/>
    <col min="8" max="8" width="11.5703125" style="27" customWidth="1"/>
    <col min="9" max="9" width="12.5703125" style="187" customWidth="1"/>
    <col min="10" max="10" width="9.140625" style="27"/>
    <col min="11" max="11" width="11.85546875" style="27" bestFit="1" customWidth="1"/>
    <col min="12" max="16384" width="9.140625" style="27"/>
  </cols>
  <sheetData>
    <row r="1" spans="1:15" ht="21" customHeight="1" x14ac:dyDescent="0.3">
      <c r="A1" s="176"/>
      <c r="B1" s="176"/>
      <c r="C1" s="176"/>
      <c r="D1" s="176"/>
      <c r="E1" s="1029" t="s">
        <v>615</v>
      </c>
      <c r="F1" s="1029"/>
      <c r="G1" s="1029"/>
      <c r="H1" s="1029"/>
      <c r="I1" s="1029"/>
    </row>
    <row r="2" spans="1:15" s="115" customFormat="1" ht="9" customHeight="1" x14ac:dyDescent="0.25">
      <c r="A2" s="1034"/>
      <c r="B2" s="1034"/>
      <c r="C2" s="1034"/>
      <c r="D2" s="1034"/>
      <c r="E2" s="1034"/>
      <c r="F2" s="1034"/>
      <c r="I2" s="177"/>
    </row>
    <row r="3" spans="1:15" s="115" customFormat="1" ht="47.25" customHeight="1" x14ac:dyDescent="0.25">
      <c r="A3" s="1028" t="s">
        <v>454</v>
      </c>
      <c r="B3" s="1028"/>
      <c r="C3" s="1028"/>
      <c r="D3" s="1028"/>
      <c r="E3" s="1028"/>
      <c r="F3" s="1028"/>
      <c r="G3" s="1028"/>
      <c r="H3" s="1028"/>
      <c r="I3" s="1028"/>
    </row>
    <row r="4" spans="1:15" s="116" customFormat="1" ht="16.5" thickBot="1" x14ac:dyDescent="0.3">
      <c r="A4" s="178"/>
      <c r="B4" s="178"/>
      <c r="C4" s="178"/>
      <c r="D4" s="178"/>
      <c r="E4" s="178"/>
      <c r="F4" s="178"/>
      <c r="I4" s="484" t="s">
        <v>605</v>
      </c>
    </row>
    <row r="5" spans="1:15" s="116" customFormat="1" ht="16.5" customHeight="1" thickBot="1" x14ac:dyDescent="0.3">
      <c r="A5" s="1035" t="s">
        <v>0</v>
      </c>
      <c r="B5" s="1036"/>
      <c r="C5" s="1036"/>
      <c r="D5" s="1036"/>
      <c r="E5" s="1036"/>
      <c r="F5" s="1036"/>
      <c r="G5" s="1036"/>
      <c r="H5" s="1036"/>
      <c r="I5" s="471"/>
    </row>
    <row r="6" spans="1:15" s="179" customFormat="1" ht="12.75" customHeight="1" x14ac:dyDescent="0.25">
      <c r="A6" s="1037" t="s">
        <v>163</v>
      </c>
      <c r="B6" s="1038" t="s">
        <v>164</v>
      </c>
      <c r="C6" s="1038" t="s">
        <v>165</v>
      </c>
      <c r="D6" s="1038" t="s">
        <v>166</v>
      </c>
      <c r="E6" s="1038" t="s">
        <v>399</v>
      </c>
      <c r="F6" s="1039" t="s">
        <v>167</v>
      </c>
      <c r="G6" s="1030" t="s">
        <v>455</v>
      </c>
      <c r="H6" s="1032" t="s">
        <v>402</v>
      </c>
      <c r="I6" s="1026" t="s">
        <v>637</v>
      </c>
    </row>
    <row r="7" spans="1:15" s="179" customFormat="1" ht="65.25" customHeight="1" thickBot="1" x14ac:dyDescent="0.3">
      <c r="A7" s="994"/>
      <c r="B7" s="998"/>
      <c r="C7" s="998"/>
      <c r="D7" s="998"/>
      <c r="E7" s="998"/>
      <c r="F7" s="1040"/>
      <c r="G7" s="1031"/>
      <c r="H7" s="1033"/>
      <c r="I7" s="1027"/>
    </row>
    <row r="8" spans="1:15" s="180" customFormat="1" ht="13.5" thickBot="1" x14ac:dyDescent="0.3">
      <c r="A8" s="1023" t="s">
        <v>456</v>
      </c>
      <c r="B8" s="1024"/>
      <c r="C8" s="1024"/>
      <c r="D8" s="1024"/>
      <c r="E8" s="1024"/>
      <c r="F8" s="1024"/>
      <c r="G8" s="1024"/>
      <c r="H8" s="1025"/>
      <c r="I8" s="483"/>
    </row>
    <row r="9" spans="1:15" x14ac:dyDescent="0.25">
      <c r="A9" s="1020" t="s">
        <v>457</v>
      </c>
      <c r="B9" s="1021"/>
      <c r="C9" s="1021"/>
      <c r="D9" s="1021"/>
      <c r="E9" s="1021"/>
      <c r="F9" s="1021"/>
      <c r="G9" s="1021"/>
      <c r="H9" s="1022"/>
      <c r="I9" s="485"/>
    </row>
    <row r="10" spans="1:15" x14ac:dyDescent="0.25">
      <c r="A10" s="181" t="s">
        <v>10</v>
      </c>
      <c r="B10" s="171"/>
      <c r="C10" s="172"/>
      <c r="D10" s="172"/>
      <c r="E10" s="172"/>
      <c r="F10" s="183">
        <f>SUM(F11:F99)</f>
        <v>89682.34</v>
      </c>
      <c r="G10" s="182">
        <f>SUM(G11:G99)</f>
        <v>64697.084750000009</v>
      </c>
      <c r="H10" s="468">
        <f>SUM(H11:H99)</f>
        <v>80282.595151425019</v>
      </c>
      <c r="I10" s="482"/>
      <c r="K10" s="187"/>
      <c r="L10" s="187"/>
      <c r="M10" s="187"/>
      <c r="N10" s="187"/>
      <c r="O10" s="187"/>
    </row>
    <row r="11" spans="1:15" x14ac:dyDescent="0.25">
      <c r="A11" s="184" t="s">
        <v>24</v>
      </c>
      <c r="B11" s="344">
        <v>0.5</v>
      </c>
      <c r="C11" s="55">
        <v>1079</v>
      </c>
      <c r="D11" s="55"/>
      <c r="E11" s="55">
        <v>107.9</v>
      </c>
      <c r="F11" s="61">
        <f>+C11+D11+E11</f>
        <v>1186.9000000000001</v>
      </c>
      <c r="G11" s="185">
        <f>+F11*B11</f>
        <v>593.45000000000005</v>
      </c>
      <c r="H11" s="410">
        <f>+G11*1.2409</f>
        <v>736.412105</v>
      </c>
      <c r="I11" s="472">
        <f>ROUND((C11+D11+E11)*('29_01_H_2020'!$F$14)*B11*12*1.2409,2)</f>
        <v>883.69</v>
      </c>
      <c r="K11" s="187"/>
      <c r="L11" s="187"/>
      <c r="M11" s="486"/>
      <c r="N11" s="187"/>
      <c r="O11" s="187"/>
    </row>
    <row r="12" spans="1:15" x14ac:dyDescent="0.25">
      <c r="A12" s="184" t="s">
        <v>24</v>
      </c>
      <c r="B12" s="344">
        <v>0.5</v>
      </c>
      <c r="C12" s="55">
        <v>950</v>
      </c>
      <c r="D12" s="55"/>
      <c r="E12" s="55">
        <v>95</v>
      </c>
      <c r="F12" s="61">
        <f t="shared" ref="F12:F75" si="0">+C12+D12+E12</f>
        <v>1045</v>
      </c>
      <c r="G12" s="185">
        <f t="shared" ref="G12:G75" si="1">+F12*B12</f>
        <v>522.5</v>
      </c>
      <c r="H12" s="410">
        <f t="shared" ref="H12:H39" si="2">+G12*1.2409</f>
        <v>648.37024999999994</v>
      </c>
      <c r="I12" s="472">
        <f>ROUND((C12+D12+E12)*('29_01_H_2020'!$F$14)*B12*12*1.2409,2)</f>
        <v>778.04</v>
      </c>
      <c r="K12" s="187"/>
      <c r="L12" s="187"/>
      <c r="M12" s="486"/>
      <c r="N12" s="187"/>
      <c r="O12" s="187"/>
    </row>
    <row r="13" spans="1:15" x14ac:dyDescent="0.25">
      <c r="A13" s="184" t="s">
        <v>24</v>
      </c>
      <c r="B13" s="344">
        <v>1</v>
      </c>
      <c r="C13" s="55">
        <v>1079</v>
      </c>
      <c r="D13" s="55"/>
      <c r="E13" s="55">
        <v>107.9</v>
      </c>
      <c r="F13" s="61">
        <f t="shared" si="0"/>
        <v>1186.9000000000001</v>
      </c>
      <c r="G13" s="185">
        <f t="shared" si="1"/>
        <v>1186.9000000000001</v>
      </c>
      <c r="H13" s="410">
        <f t="shared" si="2"/>
        <v>1472.82421</v>
      </c>
      <c r="I13" s="472">
        <f>ROUND((C13+D13+E13)*('29_01_H_2020'!$F$14)*B13*12*1.2409,2)</f>
        <v>1767.39</v>
      </c>
      <c r="K13" s="187"/>
      <c r="L13" s="187"/>
      <c r="M13" s="486"/>
      <c r="N13" s="187"/>
      <c r="O13" s="187"/>
    </row>
    <row r="14" spans="1:15" x14ac:dyDescent="0.25">
      <c r="A14" s="184" t="s">
        <v>24</v>
      </c>
      <c r="B14" s="344">
        <v>1.5</v>
      </c>
      <c r="C14" s="55">
        <v>1079</v>
      </c>
      <c r="D14" s="55"/>
      <c r="E14" s="55">
        <v>107.9</v>
      </c>
      <c r="F14" s="61">
        <f t="shared" si="0"/>
        <v>1186.9000000000001</v>
      </c>
      <c r="G14" s="185">
        <f t="shared" si="1"/>
        <v>1780.3500000000001</v>
      </c>
      <c r="H14" s="410">
        <f t="shared" si="2"/>
        <v>2209.2363150000001</v>
      </c>
      <c r="I14" s="472">
        <f>ROUND((C14+D14+E14)*('29_01_H_2020'!$F$14)*B14*12*1.2409,2)</f>
        <v>2651.08</v>
      </c>
      <c r="K14" s="187"/>
      <c r="L14" s="187"/>
      <c r="M14" s="486"/>
      <c r="N14" s="187"/>
      <c r="O14" s="187"/>
    </row>
    <row r="15" spans="1:15" x14ac:dyDescent="0.25">
      <c r="A15" s="184" t="s">
        <v>24</v>
      </c>
      <c r="B15" s="344">
        <v>0.67500000000000004</v>
      </c>
      <c r="C15" s="55">
        <v>1079</v>
      </c>
      <c r="D15" s="55"/>
      <c r="E15" s="55">
        <v>107.9</v>
      </c>
      <c r="F15" s="61">
        <f t="shared" si="0"/>
        <v>1186.9000000000001</v>
      </c>
      <c r="G15" s="185">
        <f t="shared" si="1"/>
        <v>801.15750000000014</v>
      </c>
      <c r="H15" s="410">
        <f t="shared" si="2"/>
        <v>994.15634175000014</v>
      </c>
      <c r="I15" s="472">
        <f>ROUND((C15+D15+E15)*('29_01_H_2020'!$F$14)*B15*12*1.2409,2)</f>
        <v>1192.99</v>
      </c>
      <c r="K15" s="187"/>
      <c r="L15" s="187"/>
      <c r="M15" s="486"/>
      <c r="N15" s="187"/>
      <c r="O15" s="187"/>
    </row>
    <row r="16" spans="1:15" x14ac:dyDescent="0.25">
      <c r="A16" s="184" t="s">
        <v>24</v>
      </c>
      <c r="B16" s="344">
        <v>1</v>
      </c>
      <c r="C16" s="55">
        <v>1079</v>
      </c>
      <c r="D16" s="55"/>
      <c r="E16" s="55">
        <v>107.9</v>
      </c>
      <c r="F16" s="61">
        <f t="shared" si="0"/>
        <v>1186.9000000000001</v>
      </c>
      <c r="G16" s="185">
        <f t="shared" si="1"/>
        <v>1186.9000000000001</v>
      </c>
      <c r="H16" s="410">
        <f t="shared" si="2"/>
        <v>1472.82421</v>
      </c>
      <c r="I16" s="472">
        <f>ROUND((C16+D16+E16)*('29_01_H_2020'!$F$14)*B16*12*1.2409,2)</f>
        <v>1767.39</v>
      </c>
      <c r="K16" s="187"/>
      <c r="L16" s="187"/>
      <c r="M16" s="486"/>
      <c r="N16" s="187"/>
      <c r="O16" s="187"/>
    </row>
    <row r="17" spans="1:15" x14ac:dyDescent="0.25">
      <c r="A17" s="184" t="s">
        <v>24</v>
      </c>
      <c r="B17" s="344">
        <v>1</v>
      </c>
      <c r="C17" s="55">
        <v>1079</v>
      </c>
      <c r="D17" s="55"/>
      <c r="E17" s="55">
        <v>107.9</v>
      </c>
      <c r="F17" s="61">
        <f t="shared" si="0"/>
        <v>1186.9000000000001</v>
      </c>
      <c r="G17" s="185">
        <f t="shared" si="1"/>
        <v>1186.9000000000001</v>
      </c>
      <c r="H17" s="410">
        <f t="shared" si="2"/>
        <v>1472.82421</v>
      </c>
      <c r="I17" s="472">
        <f>ROUND((C17+D17+E17)*('29_01_H_2020'!$F$14)*B17*12*1.2409,2)</f>
        <v>1767.39</v>
      </c>
      <c r="K17" s="187"/>
      <c r="L17" s="187"/>
      <c r="M17" s="486"/>
      <c r="N17" s="187"/>
      <c r="O17" s="187"/>
    </row>
    <row r="18" spans="1:15" x14ac:dyDescent="0.25">
      <c r="A18" s="184" t="s">
        <v>24</v>
      </c>
      <c r="B18" s="344">
        <v>0.5</v>
      </c>
      <c r="C18" s="55">
        <v>1079</v>
      </c>
      <c r="D18" s="55"/>
      <c r="E18" s="55">
        <v>107.9</v>
      </c>
      <c r="F18" s="61">
        <f t="shared" si="0"/>
        <v>1186.9000000000001</v>
      </c>
      <c r="G18" s="185">
        <f t="shared" si="1"/>
        <v>593.45000000000005</v>
      </c>
      <c r="H18" s="410">
        <f t="shared" si="2"/>
        <v>736.412105</v>
      </c>
      <c r="I18" s="472">
        <f>ROUND((C18+D18+E18)*('29_01_H_2020'!$F$14)*B18*12*1.2409,2)</f>
        <v>883.69</v>
      </c>
      <c r="K18" s="187"/>
      <c r="L18" s="187"/>
      <c r="M18" s="486"/>
      <c r="N18" s="187"/>
      <c r="O18" s="187"/>
    </row>
    <row r="19" spans="1:15" x14ac:dyDescent="0.25">
      <c r="A19" s="184" t="s">
        <v>24</v>
      </c>
      <c r="B19" s="344">
        <v>0.75</v>
      </c>
      <c r="C19" s="55">
        <v>1079</v>
      </c>
      <c r="D19" s="55"/>
      <c r="E19" s="55">
        <v>107.9</v>
      </c>
      <c r="F19" s="61">
        <f t="shared" si="0"/>
        <v>1186.9000000000001</v>
      </c>
      <c r="G19" s="185">
        <f t="shared" si="1"/>
        <v>890.17500000000007</v>
      </c>
      <c r="H19" s="410">
        <f t="shared" si="2"/>
        <v>1104.6181575000001</v>
      </c>
      <c r="I19" s="472">
        <f>ROUND((C19+D19+E19)*('29_01_H_2020'!$F$14)*B19*12*1.2409,2)</f>
        <v>1325.54</v>
      </c>
      <c r="K19" s="187"/>
      <c r="L19" s="187"/>
      <c r="M19" s="486"/>
      <c r="N19" s="187"/>
      <c r="O19" s="187"/>
    </row>
    <row r="20" spans="1:15" x14ac:dyDescent="0.25">
      <c r="A20" s="184" t="s">
        <v>24</v>
      </c>
      <c r="B20" s="346">
        <v>3.6749999999999998</v>
      </c>
      <c r="C20" s="55">
        <v>1079</v>
      </c>
      <c r="D20" s="55"/>
      <c r="E20" s="55">
        <v>107.9</v>
      </c>
      <c r="F20" s="61">
        <f t="shared" si="0"/>
        <v>1186.9000000000001</v>
      </c>
      <c r="G20" s="185">
        <f t="shared" si="1"/>
        <v>4361.8575000000001</v>
      </c>
      <c r="H20" s="410">
        <f t="shared" si="2"/>
        <v>5412.6289717499994</v>
      </c>
      <c r="I20" s="472">
        <f>ROUND((C20+D20+E20)*('29_01_H_2020'!$F$14)*B20*12*1.2409,2)</f>
        <v>6495.15</v>
      </c>
      <c r="K20" s="187"/>
      <c r="L20" s="187"/>
      <c r="M20" s="486"/>
      <c r="N20" s="187"/>
      <c r="O20" s="187"/>
    </row>
    <row r="21" spans="1:15" x14ac:dyDescent="0.25">
      <c r="A21" s="184" t="s">
        <v>24</v>
      </c>
      <c r="B21" s="344">
        <v>0.25</v>
      </c>
      <c r="C21" s="55">
        <v>950</v>
      </c>
      <c r="D21" s="55"/>
      <c r="E21" s="55"/>
      <c r="F21" s="61">
        <f t="shared" si="0"/>
        <v>950</v>
      </c>
      <c r="G21" s="185">
        <f t="shared" si="1"/>
        <v>237.5</v>
      </c>
      <c r="H21" s="410">
        <f t="shared" si="2"/>
        <v>294.71374999999995</v>
      </c>
      <c r="I21" s="472">
        <f>ROUND((C21+D21+E21)*('29_01_H_2020'!$F$14)*B21*12*1.2409,2)</f>
        <v>353.66</v>
      </c>
      <c r="K21" s="187"/>
      <c r="L21" s="187"/>
      <c r="M21" s="486"/>
      <c r="N21" s="187"/>
      <c r="O21" s="187"/>
    </row>
    <row r="22" spans="1:15" x14ac:dyDescent="0.25">
      <c r="A22" s="184" t="s">
        <v>24</v>
      </c>
      <c r="B22" s="344">
        <v>1.5</v>
      </c>
      <c r="C22" s="55">
        <v>1079</v>
      </c>
      <c r="D22" s="55">
        <v>161.85</v>
      </c>
      <c r="E22" s="55">
        <v>107.9</v>
      </c>
      <c r="F22" s="61">
        <f t="shared" si="0"/>
        <v>1348.75</v>
      </c>
      <c r="G22" s="185">
        <f t="shared" si="1"/>
        <v>2023.125</v>
      </c>
      <c r="H22" s="410">
        <f t="shared" si="2"/>
        <v>2510.4958124999998</v>
      </c>
      <c r="I22" s="472">
        <f>ROUND((C22+D22+E22)*('29_01_H_2020'!$F$14)*B22*12*1.2409,2)</f>
        <v>3012.59</v>
      </c>
      <c r="K22" s="187"/>
      <c r="L22" s="187"/>
      <c r="M22" s="486"/>
      <c r="N22" s="187"/>
      <c r="O22" s="187"/>
    </row>
    <row r="23" spans="1:15" x14ac:dyDescent="0.25">
      <c r="A23" s="184" t="s">
        <v>24</v>
      </c>
      <c r="B23" s="344">
        <v>0.35</v>
      </c>
      <c r="C23" s="55">
        <v>1094</v>
      </c>
      <c r="D23" s="55"/>
      <c r="E23" s="55">
        <v>109.4</v>
      </c>
      <c r="F23" s="61">
        <f t="shared" si="0"/>
        <v>1203.4000000000001</v>
      </c>
      <c r="G23" s="185">
        <f t="shared" si="1"/>
        <v>421.19</v>
      </c>
      <c r="H23" s="410">
        <f t="shared" si="2"/>
        <v>522.65467100000001</v>
      </c>
      <c r="I23" s="472">
        <f>ROUND((C23+D23+E23)*('29_01_H_2020'!$F$14)*B23*12*1.2409,2)</f>
        <v>627.19000000000005</v>
      </c>
      <c r="K23" s="187"/>
      <c r="L23" s="187"/>
      <c r="M23" s="486"/>
      <c r="N23" s="187"/>
      <c r="O23" s="187"/>
    </row>
    <row r="24" spans="1:15" x14ac:dyDescent="0.25">
      <c r="A24" s="184" t="s">
        <v>24</v>
      </c>
      <c r="B24" s="344">
        <v>1</v>
      </c>
      <c r="C24" s="55">
        <v>1079</v>
      </c>
      <c r="D24" s="55">
        <v>162</v>
      </c>
      <c r="E24" s="55">
        <v>216</v>
      </c>
      <c r="F24" s="61">
        <f t="shared" si="0"/>
        <v>1457</v>
      </c>
      <c r="G24" s="185">
        <f t="shared" si="1"/>
        <v>1457</v>
      </c>
      <c r="H24" s="410">
        <f t="shared" si="2"/>
        <v>1807.9912999999999</v>
      </c>
      <c r="I24" s="472">
        <f>ROUND((C24+D24+E24)*('29_01_H_2020'!$F$14)*B24*12*1.2409,2)</f>
        <v>2169.59</v>
      </c>
      <c r="K24" s="187"/>
      <c r="L24" s="187"/>
      <c r="M24" s="486"/>
      <c r="N24" s="187"/>
      <c r="O24" s="187"/>
    </row>
    <row r="25" spans="1:15" x14ac:dyDescent="0.25">
      <c r="A25" s="184" t="s">
        <v>24</v>
      </c>
      <c r="B25" s="344">
        <v>1</v>
      </c>
      <c r="C25" s="55">
        <v>1079</v>
      </c>
      <c r="D25" s="55">
        <v>21.58</v>
      </c>
      <c r="E25" s="55">
        <v>32.369999999999997</v>
      </c>
      <c r="F25" s="61">
        <f t="shared" si="0"/>
        <v>1132.9499999999998</v>
      </c>
      <c r="G25" s="185">
        <f t="shared" si="1"/>
        <v>1132.9499999999998</v>
      </c>
      <c r="H25" s="410">
        <f t="shared" si="2"/>
        <v>1405.8776549999995</v>
      </c>
      <c r="I25" s="472">
        <f>ROUND((C25+D25+E25)*('29_01_H_2020'!$F$14)*B25*12*1.2409,2)</f>
        <v>1687.05</v>
      </c>
      <c r="K25" s="187"/>
      <c r="L25" s="187"/>
      <c r="M25" s="486"/>
      <c r="N25" s="187"/>
      <c r="O25" s="187"/>
    </row>
    <row r="26" spans="1:15" x14ac:dyDescent="0.25">
      <c r="A26" s="184" t="s">
        <v>24</v>
      </c>
      <c r="B26" s="344">
        <v>0.5</v>
      </c>
      <c r="C26" s="55">
        <v>1079</v>
      </c>
      <c r="D26" s="55">
        <v>107.9</v>
      </c>
      <c r="E26" s="55">
        <v>107.9</v>
      </c>
      <c r="F26" s="61">
        <f t="shared" si="0"/>
        <v>1294.8000000000002</v>
      </c>
      <c r="G26" s="185">
        <f t="shared" si="1"/>
        <v>647.40000000000009</v>
      </c>
      <c r="H26" s="410">
        <f t="shared" si="2"/>
        <v>803.35865999999999</v>
      </c>
      <c r="I26" s="472">
        <f>ROUND((C26+D26+E26)*('29_01_H_2020'!$F$14)*B26*12*1.2409,2)</f>
        <v>964.03</v>
      </c>
      <c r="K26" s="187"/>
      <c r="L26" s="187"/>
      <c r="M26" s="486"/>
      <c r="N26" s="187"/>
      <c r="O26" s="187"/>
    </row>
    <row r="27" spans="1:15" x14ac:dyDescent="0.25">
      <c r="A27" s="184" t="s">
        <v>24</v>
      </c>
      <c r="B27" s="344">
        <v>0.2</v>
      </c>
      <c r="C27" s="55">
        <v>750</v>
      </c>
      <c r="D27" s="55"/>
      <c r="E27" s="55"/>
      <c r="F27" s="61">
        <f t="shared" si="0"/>
        <v>750</v>
      </c>
      <c r="G27" s="185">
        <f t="shared" si="1"/>
        <v>150</v>
      </c>
      <c r="H27" s="410">
        <f t="shared" si="2"/>
        <v>186.13499999999999</v>
      </c>
      <c r="I27" s="472">
        <f>ROUND((C27+D27+E27)*('29_01_H_2020'!$F$14)*B27*12*1.2409,2)</f>
        <v>223.36</v>
      </c>
      <c r="K27" s="187"/>
      <c r="L27" s="187"/>
      <c r="M27" s="486"/>
      <c r="N27" s="187"/>
      <c r="O27" s="187"/>
    </row>
    <row r="28" spans="1:15" x14ac:dyDescent="0.25">
      <c r="A28" s="184" t="s">
        <v>24</v>
      </c>
      <c r="B28" s="344">
        <v>0.5</v>
      </c>
      <c r="C28" s="55">
        <v>967</v>
      </c>
      <c r="D28" s="55"/>
      <c r="E28" s="55">
        <v>96.7</v>
      </c>
      <c r="F28" s="61">
        <f t="shared" si="0"/>
        <v>1063.7</v>
      </c>
      <c r="G28" s="185">
        <f t="shared" si="1"/>
        <v>531.85</v>
      </c>
      <c r="H28" s="410">
        <f t="shared" si="2"/>
        <v>659.97266500000001</v>
      </c>
      <c r="I28" s="472">
        <f>ROUND((C28+D28+E28)*('29_01_H_2020'!$F$14)*B28*12*1.2409,2)</f>
        <v>791.97</v>
      </c>
      <c r="K28" s="187"/>
      <c r="L28" s="187"/>
      <c r="M28" s="486"/>
      <c r="N28" s="187"/>
      <c r="O28" s="187"/>
    </row>
    <row r="29" spans="1:15" x14ac:dyDescent="0.25">
      <c r="A29" s="184" t="s">
        <v>24</v>
      </c>
      <c r="B29" s="344">
        <v>0.5</v>
      </c>
      <c r="C29" s="55">
        <v>950</v>
      </c>
      <c r="D29" s="55">
        <v>142.5</v>
      </c>
      <c r="E29" s="55">
        <v>142.5</v>
      </c>
      <c r="F29" s="61">
        <f t="shared" si="0"/>
        <v>1235</v>
      </c>
      <c r="G29" s="185">
        <f t="shared" si="1"/>
        <v>617.5</v>
      </c>
      <c r="H29" s="410">
        <f t="shared" si="2"/>
        <v>766.25574999999992</v>
      </c>
      <c r="I29" s="472">
        <f>ROUND((C29+D29+E29)*('29_01_H_2020'!$F$14)*B29*12*1.2409,2)</f>
        <v>919.51</v>
      </c>
      <c r="K29" s="187"/>
      <c r="L29" s="187"/>
      <c r="M29" s="486"/>
      <c r="N29" s="187"/>
      <c r="O29" s="187"/>
    </row>
    <row r="30" spans="1:15" x14ac:dyDescent="0.25">
      <c r="A30" s="184" t="s">
        <v>24</v>
      </c>
      <c r="B30" s="344">
        <v>3</v>
      </c>
      <c r="C30" s="55">
        <v>1079</v>
      </c>
      <c r="D30" s="55"/>
      <c r="E30" s="55"/>
      <c r="F30" s="61">
        <f t="shared" si="0"/>
        <v>1079</v>
      </c>
      <c r="G30" s="185">
        <f t="shared" si="1"/>
        <v>3237</v>
      </c>
      <c r="H30" s="410">
        <f t="shared" si="2"/>
        <v>4016.7932999999998</v>
      </c>
      <c r="I30" s="472">
        <f>ROUND((C30+D30+E30)*('29_01_H_2020'!$F$14)*B30*12*1.2409,2)</f>
        <v>4820.1499999999996</v>
      </c>
      <c r="K30" s="187"/>
      <c r="L30" s="187"/>
      <c r="M30" s="486"/>
      <c r="N30" s="187"/>
      <c r="O30" s="187"/>
    </row>
    <row r="31" spans="1:15" x14ac:dyDescent="0.25">
      <c r="A31" s="184" t="s">
        <v>24</v>
      </c>
      <c r="B31" s="344">
        <v>0.5</v>
      </c>
      <c r="C31" s="55">
        <v>1079</v>
      </c>
      <c r="D31" s="55"/>
      <c r="E31" s="55"/>
      <c r="F31" s="61">
        <f t="shared" si="0"/>
        <v>1079</v>
      </c>
      <c r="G31" s="185">
        <f t="shared" si="1"/>
        <v>539.5</v>
      </c>
      <c r="H31" s="410">
        <f t="shared" si="2"/>
        <v>669.46554999999989</v>
      </c>
      <c r="I31" s="472">
        <f>ROUND((C31+D31+E31)*('29_01_H_2020'!$F$14)*B31*12*1.2409,2)</f>
        <v>803.36</v>
      </c>
      <c r="K31" s="187"/>
      <c r="L31" s="187"/>
      <c r="M31" s="486"/>
      <c r="N31" s="187"/>
      <c r="O31" s="187"/>
    </row>
    <row r="32" spans="1:15" x14ac:dyDescent="0.25">
      <c r="A32" s="184" t="s">
        <v>24</v>
      </c>
      <c r="B32" s="344">
        <v>1</v>
      </c>
      <c r="C32" s="55">
        <v>1150.52</v>
      </c>
      <c r="D32" s="55"/>
      <c r="E32" s="55"/>
      <c r="F32" s="61">
        <f t="shared" si="0"/>
        <v>1150.52</v>
      </c>
      <c r="G32" s="185">
        <f t="shared" si="1"/>
        <v>1150.52</v>
      </c>
      <c r="H32" s="410">
        <f t="shared" si="2"/>
        <v>1427.6802679999998</v>
      </c>
      <c r="I32" s="472">
        <f>ROUND((C32+D32+E32)*('29_01_H_2020'!$F$14)*B32*12*1.2409,2)</f>
        <v>1713.22</v>
      </c>
      <c r="K32" s="187"/>
      <c r="L32" s="187"/>
      <c r="M32" s="486"/>
      <c r="N32" s="187"/>
      <c r="O32" s="187"/>
    </row>
    <row r="33" spans="1:15" x14ac:dyDescent="0.25">
      <c r="A33" s="184" t="s">
        <v>24</v>
      </c>
      <c r="B33" s="344">
        <v>0.5</v>
      </c>
      <c r="C33" s="55">
        <v>950</v>
      </c>
      <c r="D33" s="55"/>
      <c r="E33" s="55"/>
      <c r="F33" s="61">
        <f t="shared" si="0"/>
        <v>950</v>
      </c>
      <c r="G33" s="185">
        <f t="shared" si="1"/>
        <v>475</v>
      </c>
      <c r="H33" s="410">
        <f t="shared" si="2"/>
        <v>589.4274999999999</v>
      </c>
      <c r="I33" s="472">
        <f>ROUND((C33+D33+E33)*('29_01_H_2020'!$F$14)*B33*12*1.2409,2)</f>
        <v>707.31</v>
      </c>
      <c r="K33" s="187"/>
      <c r="L33" s="187"/>
      <c r="M33" s="486"/>
      <c r="N33" s="187"/>
      <c r="O33" s="187"/>
    </row>
    <row r="34" spans="1:15" x14ac:dyDescent="0.25">
      <c r="A34" s="184" t="s">
        <v>24</v>
      </c>
      <c r="B34" s="344">
        <v>0.25</v>
      </c>
      <c r="C34" s="55">
        <v>1079</v>
      </c>
      <c r="D34" s="55">
        <v>32.369999999999997</v>
      </c>
      <c r="E34" s="55"/>
      <c r="F34" s="61">
        <f t="shared" si="0"/>
        <v>1111.3699999999999</v>
      </c>
      <c r="G34" s="185">
        <f t="shared" si="1"/>
        <v>277.84249999999997</v>
      </c>
      <c r="H34" s="410">
        <f t="shared" si="2"/>
        <v>344.77475824999993</v>
      </c>
      <c r="I34" s="472">
        <f>ROUND((C34+D34+E34)*('29_01_H_2020'!$F$14)*B34*12*1.2409,2)</f>
        <v>413.73</v>
      </c>
      <c r="K34" s="187"/>
      <c r="L34" s="187"/>
      <c r="M34" s="486"/>
      <c r="N34" s="187"/>
      <c r="O34" s="187"/>
    </row>
    <row r="35" spans="1:15" x14ac:dyDescent="0.25">
      <c r="A35" s="184" t="s">
        <v>24</v>
      </c>
      <c r="B35" s="344">
        <v>0.25</v>
      </c>
      <c r="C35" s="55">
        <v>1079</v>
      </c>
      <c r="D35" s="55">
        <v>10.79</v>
      </c>
      <c r="E35" s="55"/>
      <c r="F35" s="61">
        <f t="shared" si="0"/>
        <v>1089.79</v>
      </c>
      <c r="G35" s="185">
        <f t="shared" si="1"/>
        <v>272.44749999999999</v>
      </c>
      <c r="H35" s="410">
        <f t="shared" si="2"/>
        <v>338.08010274999998</v>
      </c>
      <c r="I35" s="472">
        <f>ROUND((C35+D35+E35)*('29_01_H_2020'!$F$14)*B35*12*1.2409,2)</f>
        <v>405.7</v>
      </c>
      <c r="K35" s="187"/>
      <c r="L35" s="187"/>
      <c r="M35" s="486"/>
      <c r="N35" s="187"/>
      <c r="O35" s="187"/>
    </row>
    <row r="36" spans="1:15" x14ac:dyDescent="0.25">
      <c r="A36" s="184" t="s">
        <v>24</v>
      </c>
      <c r="B36" s="344">
        <v>0.5</v>
      </c>
      <c r="C36" s="55">
        <v>1127</v>
      </c>
      <c r="D36" s="55"/>
      <c r="E36" s="55"/>
      <c r="F36" s="61">
        <f t="shared" si="0"/>
        <v>1127</v>
      </c>
      <c r="G36" s="185">
        <f t="shared" si="1"/>
        <v>563.5</v>
      </c>
      <c r="H36" s="410">
        <f t="shared" si="2"/>
        <v>699.24714999999992</v>
      </c>
      <c r="I36" s="472">
        <f>ROUND((C36+D36+E36)*('29_01_H_2020'!$F$14)*B36*12*1.2409,2)</f>
        <v>839.1</v>
      </c>
      <c r="K36" s="187"/>
      <c r="L36" s="187"/>
      <c r="M36" s="486"/>
      <c r="N36" s="187"/>
      <c r="O36" s="187"/>
    </row>
    <row r="37" spans="1:15" x14ac:dyDescent="0.25">
      <c r="A37" s="184" t="s">
        <v>24</v>
      </c>
      <c r="B37" s="344">
        <v>0.9</v>
      </c>
      <c r="C37" s="55">
        <v>591</v>
      </c>
      <c r="D37" s="55"/>
      <c r="E37" s="55"/>
      <c r="F37" s="61">
        <f t="shared" si="0"/>
        <v>591</v>
      </c>
      <c r="G37" s="185">
        <f t="shared" si="1"/>
        <v>531.9</v>
      </c>
      <c r="H37" s="410">
        <f t="shared" si="2"/>
        <v>660.0347099999999</v>
      </c>
      <c r="I37" s="472">
        <f>ROUND((C37+D37+E37)*('29_01_H_2020'!$F$14)*B37*12*1.2409,2)</f>
        <v>792.04</v>
      </c>
      <c r="K37" s="187"/>
      <c r="L37" s="187"/>
      <c r="M37" s="486"/>
      <c r="N37" s="187"/>
      <c r="O37" s="187"/>
    </row>
    <row r="38" spans="1:15" x14ac:dyDescent="0.25">
      <c r="A38" s="184" t="s">
        <v>24</v>
      </c>
      <c r="B38" s="344">
        <v>1</v>
      </c>
      <c r="C38" s="55">
        <v>1091</v>
      </c>
      <c r="D38" s="55"/>
      <c r="E38" s="55"/>
      <c r="F38" s="61">
        <f t="shared" si="0"/>
        <v>1091</v>
      </c>
      <c r="G38" s="185">
        <f t="shared" si="1"/>
        <v>1091</v>
      </c>
      <c r="H38" s="410">
        <f t="shared" si="2"/>
        <v>1353.8218999999999</v>
      </c>
      <c r="I38" s="472">
        <f>ROUND((C38+D38+E38)*('29_01_H_2020'!$F$14)*B38*12*1.2409,2)</f>
        <v>1624.59</v>
      </c>
      <c r="K38" s="187"/>
      <c r="L38" s="187"/>
      <c r="M38" s="486"/>
      <c r="N38" s="187"/>
      <c r="O38" s="187"/>
    </row>
    <row r="39" spans="1:15" x14ac:dyDescent="0.25">
      <c r="A39" s="184" t="s">
        <v>24</v>
      </c>
      <c r="B39" s="344">
        <v>0.5</v>
      </c>
      <c r="C39" s="55">
        <v>950</v>
      </c>
      <c r="D39" s="55">
        <v>142.5</v>
      </c>
      <c r="E39" s="55">
        <v>95</v>
      </c>
      <c r="F39" s="61">
        <f t="shared" si="0"/>
        <v>1187.5</v>
      </c>
      <c r="G39" s="185">
        <f t="shared" si="1"/>
        <v>593.75</v>
      </c>
      <c r="H39" s="410">
        <f t="shared" si="2"/>
        <v>736.78437499999995</v>
      </c>
      <c r="I39" s="472">
        <f>ROUND((C39+D39+E39)*('29_01_H_2020'!$F$14)*B39*12*1.2409,2)</f>
        <v>884.14</v>
      </c>
      <c r="K39" s="187"/>
      <c r="L39" s="187"/>
      <c r="M39" s="486"/>
      <c r="N39" s="187"/>
      <c r="O39" s="187"/>
    </row>
    <row r="40" spans="1:15" x14ac:dyDescent="0.25">
      <c r="A40" s="184" t="s">
        <v>24</v>
      </c>
      <c r="B40" s="344">
        <v>0.55000000000000004</v>
      </c>
      <c r="C40" s="55">
        <v>1079</v>
      </c>
      <c r="D40" s="55"/>
      <c r="E40" s="55">
        <v>107.9</v>
      </c>
      <c r="F40" s="61">
        <f t="shared" si="0"/>
        <v>1186.9000000000001</v>
      </c>
      <c r="G40" s="185">
        <f t="shared" si="1"/>
        <v>652.79500000000007</v>
      </c>
      <c r="H40" s="410">
        <v>810.05</v>
      </c>
      <c r="I40" s="472">
        <f>ROUND((C40+D40+E40)*('29_01_H_2020'!$F$14)*B40*12*1.2409,2)</f>
        <v>972.06</v>
      </c>
      <c r="K40" s="187"/>
      <c r="L40" s="187"/>
      <c r="M40" s="486"/>
      <c r="N40" s="187"/>
      <c r="O40" s="187"/>
    </row>
    <row r="41" spans="1:15" s="187" customFormat="1" x14ac:dyDescent="0.25">
      <c r="A41" s="175" t="s">
        <v>307</v>
      </c>
      <c r="B41" s="345">
        <v>1</v>
      </c>
      <c r="C41" s="75">
        <v>1079</v>
      </c>
      <c r="D41" s="75">
        <v>32.369999999999997</v>
      </c>
      <c r="E41" s="75">
        <v>107.9</v>
      </c>
      <c r="F41" s="76">
        <f t="shared" si="0"/>
        <v>1219.27</v>
      </c>
      <c r="G41" s="186">
        <f t="shared" si="1"/>
        <v>1219.27</v>
      </c>
      <c r="H41" s="410">
        <f>+G41*1.2409</f>
        <v>1512.9921429999999</v>
      </c>
      <c r="I41" s="472">
        <f>ROUND((C41+D41+E41)*('29_01_H_2020'!$F$14)*B41*12*1.2409,2)</f>
        <v>1815.59</v>
      </c>
      <c r="M41" s="486"/>
    </row>
    <row r="42" spans="1:15" s="187" customFormat="1" x14ac:dyDescent="0.25">
      <c r="A42" s="175" t="s">
        <v>307</v>
      </c>
      <c r="B42" s="345">
        <v>0.75</v>
      </c>
      <c r="C42" s="75">
        <v>1079</v>
      </c>
      <c r="D42" s="75">
        <v>32.369999999999997</v>
      </c>
      <c r="E42" s="75">
        <v>107.9</v>
      </c>
      <c r="F42" s="76">
        <f t="shared" si="0"/>
        <v>1219.27</v>
      </c>
      <c r="G42" s="186">
        <f t="shared" si="1"/>
        <v>914.45249999999999</v>
      </c>
      <c r="H42" s="410">
        <f>+G42*1.2409</f>
        <v>1134.7441072499998</v>
      </c>
      <c r="I42" s="472">
        <f>ROUND((C42+D42+E42)*('29_01_H_2020'!$F$14)*B42*12*1.2409,2)</f>
        <v>1361.69</v>
      </c>
      <c r="M42" s="486"/>
    </row>
    <row r="43" spans="1:15" s="187" customFormat="1" x14ac:dyDescent="0.25">
      <c r="A43" s="175" t="s">
        <v>307</v>
      </c>
      <c r="B43" s="345">
        <v>0.2</v>
      </c>
      <c r="C43" s="75">
        <v>1425</v>
      </c>
      <c r="D43" s="75"/>
      <c r="E43" s="75"/>
      <c r="F43" s="76">
        <f t="shared" si="0"/>
        <v>1425</v>
      </c>
      <c r="G43" s="186">
        <f t="shared" si="1"/>
        <v>285</v>
      </c>
      <c r="H43" s="410">
        <f>+G43*1.2409</f>
        <v>353.65649999999999</v>
      </c>
      <c r="I43" s="472">
        <f>ROUND((C43+D43+E43)*('29_01_H_2020'!$F$14)*B43*12*1.2409,2)</f>
        <v>424.39</v>
      </c>
      <c r="M43" s="486"/>
    </row>
    <row r="44" spans="1:15" s="187" customFormat="1" x14ac:dyDescent="0.25">
      <c r="A44" s="175" t="s">
        <v>307</v>
      </c>
      <c r="B44" s="345">
        <v>0.25</v>
      </c>
      <c r="C44" s="75">
        <v>1079</v>
      </c>
      <c r="D44" s="75">
        <v>107.9</v>
      </c>
      <c r="E44" s="75">
        <v>129.47999999999999</v>
      </c>
      <c r="F44" s="76">
        <f t="shared" si="0"/>
        <v>1316.38</v>
      </c>
      <c r="G44" s="186">
        <f t="shared" si="1"/>
        <v>329.09500000000003</v>
      </c>
      <c r="H44" s="410">
        <v>408.37</v>
      </c>
      <c r="I44" s="472">
        <f>ROUND((C44+D44+E44)*('29_01_H_2020'!$F$14)*B44*12*1.2409,2)</f>
        <v>490.05</v>
      </c>
      <c r="M44" s="486"/>
    </row>
    <row r="45" spans="1:15" s="187" customFormat="1" x14ac:dyDescent="0.25">
      <c r="A45" s="175" t="s">
        <v>307</v>
      </c>
      <c r="B45" s="345">
        <v>0.4</v>
      </c>
      <c r="C45" s="75">
        <v>950</v>
      </c>
      <c r="D45" s="75"/>
      <c r="E45" s="75"/>
      <c r="F45" s="76">
        <f t="shared" si="0"/>
        <v>950</v>
      </c>
      <c r="G45" s="186">
        <f t="shared" si="1"/>
        <v>380</v>
      </c>
      <c r="H45" s="410">
        <f t="shared" ref="H45:H55" si="3">+G45*1.2409</f>
        <v>471.54199999999997</v>
      </c>
      <c r="I45" s="472">
        <f>ROUND((C45+D45+E45)*('29_01_H_2020'!$F$14)*B45*12*1.2409,2)</f>
        <v>565.85</v>
      </c>
      <c r="M45" s="486"/>
    </row>
    <row r="46" spans="1:15" s="187" customFormat="1" x14ac:dyDescent="0.25">
      <c r="A46" s="175" t="s">
        <v>307</v>
      </c>
      <c r="B46" s="345">
        <v>0.25</v>
      </c>
      <c r="C46" s="75">
        <v>1100</v>
      </c>
      <c r="D46" s="75">
        <v>110</v>
      </c>
      <c r="E46" s="75">
        <v>110</v>
      </c>
      <c r="F46" s="76">
        <f t="shared" si="0"/>
        <v>1320</v>
      </c>
      <c r="G46" s="186">
        <f t="shared" si="1"/>
        <v>330</v>
      </c>
      <c r="H46" s="410">
        <f t="shared" si="3"/>
        <v>409.49699999999996</v>
      </c>
      <c r="I46" s="472">
        <f>ROUND((C46+D46+E46)*('29_01_H_2020'!$F$14)*B46*12*1.2409,2)</f>
        <v>491.4</v>
      </c>
      <c r="M46" s="486"/>
    </row>
    <row r="47" spans="1:15" s="187" customFormat="1" x14ac:dyDescent="0.25">
      <c r="A47" s="175" t="s">
        <v>307</v>
      </c>
      <c r="B47" s="345">
        <v>0.3</v>
      </c>
      <c r="C47" s="75">
        <v>1079</v>
      </c>
      <c r="D47" s="75">
        <v>21.58</v>
      </c>
      <c r="E47" s="75"/>
      <c r="F47" s="76">
        <f t="shared" si="0"/>
        <v>1100.58</v>
      </c>
      <c r="G47" s="186">
        <f t="shared" si="1"/>
        <v>330.17399999999998</v>
      </c>
      <c r="H47" s="410">
        <f t="shared" si="3"/>
        <v>409.71291659999991</v>
      </c>
      <c r="I47" s="472">
        <f>ROUND((C47+D47+E47)*('29_01_H_2020'!$F$14)*B47*12*1.2409,2)</f>
        <v>491.66</v>
      </c>
      <c r="M47" s="486"/>
    </row>
    <row r="48" spans="1:15" s="187" customFormat="1" x14ac:dyDescent="0.25">
      <c r="A48" s="175" t="s">
        <v>307</v>
      </c>
      <c r="B48" s="345">
        <v>0.4</v>
      </c>
      <c r="C48" s="75">
        <v>1079</v>
      </c>
      <c r="D48" s="75">
        <v>32.369999999999997</v>
      </c>
      <c r="E48" s="75"/>
      <c r="F48" s="76">
        <f t="shared" si="0"/>
        <v>1111.3699999999999</v>
      </c>
      <c r="G48" s="186">
        <f t="shared" si="1"/>
        <v>444.548</v>
      </c>
      <c r="H48" s="410">
        <f t="shared" si="3"/>
        <v>551.63961319999999</v>
      </c>
      <c r="I48" s="472">
        <f>ROUND((C48+D48+E48)*('29_01_H_2020'!$F$14)*B48*12*1.2409,2)</f>
        <v>661.97</v>
      </c>
      <c r="M48" s="486"/>
    </row>
    <row r="49" spans="1:13" s="187" customFormat="1" x14ac:dyDescent="0.25">
      <c r="A49" s="175" t="s">
        <v>294</v>
      </c>
      <c r="B49" s="345">
        <v>1</v>
      </c>
      <c r="C49" s="75">
        <v>950</v>
      </c>
      <c r="D49" s="75"/>
      <c r="E49" s="75">
        <v>95</v>
      </c>
      <c r="F49" s="76">
        <f t="shared" si="0"/>
        <v>1045</v>
      </c>
      <c r="G49" s="186">
        <f t="shared" si="1"/>
        <v>1045</v>
      </c>
      <c r="H49" s="410">
        <f t="shared" si="3"/>
        <v>1296.7404999999999</v>
      </c>
      <c r="I49" s="472">
        <f>ROUND((C49+D49+E49)*('29_01_H_2020'!$F$14)*B49*12*1.2409,2)</f>
        <v>1556.09</v>
      </c>
      <c r="M49" s="486"/>
    </row>
    <row r="50" spans="1:13" s="187" customFormat="1" x14ac:dyDescent="0.25">
      <c r="A50" s="175" t="s">
        <v>294</v>
      </c>
      <c r="B50" s="345">
        <v>0.5</v>
      </c>
      <c r="C50" s="75">
        <v>820</v>
      </c>
      <c r="D50" s="75"/>
      <c r="E50" s="75">
        <v>82</v>
      </c>
      <c r="F50" s="76">
        <f t="shared" si="0"/>
        <v>902</v>
      </c>
      <c r="G50" s="186">
        <f t="shared" si="1"/>
        <v>451</v>
      </c>
      <c r="H50" s="410">
        <f t="shared" si="3"/>
        <v>559.64589999999998</v>
      </c>
      <c r="I50" s="472">
        <f>ROUND((C50+D50+E50)*('29_01_H_2020'!$F$14)*B50*12*1.2409,2)</f>
        <v>671.58</v>
      </c>
      <c r="M50" s="486"/>
    </row>
    <row r="51" spans="1:13" s="187" customFormat="1" x14ac:dyDescent="0.25">
      <c r="A51" s="175" t="s">
        <v>294</v>
      </c>
      <c r="B51" s="345">
        <v>1</v>
      </c>
      <c r="C51" s="75">
        <v>850</v>
      </c>
      <c r="D51" s="75"/>
      <c r="E51" s="75">
        <v>85</v>
      </c>
      <c r="F51" s="76">
        <f t="shared" si="0"/>
        <v>935</v>
      </c>
      <c r="G51" s="186">
        <f t="shared" si="1"/>
        <v>935</v>
      </c>
      <c r="H51" s="410">
        <f t="shared" si="3"/>
        <v>1160.2414999999999</v>
      </c>
      <c r="I51" s="472">
        <f>ROUND((C51+D51+E51)*('29_01_H_2020'!$F$14)*B51*12*1.2409,2)</f>
        <v>1392.29</v>
      </c>
      <c r="M51" s="486"/>
    </row>
    <row r="52" spans="1:13" s="187" customFormat="1" x14ac:dyDescent="0.25">
      <c r="A52" s="175" t="s">
        <v>294</v>
      </c>
      <c r="B52" s="345">
        <v>0.25</v>
      </c>
      <c r="C52" s="75">
        <v>714</v>
      </c>
      <c r="D52" s="75"/>
      <c r="E52" s="75"/>
      <c r="F52" s="76">
        <f t="shared" si="0"/>
        <v>714</v>
      </c>
      <c r="G52" s="186">
        <f t="shared" si="1"/>
        <v>178.5</v>
      </c>
      <c r="H52" s="410">
        <f t="shared" si="3"/>
        <v>221.50064999999998</v>
      </c>
      <c r="I52" s="472">
        <f>ROUND((C52+D52+E52)*('29_01_H_2020'!$F$14)*B52*12*1.2409,2)</f>
        <v>265.8</v>
      </c>
      <c r="M52" s="486"/>
    </row>
    <row r="53" spans="1:13" s="187" customFormat="1" x14ac:dyDescent="0.25">
      <c r="A53" s="175" t="s">
        <v>294</v>
      </c>
      <c r="B53" s="345">
        <v>1.5</v>
      </c>
      <c r="C53" s="75">
        <v>714</v>
      </c>
      <c r="D53" s="75">
        <v>42.84</v>
      </c>
      <c r="E53" s="75">
        <v>71.400000000000006</v>
      </c>
      <c r="F53" s="76">
        <f t="shared" si="0"/>
        <v>828.24</v>
      </c>
      <c r="G53" s="186">
        <f t="shared" si="1"/>
        <v>1242.3600000000001</v>
      </c>
      <c r="H53" s="410">
        <f t="shared" si="3"/>
        <v>1541.644524</v>
      </c>
      <c r="I53" s="472">
        <f>ROUND((C53+D53+E53)*('29_01_H_2020'!$F$14)*B53*12*1.2409,2)</f>
        <v>1849.97</v>
      </c>
      <c r="M53" s="486"/>
    </row>
    <row r="54" spans="1:13" s="187" customFormat="1" x14ac:dyDescent="0.25">
      <c r="A54" s="175" t="s">
        <v>294</v>
      </c>
      <c r="B54" s="345">
        <v>0.4</v>
      </c>
      <c r="C54" s="75">
        <v>1012</v>
      </c>
      <c r="D54" s="75"/>
      <c r="E54" s="75"/>
      <c r="F54" s="76">
        <f t="shared" si="0"/>
        <v>1012</v>
      </c>
      <c r="G54" s="186">
        <f t="shared" si="1"/>
        <v>404.8</v>
      </c>
      <c r="H54" s="410">
        <f t="shared" si="3"/>
        <v>502.31631999999996</v>
      </c>
      <c r="I54" s="472">
        <f>ROUND((C54+D54+E54)*('29_01_H_2020'!$F$14)*B54*12*1.2409,2)</f>
        <v>602.78</v>
      </c>
      <c r="M54" s="486"/>
    </row>
    <row r="55" spans="1:13" s="187" customFormat="1" x14ac:dyDescent="0.25">
      <c r="A55" s="175" t="s">
        <v>294</v>
      </c>
      <c r="B55" s="345">
        <v>1.5</v>
      </c>
      <c r="C55" s="75">
        <v>950</v>
      </c>
      <c r="D55" s="75">
        <v>19</v>
      </c>
      <c r="E55" s="75">
        <v>28.5</v>
      </c>
      <c r="F55" s="76">
        <f t="shared" si="0"/>
        <v>997.5</v>
      </c>
      <c r="G55" s="186">
        <f t="shared" si="1"/>
        <v>1496.25</v>
      </c>
      <c r="H55" s="410">
        <f t="shared" si="3"/>
        <v>1856.6966249999998</v>
      </c>
      <c r="I55" s="472">
        <f>ROUND((C55+D55+E55)*('29_01_H_2020'!$F$14)*B55*12*1.2409,2)</f>
        <v>2228.04</v>
      </c>
      <c r="M55" s="486"/>
    </row>
    <row r="56" spans="1:13" s="187" customFormat="1" x14ac:dyDescent="0.25">
      <c r="A56" s="175" t="s">
        <v>294</v>
      </c>
      <c r="B56" s="345">
        <v>0.75</v>
      </c>
      <c r="C56" s="75">
        <v>950</v>
      </c>
      <c r="D56" s="75">
        <v>28.5</v>
      </c>
      <c r="E56" s="75">
        <v>95</v>
      </c>
      <c r="F56" s="76">
        <f t="shared" si="0"/>
        <v>1073.5</v>
      </c>
      <c r="G56" s="186">
        <f t="shared" si="1"/>
        <v>805.125</v>
      </c>
      <c r="H56" s="410">
        <v>999.08</v>
      </c>
      <c r="I56" s="472">
        <f>ROUND((C56+D56+E56)*('29_01_H_2020'!$F$14)*B56*12*1.2409,2)</f>
        <v>1198.9000000000001</v>
      </c>
      <c r="M56" s="486"/>
    </row>
    <row r="57" spans="1:13" s="187" customFormat="1" x14ac:dyDescent="0.25">
      <c r="A57" s="175" t="s">
        <v>294</v>
      </c>
      <c r="B57" s="345">
        <v>0.75</v>
      </c>
      <c r="C57" s="75">
        <v>950</v>
      </c>
      <c r="D57" s="75"/>
      <c r="E57" s="75">
        <v>95</v>
      </c>
      <c r="F57" s="76">
        <f t="shared" si="0"/>
        <v>1045</v>
      </c>
      <c r="G57" s="186">
        <f t="shared" si="1"/>
        <v>783.75</v>
      </c>
      <c r="H57" s="410">
        <f t="shared" ref="H57:H63" si="4">+G57*1.2409</f>
        <v>972.55537499999991</v>
      </c>
      <c r="I57" s="472">
        <f>ROUND((C57+D57+E57)*('29_01_H_2020'!$F$14)*B57*12*1.2409,2)</f>
        <v>1167.07</v>
      </c>
      <c r="M57" s="486"/>
    </row>
    <row r="58" spans="1:13" s="187" customFormat="1" x14ac:dyDescent="0.25">
      <c r="A58" s="175" t="s">
        <v>294</v>
      </c>
      <c r="B58" s="345">
        <v>0.5</v>
      </c>
      <c r="C58" s="75">
        <v>714</v>
      </c>
      <c r="D58" s="75"/>
      <c r="E58" s="75">
        <v>14.28</v>
      </c>
      <c r="F58" s="76">
        <f t="shared" si="0"/>
        <v>728.28</v>
      </c>
      <c r="G58" s="186">
        <f t="shared" si="1"/>
        <v>364.14</v>
      </c>
      <c r="H58" s="410">
        <f t="shared" si="4"/>
        <v>451.86132599999996</v>
      </c>
      <c r="I58" s="472">
        <f>ROUND((C58+D58+E58)*('29_01_H_2020'!$F$14)*B58*12*1.2409,2)</f>
        <v>542.23</v>
      </c>
      <c r="M58" s="486"/>
    </row>
    <row r="59" spans="1:13" s="187" customFormat="1" x14ac:dyDescent="0.25">
      <c r="A59" s="175" t="s">
        <v>294</v>
      </c>
      <c r="B59" s="345">
        <v>0.4</v>
      </c>
      <c r="C59" s="75">
        <v>714</v>
      </c>
      <c r="D59" s="75"/>
      <c r="E59" s="75"/>
      <c r="F59" s="76">
        <f t="shared" si="0"/>
        <v>714</v>
      </c>
      <c r="G59" s="186">
        <f t="shared" si="1"/>
        <v>285.60000000000002</v>
      </c>
      <c r="H59" s="410">
        <f t="shared" si="4"/>
        <v>354.40104000000002</v>
      </c>
      <c r="I59" s="472">
        <f>ROUND((C59+D59+E59)*('29_01_H_2020'!$F$14)*B59*12*1.2409,2)</f>
        <v>425.28</v>
      </c>
      <c r="M59" s="486"/>
    </row>
    <row r="60" spans="1:13" s="187" customFormat="1" x14ac:dyDescent="0.25">
      <c r="A60" s="175" t="s">
        <v>294</v>
      </c>
      <c r="B60" s="345">
        <v>0.2</v>
      </c>
      <c r="C60" s="75">
        <v>950</v>
      </c>
      <c r="D60" s="75">
        <v>9.5</v>
      </c>
      <c r="E60" s="75"/>
      <c r="F60" s="76">
        <f t="shared" si="0"/>
        <v>959.5</v>
      </c>
      <c r="G60" s="186">
        <f t="shared" si="1"/>
        <v>191.9</v>
      </c>
      <c r="H60" s="410">
        <f t="shared" si="4"/>
        <v>238.12870999999998</v>
      </c>
      <c r="I60" s="472">
        <f>ROUND((C60+D60+E60)*('29_01_H_2020'!$F$14)*B60*12*1.2409,2)</f>
        <v>285.75</v>
      </c>
      <c r="M60" s="486"/>
    </row>
    <row r="61" spans="1:13" s="187" customFormat="1" x14ac:dyDescent="0.25">
      <c r="A61" s="175" t="s">
        <v>294</v>
      </c>
      <c r="B61" s="345">
        <v>0.6</v>
      </c>
      <c r="C61" s="75">
        <v>690</v>
      </c>
      <c r="D61" s="75"/>
      <c r="E61" s="75">
        <v>22</v>
      </c>
      <c r="F61" s="76">
        <f t="shared" si="0"/>
        <v>712</v>
      </c>
      <c r="G61" s="186">
        <f t="shared" si="1"/>
        <v>427.2</v>
      </c>
      <c r="H61" s="410">
        <f t="shared" si="4"/>
        <v>530.11247999999989</v>
      </c>
      <c r="I61" s="472">
        <f>ROUND((C61+D61+E61)*('29_01_H_2020'!$F$14)*B61*12*1.2409,2)</f>
        <v>636.13</v>
      </c>
      <c r="M61" s="486"/>
    </row>
    <row r="62" spans="1:13" s="187" customFormat="1" x14ac:dyDescent="0.25">
      <c r="A62" s="175" t="s">
        <v>294</v>
      </c>
      <c r="B62" s="345">
        <v>1</v>
      </c>
      <c r="C62" s="75">
        <v>760</v>
      </c>
      <c r="D62" s="75"/>
      <c r="E62" s="75"/>
      <c r="F62" s="76">
        <f t="shared" si="0"/>
        <v>760</v>
      </c>
      <c r="G62" s="186">
        <f t="shared" si="1"/>
        <v>760</v>
      </c>
      <c r="H62" s="410">
        <f t="shared" si="4"/>
        <v>943.08399999999995</v>
      </c>
      <c r="I62" s="472">
        <f>ROUND((C62+D62+E62)*('29_01_H_2020'!$F$14)*B62*12*1.2409,2)</f>
        <v>1131.7</v>
      </c>
      <c r="M62" s="486"/>
    </row>
    <row r="63" spans="1:13" s="187" customFormat="1" x14ac:dyDescent="0.25">
      <c r="A63" s="175" t="s">
        <v>294</v>
      </c>
      <c r="B63" s="345">
        <v>0.5</v>
      </c>
      <c r="C63" s="75">
        <v>792</v>
      </c>
      <c r="D63" s="75"/>
      <c r="E63" s="75">
        <v>79.2</v>
      </c>
      <c r="F63" s="76">
        <f t="shared" si="0"/>
        <v>871.2</v>
      </c>
      <c r="G63" s="186">
        <f t="shared" si="1"/>
        <v>435.6</v>
      </c>
      <c r="H63" s="410">
        <f t="shared" si="4"/>
        <v>540.53603999999996</v>
      </c>
      <c r="I63" s="472">
        <f>ROUND((C63+D63+E63)*('29_01_H_2020'!$F$14)*B63*12*1.2409,2)</f>
        <v>648.64</v>
      </c>
      <c r="M63" s="486"/>
    </row>
    <row r="64" spans="1:13" s="187" customFormat="1" x14ac:dyDescent="0.25">
      <c r="A64" s="175" t="s">
        <v>313</v>
      </c>
      <c r="B64" s="344">
        <v>0.75</v>
      </c>
      <c r="C64" s="55">
        <v>629</v>
      </c>
      <c r="D64" s="55"/>
      <c r="E64" s="55">
        <v>62.9</v>
      </c>
      <c r="F64" s="61">
        <f t="shared" si="0"/>
        <v>691.9</v>
      </c>
      <c r="G64" s="185">
        <f t="shared" si="1"/>
        <v>518.92499999999995</v>
      </c>
      <c r="H64" s="410">
        <v>643.92999999999995</v>
      </c>
      <c r="I64" s="472">
        <f>ROUND((C64+D64+E64)*('29_01_H_2020'!$F$14)*B64*12*1.2409,2)</f>
        <v>772.72</v>
      </c>
      <c r="M64" s="486"/>
    </row>
    <row r="65" spans="1:13" s="187" customFormat="1" x14ac:dyDescent="0.25">
      <c r="A65" s="175" t="s">
        <v>313</v>
      </c>
      <c r="B65" s="344">
        <v>1.8</v>
      </c>
      <c r="C65" s="55">
        <v>629</v>
      </c>
      <c r="D65" s="55"/>
      <c r="E65" s="55">
        <v>62.9</v>
      </c>
      <c r="F65" s="61">
        <f t="shared" si="0"/>
        <v>691.9</v>
      </c>
      <c r="G65" s="185">
        <f t="shared" si="1"/>
        <v>1245.42</v>
      </c>
      <c r="H65" s="410">
        <f t="shared" ref="H65:H72" si="5">+G65*1.2409</f>
        <v>1545.4416779999999</v>
      </c>
      <c r="I65" s="472">
        <f>ROUND((C65+D65+E65)*('29_01_H_2020'!$F$14)*B65*12*1.2409,2)</f>
        <v>1854.53</v>
      </c>
      <c r="M65" s="486"/>
    </row>
    <row r="66" spans="1:13" s="187" customFormat="1" x14ac:dyDescent="0.25">
      <c r="A66" s="175" t="s">
        <v>313</v>
      </c>
      <c r="B66" s="344">
        <v>1.5</v>
      </c>
      <c r="C66" s="55">
        <v>600</v>
      </c>
      <c r="D66" s="55"/>
      <c r="E66" s="55">
        <v>60</v>
      </c>
      <c r="F66" s="61">
        <f t="shared" si="0"/>
        <v>660</v>
      </c>
      <c r="G66" s="185">
        <f t="shared" si="1"/>
        <v>990</v>
      </c>
      <c r="H66" s="410">
        <f t="shared" si="5"/>
        <v>1228.491</v>
      </c>
      <c r="I66" s="472">
        <f>ROUND((C66+D66+E66)*('29_01_H_2020'!$F$14)*B66*12*1.2409,2)</f>
        <v>1474.19</v>
      </c>
      <c r="M66" s="486"/>
    </row>
    <row r="67" spans="1:13" s="187" customFormat="1" x14ac:dyDescent="0.25">
      <c r="A67" s="175" t="s">
        <v>313</v>
      </c>
      <c r="B67" s="344">
        <v>1.5</v>
      </c>
      <c r="C67" s="55">
        <v>629</v>
      </c>
      <c r="D67" s="55">
        <v>94.35</v>
      </c>
      <c r="E67" s="55">
        <v>62.9</v>
      </c>
      <c r="F67" s="61">
        <f t="shared" si="0"/>
        <v>786.25</v>
      </c>
      <c r="G67" s="185">
        <f t="shared" si="1"/>
        <v>1179.375</v>
      </c>
      <c r="H67" s="410">
        <f t="shared" si="5"/>
        <v>1463.4864375</v>
      </c>
      <c r="I67" s="472">
        <f>ROUND((C67+D67+E67)*('29_01_H_2020'!$F$14)*B67*12*1.2409,2)</f>
        <v>1756.18</v>
      </c>
      <c r="M67" s="486"/>
    </row>
    <row r="68" spans="1:13" s="187" customFormat="1" x14ac:dyDescent="0.25">
      <c r="A68" s="175" t="s">
        <v>313</v>
      </c>
      <c r="B68" s="344">
        <v>1</v>
      </c>
      <c r="C68" s="55">
        <v>629</v>
      </c>
      <c r="D68" s="55">
        <v>18.87</v>
      </c>
      <c r="E68" s="55">
        <v>62.9</v>
      </c>
      <c r="F68" s="61">
        <f t="shared" si="0"/>
        <v>710.77</v>
      </c>
      <c r="G68" s="185">
        <f t="shared" si="1"/>
        <v>710.77</v>
      </c>
      <c r="H68" s="410">
        <f t="shared" si="5"/>
        <v>881.99449299999992</v>
      </c>
      <c r="I68" s="472">
        <f>ROUND((C68+D68+E68)*('29_01_H_2020'!$F$14)*B68*12*1.2409,2)</f>
        <v>1058.3900000000001</v>
      </c>
      <c r="M68" s="486"/>
    </row>
    <row r="69" spans="1:13" s="187" customFormat="1" x14ac:dyDescent="0.25">
      <c r="A69" s="175" t="s">
        <v>313</v>
      </c>
      <c r="B69" s="344">
        <v>1</v>
      </c>
      <c r="C69" s="55">
        <v>714</v>
      </c>
      <c r="D69" s="55">
        <v>71.400000000000006</v>
      </c>
      <c r="E69" s="55">
        <v>85.68</v>
      </c>
      <c r="F69" s="61">
        <f t="shared" si="0"/>
        <v>871.07999999999993</v>
      </c>
      <c r="G69" s="185">
        <f t="shared" si="1"/>
        <v>871.07999999999993</v>
      </c>
      <c r="H69" s="410">
        <f t="shared" si="5"/>
        <v>1080.9231719999998</v>
      </c>
      <c r="I69" s="472">
        <f>ROUND((C69+D69+E69)*('29_01_H_2020'!$F$14)*B69*12*1.2409,2)</f>
        <v>1297.1099999999999</v>
      </c>
      <c r="M69" s="486"/>
    </row>
    <row r="70" spans="1:13" s="187" customFormat="1" x14ac:dyDescent="0.25">
      <c r="A70" s="175" t="s">
        <v>313</v>
      </c>
      <c r="B70" s="344">
        <v>1</v>
      </c>
      <c r="C70" s="55">
        <v>629</v>
      </c>
      <c r="D70" s="55">
        <v>75.48</v>
      </c>
      <c r="E70" s="55">
        <v>125.8</v>
      </c>
      <c r="F70" s="61">
        <f t="shared" si="0"/>
        <v>830.28</v>
      </c>
      <c r="G70" s="185">
        <f t="shared" si="1"/>
        <v>830.28</v>
      </c>
      <c r="H70" s="410">
        <f t="shared" si="5"/>
        <v>1030.2944519999999</v>
      </c>
      <c r="I70" s="472">
        <f>ROUND((C70+D70+E70)*('29_01_H_2020'!$F$14)*B70*12*1.2409,2)</f>
        <v>1236.3499999999999</v>
      </c>
      <c r="M70" s="486"/>
    </row>
    <row r="71" spans="1:13" s="187" customFormat="1" x14ac:dyDescent="0.25">
      <c r="A71" s="175" t="s">
        <v>313</v>
      </c>
      <c r="B71" s="344">
        <v>0.8</v>
      </c>
      <c r="C71" s="55">
        <v>629</v>
      </c>
      <c r="D71" s="55">
        <v>62.9</v>
      </c>
      <c r="E71" s="55">
        <v>62.9</v>
      </c>
      <c r="F71" s="61">
        <f t="shared" si="0"/>
        <v>754.8</v>
      </c>
      <c r="G71" s="185">
        <f t="shared" si="1"/>
        <v>603.84</v>
      </c>
      <c r="H71" s="410">
        <f t="shared" si="5"/>
        <v>749.30505599999992</v>
      </c>
      <c r="I71" s="472">
        <f>ROUND((C71+D71+E71)*('29_01_H_2020'!$F$14)*B71*12*1.2409,2)</f>
        <v>899.17</v>
      </c>
      <c r="M71" s="486"/>
    </row>
    <row r="72" spans="1:13" s="187" customFormat="1" x14ac:dyDescent="0.25">
      <c r="A72" s="175" t="s">
        <v>313</v>
      </c>
      <c r="B72" s="344">
        <v>0.5</v>
      </c>
      <c r="C72" s="55">
        <v>629</v>
      </c>
      <c r="D72" s="55"/>
      <c r="E72" s="55"/>
      <c r="F72" s="61">
        <f t="shared" si="0"/>
        <v>629</v>
      </c>
      <c r="G72" s="185">
        <f t="shared" si="1"/>
        <v>314.5</v>
      </c>
      <c r="H72" s="410">
        <f t="shared" si="5"/>
        <v>390.26304999999996</v>
      </c>
      <c r="I72" s="472">
        <f>ROUND((C72+D72+E72)*('29_01_H_2020'!$F$14)*B72*12*1.2409,2)</f>
        <v>468.32</v>
      </c>
      <c r="M72" s="486"/>
    </row>
    <row r="73" spans="1:13" s="187" customFormat="1" x14ac:dyDescent="0.25">
      <c r="A73" s="175" t="s">
        <v>313</v>
      </c>
      <c r="B73" s="344">
        <v>0.5</v>
      </c>
      <c r="C73" s="55">
        <v>673</v>
      </c>
      <c r="D73" s="55">
        <v>100.95</v>
      </c>
      <c r="E73" s="55">
        <v>134.6</v>
      </c>
      <c r="F73" s="61">
        <f t="shared" si="0"/>
        <v>908.55000000000007</v>
      </c>
      <c r="G73" s="185">
        <f t="shared" si="1"/>
        <v>454.27500000000003</v>
      </c>
      <c r="H73" s="410">
        <v>563.71</v>
      </c>
      <c r="I73" s="472">
        <f>ROUND((C73+D73+E73)*('29_01_H_2020'!$F$14)*B73*12*1.2409,2)</f>
        <v>676.45</v>
      </c>
      <c r="M73" s="486"/>
    </row>
    <row r="74" spans="1:13" s="187" customFormat="1" x14ac:dyDescent="0.25">
      <c r="A74" s="175" t="s">
        <v>313</v>
      </c>
      <c r="B74" s="344">
        <v>0.17499999999999999</v>
      </c>
      <c r="C74" s="55">
        <v>907.37</v>
      </c>
      <c r="D74" s="55"/>
      <c r="E74" s="55"/>
      <c r="F74" s="61">
        <f t="shared" si="0"/>
        <v>907.37</v>
      </c>
      <c r="G74" s="185">
        <f t="shared" si="1"/>
        <v>158.78975</v>
      </c>
      <c r="H74" s="410">
        <f t="shared" ref="H74:H85" si="6">+G74*1.2409</f>
        <v>197.04220077499997</v>
      </c>
      <c r="I74" s="472">
        <f>ROUND((C74+D74+E74)*('29_01_H_2020'!$F$14)*B74*12*1.2409,2)</f>
        <v>236.45</v>
      </c>
      <c r="M74" s="486"/>
    </row>
    <row r="75" spans="1:13" s="187" customFormat="1" x14ac:dyDescent="0.25">
      <c r="A75" s="175" t="s">
        <v>313</v>
      </c>
      <c r="B75" s="344">
        <v>0.3</v>
      </c>
      <c r="C75" s="55">
        <v>629</v>
      </c>
      <c r="D75" s="55">
        <v>18.87</v>
      </c>
      <c r="E75" s="55"/>
      <c r="F75" s="61">
        <f t="shared" si="0"/>
        <v>647.87</v>
      </c>
      <c r="G75" s="185">
        <f t="shared" si="1"/>
        <v>194.36099999999999</v>
      </c>
      <c r="H75" s="410">
        <f t="shared" si="6"/>
        <v>241.18256489999996</v>
      </c>
      <c r="I75" s="472">
        <f>ROUND((C75+D75+E75)*('29_01_H_2020'!$F$14)*B75*12*1.2409,2)</f>
        <v>289.42</v>
      </c>
      <c r="M75" s="486"/>
    </row>
    <row r="76" spans="1:13" s="187" customFormat="1" x14ac:dyDescent="0.25">
      <c r="A76" s="175" t="s">
        <v>313</v>
      </c>
      <c r="B76" s="344">
        <v>1</v>
      </c>
      <c r="C76" s="55">
        <v>640</v>
      </c>
      <c r="D76" s="55">
        <v>19.2</v>
      </c>
      <c r="E76" s="55">
        <v>64</v>
      </c>
      <c r="F76" s="61">
        <f t="shared" ref="F76:F92" si="7">+C76+D76+E76</f>
        <v>723.2</v>
      </c>
      <c r="G76" s="185">
        <f t="shared" ref="G76:G92" si="8">+F76*B76</f>
        <v>723.2</v>
      </c>
      <c r="H76" s="410">
        <f t="shared" si="6"/>
        <v>897.41887999999994</v>
      </c>
      <c r="I76" s="472">
        <f>ROUND((C76+D76+E76)*('29_01_H_2020'!$F$14)*B76*12*1.2409,2)</f>
        <v>1076.9000000000001</v>
      </c>
      <c r="M76" s="486"/>
    </row>
    <row r="77" spans="1:13" s="187" customFormat="1" x14ac:dyDescent="0.25">
      <c r="A77" s="175" t="s">
        <v>313</v>
      </c>
      <c r="B77" s="344">
        <v>0.5</v>
      </c>
      <c r="C77" s="55">
        <v>629</v>
      </c>
      <c r="D77" s="55"/>
      <c r="E77" s="55"/>
      <c r="F77" s="61">
        <f t="shared" si="7"/>
        <v>629</v>
      </c>
      <c r="G77" s="185">
        <f t="shared" si="8"/>
        <v>314.5</v>
      </c>
      <c r="H77" s="410">
        <f t="shared" si="6"/>
        <v>390.26304999999996</v>
      </c>
      <c r="I77" s="472">
        <f>ROUND((C77+D77+E77)*('29_01_H_2020'!$F$14)*B77*12*1.2409,2)</f>
        <v>468.32</v>
      </c>
      <c r="M77" s="486"/>
    </row>
    <row r="78" spans="1:13" s="187" customFormat="1" x14ac:dyDescent="0.25">
      <c r="A78" s="175" t="s">
        <v>313</v>
      </c>
      <c r="B78" s="344">
        <v>0.5</v>
      </c>
      <c r="C78" s="55">
        <v>559</v>
      </c>
      <c r="D78" s="55">
        <v>16.77</v>
      </c>
      <c r="E78" s="55"/>
      <c r="F78" s="61">
        <f t="shared" si="7"/>
        <v>575.77</v>
      </c>
      <c r="G78" s="185">
        <f t="shared" si="8"/>
        <v>287.88499999999999</v>
      </c>
      <c r="H78" s="410">
        <f t="shared" si="6"/>
        <v>357.23649649999993</v>
      </c>
      <c r="I78" s="472">
        <f>ROUND((C78+D78+E78)*('29_01_H_2020'!$F$14)*B78*12*1.2409,2)</f>
        <v>428.68</v>
      </c>
      <c r="M78" s="486"/>
    </row>
    <row r="79" spans="1:13" s="187" customFormat="1" x14ac:dyDescent="0.25">
      <c r="A79" s="175" t="s">
        <v>313</v>
      </c>
      <c r="B79" s="344">
        <v>1</v>
      </c>
      <c r="C79" s="55">
        <v>538</v>
      </c>
      <c r="D79" s="55"/>
      <c r="E79" s="55"/>
      <c r="F79" s="61">
        <f t="shared" si="7"/>
        <v>538</v>
      </c>
      <c r="G79" s="185">
        <f t="shared" si="8"/>
        <v>538</v>
      </c>
      <c r="H79" s="410">
        <f t="shared" si="6"/>
        <v>667.60419999999999</v>
      </c>
      <c r="I79" s="472">
        <f>ROUND((C79+D79+E79)*('29_01_H_2020'!$F$14)*B79*12*1.2409,2)</f>
        <v>801.13</v>
      </c>
      <c r="M79" s="486"/>
    </row>
    <row r="80" spans="1:13" s="187" customFormat="1" x14ac:dyDescent="0.25">
      <c r="A80" s="175" t="s">
        <v>313</v>
      </c>
      <c r="B80" s="344">
        <v>1</v>
      </c>
      <c r="C80" s="55">
        <v>745</v>
      </c>
      <c r="D80" s="55"/>
      <c r="E80" s="55"/>
      <c r="F80" s="61">
        <f t="shared" si="7"/>
        <v>745</v>
      </c>
      <c r="G80" s="185">
        <f t="shared" si="8"/>
        <v>745</v>
      </c>
      <c r="H80" s="410">
        <f t="shared" si="6"/>
        <v>924.4704999999999</v>
      </c>
      <c r="I80" s="472">
        <f>ROUND((C80+D80+E80)*('29_01_H_2020'!$F$14)*B80*12*1.2409,2)</f>
        <v>1109.3599999999999</v>
      </c>
      <c r="M80" s="486"/>
    </row>
    <row r="81" spans="1:15" s="187" customFormat="1" x14ac:dyDescent="0.25">
      <c r="A81" s="175" t="s">
        <v>291</v>
      </c>
      <c r="B81" s="344">
        <v>0.2</v>
      </c>
      <c r="C81" s="55">
        <v>1425</v>
      </c>
      <c r="D81" s="55"/>
      <c r="E81" s="55"/>
      <c r="F81" s="61">
        <f t="shared" si="7"/>
        <v>1425</v>
      </c>
      <c r="G81" s="185">
        <f t="shared" si="8"/>
        <v>285</v>
      </c>
      <c r="H81" s="410">
        <f t="shared" si="6"/>
        <v>353.65649999999999</v>
      </c>
      <c r="I81" s="472">
        <f>ROUND((C81+D81+E81)*('29_01_H_2020'!$F$14)*B81*12*1.2409,2)</f>
        <v>424.39</v>
      </c>
      <c r="M81" s="486"/>
    </row>
    <row r="82" spans="1:15" s="187" customFormat="1" x14ac:dyDescent="0.25">
      <c r="A82" s="175" t="s">
        <v>291</v>
      </c>
      <c r="B82" s="344">
        <v>0.5</v>
      </c>
      <c r="C82" s="55">
        <v>904</v>
      </c>
      <c r="D82" s="55"/>
      <c r="E82" s="55"/>
      <c r="F82" s="61">
        <f t="shared" si="7"/>
        <v>904</v>
      </c>
      <c r="G82" s="185">
        <f t="shared" si="8"/>
        <v>452</v>
      </c>
      <c r="H82" s="410">
        <f t="shared" si="6"/>
        <v>560.88679999999999</v>
      </c>
      <c r="I82" s="472">
        <f>ROUND((C82+D82+E82)*('29_01_H_2020'!$F$14)*B82*12*1.2409,2)</f>
        <v>673.06</v>
      </c>
      <c r="M82" s="486"/>
    </row>
    <row r="83" spans="1:15" s="187" customFormat="1" x14ac:dyDescent="0.25">
      <c r="A83" s="175" t="s">
        <v>291</v>
      </c>
      <c r="B83" s="344">
        <v>0.5</v>
      </c>
      <c r="C83" s="55">
        <v>1079</v>
      </c>
      <c r="D83" s="55">
        <v>161.85</v>
      </c>
      <c r="E83" s="55">
        <v>215.8</v>
      </c>
      <c r="F83" s="61">
        <f t="shared" si="7"/>
        <v>1456.6499999999999</v>
      </c>
      <c r="G83" s="185">
        <f t="shared" si="8"/>
        <v>728.32499999999993</v>
      </c>
      <c r="H83" s="410">
        <f t="shared" si="6"/>
        <v>903.77849249999986</v>
      </c>
      <c r="I83" s="472">
        <f>ROUND((C83+D83+E83)*('29_01_H_2020'!$F$14)*B83*12*1.2409,2)</f>
        <v>1084.53</v>
      </c>
      <c r="M83" s="486"/>
    </row>
    <row r="84" spans="1:15" s="187" customFormat="1" x14ac:dyDescent="0.25">
      <c r="A84" s="175" t="s">
        <v>291</v>
      </c>
      <c r="B84" s="344">
        <v>0.5</v>
      </c>
      <c r="C84" s="55">
        <v>1079</v>
      </c>
      <c r="D84" s="55">
        <v>21.58</v>
      </c>
      <c r="E84" s="55"/>
      <c r="F84" s="61">
        <f t="shared" si="7"/>
        <v>1100.58</v>
      </c>
      <c r="G84" s="185">
        <f t="shared" si="8"/>
        <v>550.29</v>
      </c>
      <c r="H84" s="410">
        <f t="shared" si="6"/>
        <v>682.85486099999991</v>
      </c>
      <c r="I84" s="472">
        <f>ROUND((C84+D84+E84)*('29_01_H_2020'!$F$14)*B84*12*1.2409,2)</f>
        <v>819.43</v>
      </c>
      <c r="M84" s="486"/>
    </row>
    <row r="85" spans="1:15" s="187" customFormat="1" x14ac:dyDescent="0.25">
      <c r="A85" s="175" t="s">
        <v>291</v>
      </c>
      <c r="B85" s="344">
        <v>0.4</v>
      </c>
      <c r="C85" s="55">
        <v>1079</v>
      </c>
      <c r="D85" s="55">
        <v>32.369999999999997</v>
      </c>
      <c r="E85" s="55"/>
      <c r="F85" s="61">
        <f t="shared" si="7"/>
        <v>1111.3699999999999</v>
      </c>
      <c r="G85" s="185">
        <f t="shared" si="8"/>
        <v>444.548</v>
      </c>
      <c r="H85" s="410">
        <f t="shared" si="6"/>
        <v>551.63961319999999</v>
      </c>
      <c r="I85" s="472">
        <f>ROUND((C85+D85+E85)*('29_01_H_2020'!$F$14)*B85*12*1.2409,2)</f>
        <v>661.97</v>
      </c>
      <c r="M85" s="486"/>
    </row>
    <row r="86" spans="1:15" s="187" customFormat="1" x14ac:dyDescent="0.25">
      <c r="A86" s="175" t="s">
        <v>291</v>
      </c>
      <c r="B86" s="344">
        <v>0.45</v>
      </c>
      <c r="C86" s="55">
        <v>1079</v>
      </c>
      <c r="D86" s="55">
        <v>32.369999999999997</v>
      </c>
      <c r="E86" s="55"/>
      <c r="F86" s="61">
        <f t="shared" si="7"/>
        <v>1111.3699999999999</v>
      </c>
      <c r="G86" s="185">
        <f t="shared" si="8"/>
        <v>500.11649999999997</v>
      </c>
      <c r="H86" s="410">
        <v>620.59</v>
      </c>
      <c r="I86" s="472">
        <f>ROUND((C86+D86+E86)*('29_01_H_2020'!$F$14)*B86*12*1.2409,2)</f>
        <v>744.71</v>
      </c>
      <c r="M86" s="486"/>
    </row>
    <row r="87" spans="1:15" s="187" customFormat="1" x14ac:dyDescent="0.25">
      <c r="A87" s="184" t="s">
        <v>458</v>
      </c>
      <c r="B87" s="344">
        <v>0.75</v>
      </c>
      <c r="C87" s="55">
        <v>1079</v>
      </c>
      <c r="D87" s="55">
        <v>107.9</v>
      </c>
      <c r="E87" s="55">
        <v>129.47999999999999</v>
      </c>
      <c r="F87" s="61">
        <f t="shared" si="7"/>
        <v>1316.38</v>
      </c>
      <c r="G87" s="185">
        <f t="shared" si="8"/>
        <v>987.28500000000008</v>
      </c>
      <c r="H87" s="410">
        <v>1225.1199999999999</v>
      </c>
      <c r="I87" s="472">
        <f>ROUND((C87+D87+E87)*('29_01_H_2020'!$F$14)*B87*12*1.2409,2)</f>
        <v>1470.15</v>
      </c>
      <c r="M87" s="486"/>
    </row>
    <row r="88" spans="1:15" s="187" customFormat="1" x14ac:dyDescent="0.25">
      <c r="A88" s="175" t="s">
        <v>309</v>
      </c>
      <c r="B88" s="344">
        <v>0.3</v>
      </c>
      <c r="C88" s="55">
        <v>1134.03</v>
      </c>
      <c r="D88" s="55"/>
      <c r="E88" s="55"/>
      <c r="F88" s="61">
        <f t="shared" si="7"/>
        <v>1134.03</v>
      </c>
      <c r="G88" s="185">
        <f t="shared" si="8"/>
        <v>340.209</v>
      </c>
      <c r="H88" s="410">
        <f>+G88*1.2409</f>
        <v>422.16534809999996</v>
      </c>
      <c r="I88" s="472">
        <f>ROUND((C88+D88+E88)*('29_01_H_2020'!$F$14)*B88*12*1.2409,2)</f>
        <v>506.6</v>
      </c>
      <c r="M88" s="486"/>
    </row>
    <row r="89" spans="1:15" s="187" customFormat="1" x14ac:dyDescent="0.25">
      <c r="A89" s="175" t="s">
        <v>316</v>
      </c>
      <c r="B89" s="345">
        <v>1.5</v>
      </c>
      <c r="C89" s="75">
        <v>950</v>
      </c>
      <c r="D89" s="75"/>
      <c r="E89" s="75">
        <v>95</v>
      </c>
      <c r="F89" s="76">
        <f t="shared" si="7"/>
        <v>1045</v>
      </c>
      <c r="G89" s="186">
        <f t="shared" si="8"/>
        <v>1567.5</v>
      </c>
      <c r="H89" s="410">
        <f t="shared" ref="H89:H91" si="9">+G89*1.2409</f>
        <v>1945.1107499999998</v>
      </c>
      <c r="I89" s="472">
        <f>ROUND((C89+D89+E89)*('29_01_H_2020'!$F$14)*B89*12*1.2409,2)</f>
        <v>2334.13</v>
      </c>
      <c r="M89" s="486"/>
    </row>
    <row r="90" spans="1:15" s="187" customFormat="1" x14ac:dyDescent="0.25">
      <c r="A90" s="175" t="s">
        <v>316</v>
      </c>
      <c r="B90" s="344">
        <v>1</v>
      </c>
      <c r="C90" s="55">
        <v>850</v>
      </c>
      <c r="D90" s="55"/>
      <c r="E90" s="55">
        <v>85</v>
      </c>
      <c r="F90" s="61">
        <f t="shared" si="7"/>
        <v>935</v>
      </c>
      <c r="G90" s="185">
        <f t="shared" si="8"/>
        <v>935</v>
      </c>
      <c r="H90" s="410">
        <f t="shared" si="9"/>
        <v>1160.2414999999999</v>
      </c>
      <c r="I90" s="472">
        <f>ROUND((C90+D90+E90)*('29_01_H_2020'!$F$14)*B90*12*1.2409,2)</f>
        <v>1392.29</v>
      </c>
      <c r="M90" s="486"/>
    </row>
    <row r="91" spans="1:15" s="187" customFormat="1" x14ac:dyDescent="0.25">
      <c r="A91" s="175" t="s">
        <v>316</v>
      </c>
      <c r="B91" s="345">
        <v>0.5</v>
      </c>
      <c r="C91" s="75">
        <v>950</v>
      </c>
      <c r="D91" s="75">
        <v>142.5</v>
      </c>
      <c r="E91" s="75">
        <v>95</v>
      </c>
      <c r="F91" s="76">
        <f t="shared" si="7"/>
        <v>1187.5</v>
      </c>
      <c r="G91" s="186">
        <f t="shared" si="8"/>
        <v>593.75</v>
      </c>
      <c r="H91" s="410">
        <f t="shared" si="9"/>
        <v>736.78437499999995</v>
      </c>
      <c r="I91" s="472">
        <f>ROUND((C91+D91+E91)*('29_01_H_2020'!$F$14)*B91*12*1.2409,2)</f>
        <v>884.14</v>
      </c>
      <c r="M91" s="486"/>
    </row>
    <row r="92" spans="1:15" s="187" customFormat="1" x14ac:dyDescent="0.25">
      <c r="A92" s="175" t="s">
        <v>192</v>
      </c>
      <c r="B92" s="344">
        <v>0.3</v>
      </c>
      <c r="C92" s="55">
        <v>1079</v>
      </c>
      <c r="D92" s="55">
        <v>21.58</v>
      </c>
      <c r="E92" s="55">
        <v>107.9</v>
      </c>
      <c r="F92" s="61">
        <f t="shared" si="7"/>
        <v>1208.48</v>
      </c>
      <c r="G92" s="185">
        <f t="shared" si="8"/>
        <v>362.54399999999998</v>
      </c>
      <c r="H92" s="410">
        <f>+G92*1.2409</f>
        <v>449.88084959999992</v>
      </c>
      <c r="I92" s="472">
        <f>ROUND((C92+D92+E92)*('29_01_H_2020'!$F$14)*B92*12*1.2409,2)</f>
        <v>539.86</v>
      </c>
      <c r="M92" s="486"/>
    </row>
    <row r="93" spans="1:15" x14ac:dyDescent="0.25">
      <c r="A93" s="184" t="s">
        <v>441</v>
      </c>
      <c r="B93" s="344">
        <v>1</v>
      </c>
      <c r="C93" s="55">
        <v>714</v>
      </c>
      <c r="D93" s="55">
        <v>21.42</v>
      </c>
      <c r="E93" s="55">
        <v>71.400000000000006</v>
      </c>
      <c r="F93" s="61">
        <f>+C93+D93+E93</f>
        <v>806.81999999999994</v>
      </c>
      <c r="G93" s="185">
        <f>+F93*B93</f>
        <v>806.81999999999994</v>
      </c>
      <c r="H93" s="410">
        <f>+G93*1.2409</f>
        <v>1001.1829379999998</v>
      </c>
      <c r="I93" s="472">
        <f>ROUND((C93+D93+E93)*('29_01_H_2020'!$F$14)*B93*12*1.2409,2)</f>
        <v>1201.42</v>
      </c>
      <c r="K93" s="187"/>
      <c r="L93" s="187"/>
      <c r="M93" s="486"/>
      <c r="N93" s="187"/>
      <c r="O93" s="187"/>
    </row>
    <row r="94" spans="1:15" x14ac:dyDescent="0.25">
      <c r="A94" s="175" t="s">
        <v>459</v>
      </c>
      <c r="B94" s="344">
        <v>0.1</v>
      </c>
      <c r="C94" s="55">
        <v>1079</v>
      </c>
      <c r="D94" s="55">
        <v>32.369999999999997</v>
      </c>
      <c r="E94" s="55">
        <v>107.9</v>
      </c>
      <c r="F94" s="61">
        <f t="shared" ref="F94:F99" si="10">+C94+D94+E94</f>
        <v>1219.27</v>
      </c>
      <c r="G94" s="185">
        <f t="shared" ref="G94:G99" si="11">+F94*B94</f>
        <v>121.92700000000001</v>
      </c>
      <c r="H94" s="410">
        <f>+G94*1.2409</f>
        <v>151.29921429999999</v>
      </c>
      <c r="I94" s="472">
        <f>ROUND((C94+D94+E94)*('29_01_H_2020'!$F$14)*B94*12*1.2409,2)</f>
        <v>181.56</v>
      </c>
      <c r="K94" s="187"/>
      <c r="L94" s="187"/>
      <c r="M94" s="486"/>
      <c r="N94" s="187"/>
      <c r="O94" s="187"/>
    </row>
    <row r="95" spans="1:15" x14ac:dyDescent="0.25">
      <c r="A95" s="175" t="s">
        <v>460</v>
      </c>
      <c r="B95" s="344">
        <v>0.5</v>
      </c>
      <c r="C95" s="188">
        <v>745</v>
      </c>
      <c r="D95" s="55"/>
      <c r="E95" s="55">
        <v>74.5</v>
      </c>
      <c r="F95" s="61">
        <f t="shared" si="10"/>
        <v>819.5</v>
      </c>
      <c r="G95" s="185">
        <f t="shared" si="11"/>
        <v>409.75</v>
      </c>
      <c r="H95" s="410">
        <f>+G95*1.2409</f>
        <v>508.45877499999995</v>
      </c>
      <c r="I95" s="472">
        <f>ROUND((C95+D95+E95)*('29_01_H_2020'!$F$14)*B95*12*1.2409,2)</f>
        <v>610.15</v>
      </c>
      <c r="K95" s="187"/>
      <c r="L95" s="187"/>
      <c r="M95" s="486"/>
      <c r="N95" s="187"/>
      <c r="O95" s="187"/>
    </row>
    <row r="96" spans="1:15" x14ac:dyDescent="0.25">
      <c r="A96" s="175" t="s">
        <v>460</v>
      </c>
      <c r="B96" s="344">
        <v>0.25</v>
      </c>
      <c r="C96" s="188">
        <v>714</v>
      </c>
      <c r="D96" s="55">
        <v>49.98</v>
      </c>
      <c r="E96" s="55">
        <v>142.80000000000001</v>
      </c>
      <c r="F96" s="61">
        <f t="shared" si="10"/>
        <v>906.78</v>
      </c>
      <c r="G96" s="185">
        <f t="shared" si="11"/>
        <v>226.69499999999999</v>
      </c>
      <c r="H96" s="410">
        <f>+G96*1.2409</f>
        <v>281.30582549999997</v>
      </c>
      <c r="I96" s="472">
        <f>ROUND((C96+D96+E96)*('29_01_H_2020'!$F$14)*B96*12*1.2409,2)</f>
        <v>337.57</v>
      </c>
      <c r="K96" s="187"/>
      <c r="L96" s="187"/>
      <c r="M96" s="486"/>
      <c r="N96" s="187"/>
      <c r="O96" s="187"/>
    </row>
    <row r="97" spans="1:15" x14ac:dyDescent="0.25">
      <c r="A97" s="175" t="s">
        <v>461</v>
      </c>
      <c r="B97" s="344">
        <v>0.3</v>
      </c>
      <c r="C97" s="188">
        <v>780</v>
      </c>
      <c r="D97" s="55"/>
      <c r="E97" s="55"/>
      <c r="F97" s="61">
        <f t="shared" si="10"/>
        <v>780</v>
      </c>
      <c r="G97" s="185">
        <f t="shared" si="11"/>
        <v>234</v>
      </c>
      <c r="H97" s="410">
        <f t="shared" ref="H97:H99" si="12">+G97*1.2409</f>
        <v>290.37059999999997</v>
      </c>
      <c r="I97" s="472">
        <f>ROUND((C97+D97+E97)*('29_01_H_2020'!$F$14)*B97*12*1.2409,2)</f>
        <v>348.44</v>
      </c>
      <c r="K97" s="187"/>
      <c r="L97" s="187"/>
      <c r="M97" s="486"/>
      <c r="N97" s="187"/>
      <c r="O97" s="187"/>
    </row>
    <row r="98" spans="1:15" x14ac:dyDescent="0.25">
      <c r="A98" s="175" t="s">
        <v>461</v>
      </c>
      <c r="B98" s="344">
        <v>0.7</v>
      </c>
      <c r="C98" s="188">
        <v>950</v>
      </c>
      <c r="D98" s="55"/>
      <c r="E98" s="55"/>
      <c r="F98" s="61">
        <f t="shared" si="10"/>
        <v>950</v>
      </c>
      <c r="G98" s="185">
        <f t="shared" si="11"/>
        <v>665</v>
      </c>
      <c r="H98" s="410">
        <f t="shared" si="12"/>
        <v>825.19849999999997</v>
      </c>
      <c r="I98" s="472">
        <f>ROUND((C98+D98+E98)*('29_01_H_2020'!$F$14)*B98*12*1.2409,2)</f>
        <v>990.24</v>
      </c>
      <c r="K98" s="187"/>
      <c r="L98" s="187"/>
      <c r="M98" s="486"/>
      <c r="N98" s="187"/>
      <c r="O98" s="187"/>
    </row>
    <row r="99" spans="1:15" x14ac:dyDescent="0.25">
      <c r="A99" s="175" t="s">
        <v>462</v>
      </c>
      <c r="B99" s="344">
        <v>0.05</v>
      </c>
      <c r="C99" s="188">
        <v>1100</v>
      </c>
      <c r="D99" s="55">
        <v>33</v>
      </c>
      <c r="E99" s="55">
        <v>66</v>
      </c>
      <c r="F99" s="61">
        <f t="shared" si="10"/>
        <v>1199</v>
      </c>
      <c r="G99" s="185">
        <f t="shared" si="11"/>
        <v>59.95</v>
      </c>
      <c r="H99" s="410">
        <f t="shared" si="12"/>
        <v>74.391954999999996</v>
      </c>
      <c r="I99" s="472">
        <f>ROUND((C99+D99+E99)*('29_01_H_2020'!$F$14)*B99*12*1.2409,2)</f>
        <v>89.27</v>
      </c>
      <c r="K99" s="187"/>
      <c r="L99" s="187"/>
      <c r="M99" s="486"/>
      <c r="N99" s="187"/>
      <c r="O99" s="187"/>
    </row>
    <row r="100" spans="1:15" ht="25.5" x14ac:dyDescent="0.25">
      <c r="A100" s="173" t="s">
        <v>27</v>
      </c>
      <c r="B100" s="189"/>
      <c r="C100" s="190"/>
      <c r="D100" s="190"/>
      <c r="E100" s="190"/>
      <c r="F100" s="183">
        <f>SUM(F101:F184)</f>
        <v>64569.62000000001</v>
      </c>
      <c r="G100" s="191">
        <f>SUM(G101:G184)</f>
        <v>78428.008749999979</v>
      </c>
      <c r="H100" s="468">
        <f>SUM(H101:H184)</f>
        <v>97321.31282052501</v>
      </c>
      <c r="I100" s="481"/>
      <c r="K100" s="187"/>
      <c r="L100" s="187"/>
      <c r="M100" s="187"/>
      <c r="N100" s="187"/>
      <c r="O100" s="187"/>
    </row>
    <row r="101" spans="1:15" s="187" customFormat="1" x14ac:dyDescent="0.25">
      <c r="A101" s="175" t="s">
        <v>39</v>
      </c>
      <c r="B101" s="344">
        <v>1.75</v>
      </c>
      <c r="C101" s="55">
        <v>714</v>
      </c>
      <c r="D101" s="55"/>
      <c r="E101" s="55">
        <v>71.400000000000006</v>
      </c>
      <c r="F101" s="61">
        <f t="shared" ref="F101:F164" si="13">+C101+D101+E101</f>
        <v>785.4</v>
      </c>
      <c r="G101" s="185">
        <f t="shared" ref="G101:G164" si="14">+F101*B101</f>
        <v>1374.45</v>
      </c>
      <c r="H101" s="410">
        <f t="shared" ref="H101:H164" si="15">+G101*1.2409</f>
        <v>1705.5550049999999</v>
      </c>
      <c r="I101" s="472">
        <f>ROUND((C101+D101+E101)*('29_01_H_2020'!$F$10)*B101*12*1.2409,2)</f>
        <v>2046.67</v>
      </c>
      <c r="M101" s="486"/>
    </row>
    <row r="102" spans="1:15" s="187" customFormat="1" x14ac:dyDescent="0.25">
      <c r="A102" s="175" t="s">
        <v>39</v>
      </c>
      <c r="B102" s="344">
        <v>2</v>
      </c>
      <c r="C102" s="55">
        <v>714</v>
      </c>
      <c r="D102" s="55"/>
      <c r="E102" s="55">
        <v>71.400000000000006</v>
      </c>
      <c r="F102" s="61">
        <f t="shared" si="13"/>
        <v>785.4</v>
      </c>
      <c r="G102" s="185">
        <f t="shared" si="14"/>
        <v>1570.8</v>
      </c>
      <c r="H102" s="410">
        <f t="shared" si="15"/>
        <v>1949.2057199999997</v>
      </c>
      <c r="I102" s="472">
        <f>ROUND((C102+D102+E102)*('29_01_H_2020'!$F$10)*B102*12*1.2409,2)</f>
        <v>2339.0500000000002</v>
      </c>
      <c r="M102" s="486"/>
    </row>
    <row r="103" spans="1:15" s="187" customFormat="1" x14ac:dyDescent="0.25">
      <c r="A103" s="175" t="s">
        <v>39</v>
      </c>
      <c r="B103" s="344">
        <v>3</v>
      </c>
      <c r="C103" s="55">
        <v>714</v>
      </c>
      <c r="D103" s="55"/>
      <c r="E103" s="55"/>
      <c r="F103" s="61">
        <f t="shared" si="13"/>
        <v>714</v>
      </c>
      <c r="G103" s="185">
        <f t="shared" si="14"/>
        <v>2142</v>
      </c>
      <c r="H103" s="410">
        <f t="shared" si="15"/>
        <v>2658.0077999999999</v>
      </c>
      <c r="I103" s="472">
        <f>ROUND((C103+D103+E103)*('29_01_H_2020'!$F$10)*B103*12*1.2409,2)</f>
        <v>3189.61</v>
      </c>
      <c r="M103" s="486"/>
    </row>
    <row r="104" spans="1:15" s="187" customFormat="1" x14ac:dyDescent="0.25">
      <c r="A104" s="175" t="s">
        <v>39</v>
      </c>
      <c r="B104" s="344">
        <v>0.4</v>
      </c>
      <c r="C104" s="55">
        <v>714</v>
      </c>
      <c r="D104" s="55"/>
      <c r="E104" s="55">
        <v>71.400000000000006</v>
      </c>
      <c r="F104" s="61">
        <f t="shared" si="13"/>
        <v>785.4</v>
      </c>
      <c r="G104" s="185">
        <f t="shared" si="14"/>
        <v>314.16000000000003</v>
      </c>
      <c r="H104" s="410">
        <f t="shared" si="15"/>
        <v>389.84114399999999</v>
      </c>
      <c r="I104" s="472">
        <f>ROUND((C104+D104+E104)*('29_01_H_2020'!$F$10)*B104*12*1.2409,2)</f>
        <v>467.81</v>
      </c>
      <c r="M104" s="486"/>
    </row>
    <row r="105" spans="1:15" s="187" customFormat="1" x14ac:dyDescent="0.25">
      <c r="A105" s="175" t="s">
        <v>39</v>
      </c>
      <c r="B105" s="344">
        <v>3.7</v>
      </c>
      <c r="C105" s="55">
        <v>714</v>
      </c>
      <c r="D105" s="55"/>
      <c r="E105" s="55">
        <v>71.400000000000006</v>
      </c>
      <c r="F105" s="61">
        <f t="shared" si="13"/>
        <v>785.4</v>
      </c>
      <c r="G105" s="185">
        <f t="shared" si="14"/>
        <v>2905.98</v>
      </c>
      <c r="H105" s="410">
        <f t="shared" si="15"/>
        <v>3606.0305819999999</v>
      </c>
      <c r="I105" s="472">
        <f>ROUND((C105+D105+E105)*('29_01_H_2020'!$F$10)*B105*12*1.2409,2)</f>
        <v>4327.24</v>
      </c>
      <c r="M105" s="486"/>
    </row>
    <row r="106" spans="1:15" s="187" customFormat="1" x14ac:dyDescent="0.25">
      <c r="A106" s="175" t="s">
        <v>39</v>
      </c>
      <c r="B106" s="344">
        <v>3.5</v>
      </c>
      <c r="C106" s="55">
        <v>703</v>
      </c>
      <c r="D106" s="55"/>
      <c r="E106" s="55">
        <v>70.3</v>
      </c>
      <c r="F106" s="61">
        <f t="shared" si="13"/>
        <v>773.3</v>
      </c>
      <c r="G106" s="185">
        <f t="shared" si="14"/>
        <v>2706.5499999999997</v>
      </c>
      <c r="H106" s="410">
        <f t="shared" si="15"/>
        <v>3358.5578949999995</v>
      </c>
      <c r="I106" s="472">
        <f>ROUND((C106+D106+E106)*('29_01_H_2020'!$F$10)*B106*12*1.2409,2)</f>
        <v>4030.27</v>
      </c>
      <c r="M106" s="486"/>
    </row>
    <row r="107" spans="1:15" s="187" customFormat="1" x14ac:dyDescent="0.25">
      <c r="A107" s="175" t="s">
        <v>39</v>
      </c>
      <c r="B107" s="344">
        <v>0.7</v>
      </c>
      <c r="C107" s="55">
        <v>714</v>
      </c>
      <c r="D107" s="55"/>
      <c r="E107" s="55">
        <v>71.400000000000006</v>
      </c>
      <c r="F107" s="61">
        <f t="shared" si="13"/>
        <v>785.4</v>
      </c>
      <c r="G107" s="185">
        <f t="shared" si="14"/>
        <v>549.78</v>
      </c>
      <c r="H107" s="410">
        <f t="shared" si="15"/>
        <v>682.22200199999986</v>
      </c>
      <c r="I107" s="472">
        <f>ROUND((C107+D107+E107)*('29_01_H_2020'!$F$10)*B107*12*1.2409,2)</f>
        <v>818.67</v>
      </c>
      <c r="M107" s="486"/>
    </row>
    <row r="108" spans="1:15" s="187" customFormat="1" x14ac:dyDescent="0.25">
      <c r="A108" s="175" t="s">
        <v>39</v>
      </c>
      <c r="B108" s="344">
        <v>1.5</v>
      </c>
      <c r="C108" s="55">
        <v>629</v>
      </c>
      <c r="D108" s="55"/>
      <c r="E108" s="55">
        <v>62.9</v>
      </c>
      <c r="F108" s="61">
        <f t="shared" si="13"/>
        <v>691.9</v>
      </c>
      <c r="G108" s="185">
        <f t="shared" si="14"/>
        <v>1037.8499999999999</v>
      </c>
      <c r="H108" s="410">
        <f t="shared" si="15"/>
        <v>1287.8680649999999</v>
      </c>
      <c r="I108" s="472">
        <f>ROUND((C108+D108+E108)*('29_01_H_2020'!$F$10)*B108*12*1.2409,2)</f>
        <v>1545.44</v>
      </c>
      <c r="M108" s="486"/>
    </row>
    <row r="109" spans="1:15" s="187" customFormat="1" x14ac:dyDescent="0.25">
      <c r="A109" s="175" t="s">
        <v>39</v>
      </c>
      <c r="B109" s="344">
        <v>0.4</v>
      </c>
      <c r="C109" s="55">
        <v>629</v>
      </c>
      <c r="D109" s="55"/>
      <c r="E109" s="55">
        <v>62.9</v>
      </c>
      <c r="F109" s="61">
        <f t="shared" si="13"/>
        <v>691.9</v>
      </c>
      <c r="G109" s="185">
        <f t="shared" si="14"/>
        <v>276.76</v>
      </c>
      <c r="H109" s="410">
        <f t="shared" si="15"/>
        <v>343.43148399999995</v>
      </c>
      <c r="I109" s="472">
        <f>ROUND((C109+D109+E109)*('29_01_H_2020'!$F$10)*B109*12*1.2409,2)</f>
        <v>412.12</v>
      </c>
      <c r="M109" s="486"/>
    </row>
    <row r="110" spans="1:15" s="187" customFormat="1" x14ac:dyDescent="0.25">
      <c r="A110" s="175" t="s">
        <v>39</v>
      </c>
      <c r="B110" s="344">
        <v>1</v>
      </c>
      <c r="C110" s="55">
        <v>629</v>
      </c>
      <c r="D110" s="55"/>
      <c r="E110" s="55">
        <v>62.9</v>
      </c>
      <c r="F110" s="61">
        <f t="shared" si="13"/>
        <v>691.9</v>
      </c>
      <c r="G110" s="185">
        <f t="shared" si="14"/>
        <v>691.9</v>
      </c>
      <c r="H110" s="410">
        <f t="shared" si="15"/>
        <v>858.57870999999989</v>
      </c>
      <c r="I110" s="472">
        <f>ROUND((C110+D110+E110)*('29_01_H_2020'!$F$10)*B110*12*1.2409,2)</f>
        <v>1030.29</v>
      </c>
      <c r="M110" s="486"/>
    </row>
    <row r="111" spans="1:15" s="187" customFormat="1" x14ac:dyDescent="0.25">
      <c r="A111" s="175" t="s">
        <v>39</v>
      </c>
      <c r="B111" s="344">
        <v>1</v>
      </c>
      <c r="C111" s="55">
        <v>629</v>
      </c>
      <c r="D111" s="55"/>
      <c r="E111" s="55">
        <v>62.9</v>
      </c>
      <c r="F111" s="61">
        <f t="shared" si="13"/>
        <v>691.9</v>
      </c>
      <c r="G111" s="185">
        <f t="shared" si="14"/>
        <v>691.9</v>
      </c>
      <c r="H111" s="410">
        <f t="shared" si="15"/>
        <v>858.57870999999989</v>
      </c>
      <c r="I111" s="472">
        <f>ROUND((C111+D111+E111)*('29_01_H_2020'!$F$10)*B111*12*1.2409,2)</f>
        <v>1030.29</v>
      </c>
      <c r="M111" s="486"/>
    </row>
    <row r="112" spans="1:15" s="187" customFormat="1" x14ac:dyDescent="0.25">
      <c r="A112" s="175" t="s">
        <v>39</v>
      </c>
      <c r="B112" s="344">
        <v>1</v>
      </c>
      <c r="C112" s="55">
        <v>714</v>
      </c>
      <c r="D112" s="55"/>
      <c r="E112" s="55">
        <v>71.400000000000006</v>
      </c>
      <c r="F112" s="61">
        <f t="shared" si="13"/>
        <v>785.4</v>
      </c>
      <c r="G112" s="185">
        <f t="shared" si="14"/>
        <v>785.4</v>
      </c>
      <c r="H112" s="410">
        <f t="shared" si="15"/>
        <v>974.60285999999985</v>
      </c>
      <c r="I112" s="472">
        <f>ROUND((C112+D112+E112)*('29_01_H_2020'!$F$10)*B112*12*1.2409,2)</f>
        <v>1169.52</v>
      </c>
      <c r="M112" s="486"/>
    </row>
    <row r="113" spans="1:13" s="187" customFormat="1" x14ac:dyDescent="0.25">
      <c r="A113" s="175" t="s">
        <v>39</v>
      </c>
      <c r="B113" s="344">
        <v>1</v>
      </c>
      <c r="C113" s="55">
        <v>629</v>
      </c>
      <c r="D113" s="55"/>
      <c r="E113" s="55"/>
      <c r="F113" s="61">
        <f t="shared" si="13"/>
        <v>629</v>
      </c>
      <c r="G113" s="185">
        <f t="shared" si="14"/>
        <v>629</v>
      </c>
      <c r="H113" s="410">
        <f t="shared" si="15"/>
        <v>780.52609999999993</v>
      </c>
      <c r="I113" s="472">
        <f>ROUND((C113+D113+E113)*('29_01_H_2020'!$F$10)*B113*12*1.2409,2)</f>
        <v>936.63</v>
      </c>
      <c r="M113" s="486"/>
    </row>
    <row r="114" spans="1:13" s="187" customFormat="1" x14ac:dyDescent="0.25">
      <c r="A114" s="175" t="s">
        <v>39</v>
      </c>
      <c r="B114" s="344">
        <v>1.75</v>
      </c>
      <c r="C114" s="55">
        <v>629</v>
      </c>
      <c r="D114" s="55"/>
      <c r="E114" s="55"/>
      <c r="F114" s="61">
        <f t="shared" si="13"/>
        <v>629</v>
      </c>
      <c r="G114" s="185">
        <f t="shared" si="14"/>
        <v>1100.75</v>
      </c>
      <c r="H114" s="410">
        <f t="shared" si="15"/>
        <v>1365.9206749999998</v>
      </c>
      <c r="I114" s="472">
        <f>ROUND((C114+D114+E114)*('29_01_H_2020'!$F$10)*B114*12*1.2409,2)</f>
        <v>1639.1</v>
      </c>
      <c r="M114" s="486"/>
    </row>
    <row r="115" spans="1:13" s="187" customFormat="1" x14ac:dyDescent="0.25">
      <c r="A115" s="175" t="s">
        <v>39</v>
      </c>
      <c r="B115" s="344">
        <v>1</v>
      </c>
      <c r="C115" s="55">
        <v>629</v>
      </c>
      <c r="D115" s="55"/>
      <c r="E115" s="55"/>
      <c r="F115" s="61">
        <f t="shared" si="13"/>
        <v>629</v>
      </c>
      <c r="G115" s="185">
        <f t="shared" si="14"/>
        <v>629</v>
      </c>
      <c r="H115" s="410">
        <f t="shared" si="15"/>
        <v>780.52609999999993</v>
      </c>
      <c r="I115" s="472">
        <f>ROUND((C115+D115+E115)*('29_01_H_2020'!$F$10)*B115*12*1.2409,2)</f>
        <v>936.63</v>
      </c>
      <c r="M115" s="486"/>
    </row>
    <row r="116" spans="1:13" s="187" customFormat="1" x14ac:dyDescent="0.25">
      <c r="A116" s="175" t="s">
        <v>39</v>
      </c>
      <c r="B116" s="344">
        <v>5.5</v>
      </c>
      <c r="C116" s="55">
        <v>714</v>
      </c>
      <c r="D116" s="55">
        <v>107.1</v>
      </c>
      <c r="E116" s="55">
        <v>71.400000000000006</v>
      </c>
      <c r="F116" s="61">
        <f t="shared" si="13"/>
        <v>892.5</v>
      </c>
      <c r="G116" s="185">
        <f t="shared" si="14"/>
        <v>4908.75</v>
      </c>
      <c r="H116" s="410">
        <f t="shared" si="15"/>
        <v>6091.2678749999995</v>
      </c>
      <c r="I116" s="472">
        <f>ROUND((C116+D116+E116)*('29_01_H_2020'!$F$10)*B116*12*1.2409,2)</f>
        <v>7309.52</v>
      </c>
      <c r="M116" s="486"/>
    </row>
    <row r="117" spans="1:13" s="187" customFormat="1" x14ac:dyDescent="0.25">
      <c r="A117" s="175" t="s">
        <v>39</v>
      </c>
      <c r="B117" s="344">
        <v>1</v>
      </c>
      <c r="C117" s="55">
        <v>847</v>
      </c>
      <c r="D117" s="55"/>
      <c r="E117" s="55">
        <v>84.7</v>
      </c>
      <c r="F117" s="61">
        <f t="shared" si="13"/>
        <v>931.7</v>
      </c>
      <c r="G117" s="185">
        <f t="shared" si="14"/>
        <v>931.7</v>
      </c>
      <c r="H117" s="410">
        <f t="shared" si="15"/>
        <v>1156.14653</v>
      </c>
      <c r="I117" s="472">
        <f>ROUND((C117+D117+E117)*('29_01_H_2020'!$F$10)*B117*12*1.2409,2)</f>
        <v>1387.38</v>
      </c>
      <c r="M117" s="486"/>
    </row>
    <row r="118" spans="1:13" s="187" customFormat="1" x14ac:dyDescent="0.25">
      <c r="A118" s="175" t="s">
        <v>39</v>
      </c>
      <c r="B118" s="344">
        <v>1</v>
      </c>
      <c r="C118" s="55">
        <v>714</v>
      </c>
      <c r="D118" s="55">
        <v>107</v>
      </c>
      <c r="E118" s="55">
        <v>142</v>
      </c>
      <c r="F118" s="61">
        <f t="shared" si="13"/>
        <v>963</v>
      </c>
      <c r="G118" s="185">
        <f t="shared" si="14"/>
        <v>963</v>
      </c>
      <c r="H118" s="410">
        <f t="shared" si="15"/>
        <v>1194.9866999999999</v>
      </c>
      <c r="I118" s="472">
        <f>ROUND((C118+D118+E118)*('29_01_H_2020'!$F$10)*B118*12*1.2409,2)</f>
        <v>1433.98</v>
      </c>
      <c r="M118" s="486"/>
    </row>
    <row r="119" spans="1:13" s="187" customFormat="1" x14ac:dyDescent="0.25">
      <c r="A119" s="175" t="s">
        <v>39</v>
      </c>
      <c r="B119" s="344">
        <v>1</v>
      </c>
      <c r="C119" s="55">
        <v>714</v>
      </c>
      <c r="D119" s="55">
        <v>71</v>
      </c>
      <c r="E119" s="55">
        <v>142</v>
      </c>
      <c r="F119" s="61">
        <f t="shared" si="13"/>
        <v>927</v>
      </c>
      <c r="G119" s="185">
        <f t="shared" si="14"/>
        <v>927</v>
      </c>
      <c r="H119" s="410">
        <f t="shared" si="15"/>
        <v>1150.3143</v>
      </c>
      <c r="I119" s="472">
        <f>ROUND((C119+D119+E119)*('29_01_H_2020'!$F$10)*B119*12*1.2409,2)</f>
        <v>1380.38</v>
      </c>
      <c r="M119" s="486"/>
    </row>
    <row r="120" spans="1:13" s="187" customFormat="1" x14ac:dyDescent="0.25">
      <c r="A120" s="175" t="s">
        <v>39</v>
      </c>
      <c r="B120" s="344">
        <v>1</v>
      </c>
      <c r="C120" s="55">
        <v>714</v>
      </c>
      <c r="D120" s="55">
        <v>71</v>
      </c>
      <c r="E120" s="55">
        <v>142</v>
      </c>
      <c r="F120" s="61">
        <f t="shared" si="13"/>
        <v>927</v>
      </c>
      <c r="G120" s="185">
        <f t="shared" si="14"/>
        <v>927</v>
      </c>
      <c r="H120" s="410">
        <f t="shared" si="15"/>
        <v>1150.3143</v>
      </c>
      <c r="I120" s="472">
        <f>ROUND((C120+D120+E120)*('29_01_H_2020'!$F$10)*B120*12*1.2409,2)</f>
        <v>1380.38</v>
      </c>
      <c r="M120" s="486"/>
    </row>
    <row r="121" spans="1:13" s="187" customFormat="1" x14ac:dyDescent="0.25">
      <c r="A121" s="175" t="s">
        <v>39</v>
      </c>
      <c r="B121" s="344">
        <v>1</v>
      </c>
      <c r="C121" s="55">
        <v>714</v>
      </c>
      <c r="D121" s="55">
        <v>36</v>
      </c>
      <c r="E121" s="55">
        <v>142</v>
      </c>
      <c r="F121" s="61">
        <f t="shared" si="13"/>
        <v>892</v>
      </c>
      <c r="G121" s="185">
        <f t="shared" si="14"/>
        <v>892</v>
      </c>
      <c r="H121" s="410">
        <f t="shared" si="15"/>
        <v>1106.8827999999999</v>
      </c>
      <c r="I121" s="472">
        <f>ROUND((C121+D121+E121)*('29_01_H_2020'!$F$10)*B121*12*1.2409,2)</f>
        <v>1328.26</v>
      </c>
      <c r="M121" s="486"/>
    </row>
    <row r="122" spans="1:13" s="187" customFormat="1" x14ac:dyDescent="0.25">
      <c r="A122" s="175" t="s">
        <v>39</v>
      </c>
      <c r="B122" s="344">
        <v>1</v>
      </c>
      <c r="C122" s="55">
        <v>714</v>
      </c>
      <c r="D122" s="55">
        <v>71</v>
      </c>
      <c r="E122" s="55">
        <v>142</v>
      </c>
      <c r="F122" s="61">
        <f t="shared" si="13"/>
        <v>927</v>
      </c>
      <c r="G122" s="185">
        <f t="shared" si="14"/>
        <v>927</v>
      </c>
      <c r="H122" s="410">
        <f t="shared" si="15"/>
        <v>1150.3143</v>
      </c>
      <c r="I122" s="472">
        <f>ROUND((C122+D122+E122)*('29_01_H_2020'!$F$10)*B122*12*1.2409,2)</f>
        <v>1380.38</v>
      </c>
      <c r="M122" s="486"/>
    </row>
    <row r="123" spans="1:13" s="187" customFormat="1" x14ac:dyDescent="0.25">
      <c r="A123" s="175" t="s">
        <v>39</v>
      </c>
      <c r="B123" s="344">
        <v>0.5</v>
      </c>
      <c r="C123" s="55">
        <v>714</v>
      </c>
      <c r="D123" s="55">
        <v>71</v>
      </c>
      <c r="E123" s="55">
        <v>142</v>
      </c>
      <c r="F123" s="61">
        <f t="shared" si="13"/>
        <v>927</v>
      </c>
      <c r="G123" s="185">
        <f t="shared" si="14"/>
        <v>463.5</v>
      </c>
      <c r="H123" s="410">
        <f t="shared" si="15"/>
        <v>575.15715</v>
      </c>
      <c r="I123" s="472">
        <f>ROUND((C123+D123+E123)*('29_01_H_2020'!$F$10)*B123*12*1.2409,2)</f>
        <v>690.19</v>
      </c>
      <c r="M123" s="486"/>
    </row>
    <row r="124" spans="1:13" s="187" customFormat="1" x14ac:dyDescent="0.25">
      <c r="A124" s="175" t="s">
        <v>39</v>
      </c>
      <c r="B124" s="344">
        <v>1</v>
      </c>
      <c r="C124" s="55">
        <v>714</v>
      </c>
      <c r="D124" s="55">
        <v>23.8</v>
      </c>
      <c r="E124" s="55">
        <v>42.84</v>
      </c>
      <c r="F124" s="61">
        <f t="shared" si="13"/>
        <v>780.64</v>
      </c>
      <c r="G124" s="185">
        <f t="shared" si="14"/>
        <v>780.64</v>
      </c>
      <c r="H124" s="410">
        <f t="shared" si="15"/>
        <v>968.69617599999992</v>
      </c>
      <c r="I124" s="472">
        <f>ROUND((C124+D124+E124)*('29_01_H_2020'!$F$10)*B124*12*1.2409,2)</f>
        <v>1162.44</v>
      </c>
      <c r="M124" s="486"/>
    </row>
    <row r="125" spans="1:13" s="187" customFormat="1" x14ac:dyDescent="0.25">
      <c r="A125" s="175" t="s">
        <v>39</v>
      </c>
      <c r="B125" s="344">
        <v>1.5</v>
      </c>
      <c r="C125" s="55">
        <v>629</v>
      </c>
      <c r="D125" s="55">
        <v>12.58</v>
      </c>
      <c r="E125" s="55">
        <v>12.58</v>
      </c>
      <c r="F125" s="61">
        <f t="shared" si="13"/>
        <v>654.16000000000008</v>
      </c>
      <c r="G125" s="185">
        <f t="shared" si="14"/>
        <v>981.24000000000012</v>
      </c>
      <c r="H125" s="410">
        <f t="shared" si="15"/>
        <v>1217.6207160000001</v>
      </c>
      <c r="I125" s="472">
        <f>ROUND((C125+D125+E125)*('29_01_H_2020'!$F$10)*B125*12*1.2409,2)</f>
        <v>1461.14</v>
      </c>
      <c r="M125" s="486"/>
    </row>
    <row r="126" spans="1:13" s="187" customFormat="1" x14ac:dyDescent="0.25">
      <c r="A126" s="175" t="s">
        <v>39</v>
      </c>
      <c r="B126" s="344">
        <v>1</v>
      </c>
      <c r="C126" s="55">
        <v>714</v>
      </c>
      <c r="D126" s="55">
        <v>21.42</v>
      </c>
      <c r="E126" s="55">
        <v>71.400000000000006</v>
      </c>
      <c r="F126" s="61">
        <f t="shared" si="13"/>
        <v>806.81999999999994</v>
      </c>
      <c r="G126" s="185">
        <f t="shared" si="14"/>
        <v>806.81999999999994</v>
      </c>
      <c r="H126" s="410">
        <f t="shared" si="15"/>
        <v>1001.1829379999998</v>
      </c>
      <c r="I126" s="472">
        <f>ROUND((C126+D126+E126)*('29_01_H_2020'!$F$10)*B126*12*1.2409,2)</f>
        <v>1201.42</v>
      </c>
      <c r="M126" s="486"/>
    </row>
    <row r="127" spans="1:13" s="187" customFormat="1" x14ac:dyDescent="0.25">
      <c r="A127" s="175" t="s">
        <v>39</v>
      </c>
      <c r="B127" s="344">
        <v>0.5</v>
      </c>
      <c r="C127" s="55">
        <v>714</v>
      </c>
      <c r="D127" s="55">
        <v>21.42</v>
      </c>
      <c r="E127" s="55">
        <v>71.400000000000006</v>
      </c>
      <c r="F127" s="61">
        <f t="shared" si="13"/>
        <v>806.81999999999994</v>
      </c>
      <c r="G127" s="185">
        <f t="shared" si="14"/>
        <v>403.40999999999997</v>
      </c>
      <c r="H127" s="410">
        <f t="shared" si="15"/>
        <v>500.5914689999999</v>
      </c>
      <c r="I127" s="472">
        <f>ROUND((C127+D127+E127)*('29_01_H_2020'!$F$10)*B127*12*1.2409,2)</f>
        <v>600.71</v>
      </c>
      <c r="M127" s="486"/>
    </row>
    <row r="128" spans="1:13" s="187" customFormat="1" x14ac:dyDescent="0.25">
      <c r="A128" s="175" t="s">
        <v>39</v>
      </c>
      <c r="B128" s="344">
        <v>1</v>
      </c>
      <c r="C128" s="55">
        <v>714</v>
      </c>
      <c r="D128" s="55">
        <v>21.42</v>
      </c>
      <c r="E128" s="55">
        <v>71.400000000000006</v>
      </c>
      <c r="F128" s="61">
        <f t="shared" si="13"/>
        <v>806.81999999999994</v>
      </c>
      <c r="G128" s="185">
        <f t="shared" si="14"/>
        <v>806.81999999999994</v>
      </c>
      <c r="H128" s="410">
        <f t="shared" si="15"/>
        <v>1001.1829379999998</v>
      </c>
      <c r="I128" s="472">
        <f>ROUND((C128+D128+E128)*('29_01_H_2020'!$F$10)*B128*12*1.2409,2)</f>
        <v>1201.42</v>
      </c>
      <c r="M128" s="486"/>
    </row>
    <row r="129" spans="1:13" s="187" customFormat="1" x14ac:dyDescent="0.25">
      <c r="A129" s="175" t="s">
        <v>39</v>
      </c>
      <c r="B129" s="344">
        <v>1</v>
      </c>
      <c r="C129" s="55">
        <v>714</v>
      </c>
      <c r="D129" s="55">
        <v>21.42</v>
      </c>
      <c r="E129" s="55">
        <v>71.400000000000006</v>
      </c>
      <c r="F129" s="61">
        <f t="shared" si="13"/>
        <v>806.81999999999994</v>
      </c>
      <c r="G129" s="185">
        <f t="shared" si="14"/>
        <v>806.81999999999994</v>
      </c>
      <c r="H129" s="410">
        <f t="shared" si="15"/>
        <v>1001.1829379999998</v>
      </c>
      <c r="I129" s="472">
        <f>ROUND((C129+D129+E129)*('29_01_H_2020'!$F$10)*B129*12*1.2409,2)</f>
        <v>1201.42</v>
      </c>
      <c r="M129" s="486"/>
    </row>
    <row r="130" spans="1:13" s="187" customFormat="1" x14ac:dyDescent="0.25">
      <c r="A130" s="175" t="s">
        <v>39</v>
      </c>
      <c r="B130" s="344">
        <v>0.65</v>
      </c>
      <c r="C130" s="55">
        <v>714</v>
      </c>
      <c r="D130" s="55">
        <v>21.42</v>
      </c>
      <c r="E130" s="55">
        <v>71.400000000000006</v>
      </c>
      <c r="F130" s="61">
        <f t="shared" si="13"/>
        <v>806.81999999999994</v>
      </c>
      <c r="G130" s="185">
        <f t="shared" si="14"/>
        <v>524.43299999999999</v>
      </c>
      <c r="H130" s="410">
        <f t="shared" si="15"/>
        <v>650.76890969999988</v>
      </c>
      <c r="I130" s="472">
        <f>ROUND((C130+D130+E130)*('29_01_H_2020'!$F$10)*B130*12*1.2409,2)</f>
        <v>780.92</v>
      </c>
      <c r="M130" s="486"/>
    </row>
    <row r="131" spans="1:13" s="187" customFormat="1" x14ac:dyDescent="0.25">
      <c r="A131" s="175" t="s">
        <v>39</v>
      </c>
      <c r="B131" s="344">
        <v>0.65</v>
      </c>
      <c r="C131" s="55">
        <v>714</v>
      </c>
      <c r="D131" s="55">
        <v>21.42</v>
      </c>
      <c r="E131" s="55">
        <v>71.400000000000006</v>
      </c>
      <c r="F131" s="61">
        <f t="shared" si="13"/>
        <v>806.81999999999994</v>
      </c>
      <c r="G131" s="185">
        <f t="shared" si="14"/>
        <v>524.43299999999999</v>
      </c>
      <c r="H131" s="410">
        <f t="shared" si="15"/>
        <v>650.76890969999988</v>
      </c>
      <c r="I131" s="472">
        <f>ROUND((C131+D131+E131)*('29_01_H_2020'!$F$10)*B131*12*1.2409,2)</f>
        <v>780.92</v>
      </c>
      <c r="M131" s="486"/>
    </row>
    <row r="132" spans="1:13" s="187" customFormat="1" x14ac:dyDescent="0.25">
      <c r="A132" s="175" t="s">
        <v>39</v>
      </c>
      <c r="B132" s="344">
        <v>2</v>
      </c>
      <c r="C132" s="55">
        <v>714</v>
      </c>
      <c r="D132" s="55">
        <v>71.400000000000006</v>
      </c>
      <c r="E132" s="55">
        <v>107.1</v>
      </c>
      <c r="F132" s="61">
        <f t="shared" si="13"/>
        <v>892.5</v>
      </c>
      <c r="G132" s="185">
        <f t="shared" si="14"/>
        <v>1785</v>
      </c>
      <c r="H132" s="410">
        <f t="shared" si="15"/>
        <v>2215.0065</v>
      </c>
      <c r="I132" s="472">
        <f>ROUND((C132+D132+E132)*('29_01_H_2020'!$F$10)*B132*12*1.2409,2)</f>
        <v>2658.01</v>
      </c>
      <c r="M132" s="486"/>
    </row>
    <row r="133" spans="1:13" s="187" customFormat="1" x14ac:dyDescent="0.25">
      <c r="A133" s="175" t="s">
        <v>39</v>
      </c>
      <c r="B133" s="344">
        <v>0.5</v>
      </c>
      <c r="C133" s="55">
        <v>629</v>
      </c>
      <c r="D133" s="55"/>
      <c r="E133" s="55">
        <v>62.9</v>
      </c>
      <c r="F133" s="61">
        <f t="shared" si="13"/>
        <v>691.9</v>
      </c>
      <c r="G133" s="185">
        <f t="shared" si="14"/>
        <v>345.95</v>
      </c>
      <c r="H133" s="410">
        <f t="shared" si="15"/>
        <v>429.28935499999994</v>
      </c>
      <c r="I133" s="472">
        <f>ROUND((C133+D133+E133)*('29_01_H_2020'!$F$10)*B133*12*1.2409,2)</f>
        <v>515.15</v>
      </c>
      <c r="M133" s="486"/>
    </row>
    <row r="134" spans="1:13" s="187" customFormat="1" x14ac:dyDescent="0.25">
      <c r="A134" s="175" t="s">
        <v>39</v>
      </c>
      <c r="B134" s="344">
        <v>1</v>
      </c>
      <c r="C134" s="55">
        <v>686</v>
      </c>
      <c r="D134" s="55"/>
      <c r="E134" s="55">
        <v>69</v>
      </c>
      <c r="F134" s="61">
        <f t="shared" si="13"/>
        <v>755</v>
      </c>
      <c r="G134" s="185">
        <f t="shared" si="14"/>
        <v>755</v>
      </c>
      <c r="H134" s="410">
        <f t="shared" si="15"/>
        <v>936.87949999999989</v>
      </c>
      <c r="I134" s="472">
        <f>ROUND((C134+D134+E134)*('29_01_H_2020'!$F$10)*B134*12*1.2409,2)</f>
        <v>1124.26</v>
      </c>
      <c r="M134" s="486"/>
    </row>
    <row r="135" spans="1:13" s="187" customFormat="1" x14ac:dyDescent="0.25">
      <c r="A135" s="175" t="s">
        <v>39</v>
      </c>
      <c r="B135" s="344">
        <v>2</v>
      </c>
      <c r="C135" s="55">
        <v>714</v>
      </c>
      <c r="D135" s="55">
        <v>71.400000000000006</v>
      </c>
      <c r="E135" s="55">
        <v>85.68</v>
      </c>
      <c r="F135" s="61">
        <f t="shared" si="13"/>
        <v>871.07999999999993</v>
      </c>
      <c r="G135" s="185">
        <f t="shared" si="14"/>
        <v>1742.1599999999999</v>
      </c>
      <c r="H135" s="410">
        <f t="shared" si="15"/>
        <v>2161.8463439999996</v>
      </c>
      <c r="I135" s="472">
        <f>ROUND((C135+D135+E135)*('29_01_H_2020'!$F$10)*B135*12*1.2409,2)</f>
        <v>2594.2199999999998</v>
      </c>
      <c r="M135" s="486"/>
    </row>
    <row r="136" spans="1:13" s="187" customFormat="1" x14ac:dyDescent="0.25">
      <c r="A136" s="175" t="s">
        <v>39</v>
      </c>
      <c r="B136" s="344">
        <v>0.5</v>
      </c>
      <c r="C136" s="55">
        <v>714</v>
      </c>
      <c r="D136" s="55">
        <v>49.98</v>
      </c>
      <c r="E136" s="55">
        <v>142.80000000000001</v>
      </c>
      <c r="F136" s="61">
        <f t="shared" si="13"/>
        <v>906.78</v>
      </c>
      <c r="G136" s="185">
        <f t="shared" si="14"/>
        <v>453.39</v>
      </c>
      <c r="H136" s="410">
        <f t="shared" si="15"/>
        <v>562.61165099999994</v>
      </c>
      <c r="I136" s="472">
        <f>ROUND((C136+D136+E136)*('29_01_H_2020'!$F$10)*B136*12*1.2409,2)</f>
        <v>675.13</v>
      </c>
      <c r="M136" s="486"/>
    </row>
    <row r="137" spans="1:13" s="187" customFormat="1" x14ac:dyDescent="0.25">
      <c r="A137" s="175" t="s">
        <v>39</v>
      </c>
      <c r="B137" s="344">
        <v>1</v>
      </c>
      <c r="C137" s="55">
        <v>714</v>
      </c>
      <c r="D137" s="55">
        <v>85.68</v>
      </c>
      <c r="E137" s="55">
        <v>142.80000000000001</v>
      </c>
      <c r="F137" s="61">
        <f t="shared" si="13"/>
        <v>942.48</v>
      </c>
      <c r="G137" s="185">
        <f t="shared" si="14"/>
        <v>942.48</v>
      </c>
      <c r="H137" s="410">
        <f t="shared" si="15"/>
        <v>1169.523432</v>
      </c>
      <c r="I137" s="472">
        <f>ROUND((C137+D137+E137)*('29_01_H_2020'!$F$10)*B137*12*1.2409,2)</f>
        <v>1403.43</v>
      </c>
      <c r="M137" s="486"/>
    </row>
    <row r="138" spans="1:13" s="187" customFormat="1" x14ac:dyDescent="0.25">
      <c r="A138" s="175" t="s">
        <v>39</v>
      </c>
      <c r="B138" s="344">
        <v>0.4</v>
      </c>
      <c r="C138" s="55">
        <v>550</v>
      </c>
      <c r="D138" s="55"/>
      <c r="E138" s="55"/>
      <c r="F138" s="61">
        <f t="shared" si="13"/>
        <v>550</v>
      </c>
      <c r="G138" s="185">
        <f t="shared" si="14"/>
        <v>220</v>
      </c>
      <c r="H138" s="410">
        <f t="shared" si="15"/>
        <v>272.99799999999999</v>
      </c>
      <c r="I138" s="472">
        <f>ROUND((C138+D138+E138)*('29_01_H_2020'!$F$10)*B138*12*1.2409,2)</f>
        <v>327.60000000000002</v>
      </c>
      <c r="M138" s="486"/>
    </row>
    <row r="139" spans="1:13" s="187" customFormat="1" x14ac:dyDescent="0.25">
      <c r="A139" s="175" t="s">
        <v>39</v>
      </c>
      <c r="B139" s="344">
        <v>2</v>
      </c>
      <c r="C139" s="55">
        <v>750</v>
      </c>
      <c r="D139" s="55"/>
      <c r="E139" s="55"/>
      <c r="F139" s="61">
        <f t="shared" si="13"/>
        <v>750</v>
      </c>
      <c r="G139" s="185">
        <f t="shared" si="14"/>
        <v>1500</v>
      </c>
      <c r="H139" s="410">
        <f t="shared" si="15"/>
        <v>1861.35</v>
      </c>
      <c r="I139" s="472">
        <f>ROUND((C139+D139+E139)*('29_01_H_2020'!$F$10)*B139*12*1.2409,2)</f>
        <v>2233.62</v>
      </c>
      <c r="M139" s="486"/>
    </row>
    <row r="140" spans="1:13" s="187" customFormat="1" x14ac:dyDescent="0.25">
      <c r="A140" s="175" t="s">
        <v>39</v>
      </c>
      <c r="B140" s="344">
        <v>0.8</v>
      </c>
      <c r="C140" s="55">
        <v>629</v>
      </c>
      <c r="D140" s="55"/>
      <c r="E140" s="55">
        <v>62.9</v>
      </c>
      <c r="F140" s="61">
        <f t="shared" si="13"/>
        <v>691.9</v>
      </c>
      <c r="G140" s="185">
        <f t="shared" si="14"/>
        <v>553.52</v>
      </c>
      <c r="H140" s="410">
        <f t="shared" si="15"/>
        <v>686.86296799999991</v>
      </c>
      <c r="I140" s="472">
        <f>ROUND((C140+D140+E140)*('29_01_H_2020'!$F$10)*B140*12*1.2409,2)</f>
        <v>824.24</v>
      </c>
      <c r="M140" s="486"/>
    </row>
    <row r="141" spans="1:13" s="187" customFormat="1" x14ac:dyDescent="0.25">
      <c r="A141" s="175" t="s">
        <v>39</v>
      </c>
      <c r="B141" s="344">
        <v>1</v>
      </c>
      <c r="C141" s="55">
        <v>714</v>
      </c>
      <c r="D141" s="55"/>
      <c r="E141" s="55">
        <v>71.400000000000006</v>
      </c>
      <c r="F141" s="61">
        <f t="shared" si="13"/>
        <v>785.4</v>
      </c>
      <c r="G141" s="185">
        <f t="shared" si="14"/>
        <v>785.4</v>
      </c>
      <c r="H141" s="410">
        <f t="shared" si="15"/>
        <v>974.60285999999985</v>
      </c>
      <c r="I141" s="472">
        <f>ROUND((C141+D141+E141)*('29_01_H_2020'!$F$10)*B141*12*1.2409,2)</f>
        <v>1169.52</v>
      </c>
      <c r="M141" s="486"/>
    </row>
    <row r="142" spans="1:13" s="187" customFormat="1" x14ac:dyDescent="0.25">
      <c r="A142" s="175" t="s">
        <v>39</v>
      </c>
      <c r="B142" s="344">
        <v>2</v>
      </c>
      <c r="C142" s="55">
        <v>775</v>
      </c>
      <c r="D142" s="55"/>
      <c r="E142" s="55">
        <v>77.5</v>
      </c>
      <c r="F142" s="61">
        <f t="shared" si="13"/>
        <v>852.5</v>
      </c>
      <c r="G142" s="185">
        <f t="shared" si="14"/>
        <v>1705</v>
      </c>
      <c r="H142" s="410">
        <f t="shared" si="15"/>
        <v>2115.7345</v>
      </c>
      <c r="I142" s="472">
        <f>ROUND((C142+D142+E142)*('29_01_H_2020'!$F$10)*B142*12*1.2409,2)</f>
        <v>2538.88</v>
      </c>
      <c r="M142" s="486"/>
    </row>
    <row r="143" spans="1:13" s="187" customFormat="1" x14ac:dyDescent="0.25">
      <c r="A143" s="175" t="s">
        <v>39</v>
      </c>
      <c r="B143" s="344">
        <v>1</v>
      </c>
      <c r="C143" s="55">
        <v>714</v>
      </c>
      <c r="D143" s="55"/>
      <c r="E143" s="55">
        <v>107.1</v>
      </c>
      <c r="F143" s="61">
        <f t="shared" si="13"/>
        <v>821.1</v>
      </c>
      <c r="G143" s="185">
        <f t="shared" si="14"/>
        <v>821.1</v>
      </c>
      <c r="H143" s="410">
        <f t="shared" si="15"/>
        <v>1018.9029899999999</v>
      </c>
      <c r="I143" s="472">
        <f>ROUND((C143+D143+E143)*('29_01_H_2020'!$F$10)*B143*12*1.2409,2)</f>
        <v>1222.68</v>
      </c>
      <c r="M143" s="486"/>
    </row>
    <row r="144" spans="1:13" s="187" customFormat="1" x14ac:dyDescent="0.25">
      <c r="A144" s="175" t="s">
        <v>39</v>
      </c>
      <c r="B144" s="344">
        <v>1</v>
      </c>
      <c r="C144" s="55">
        <v>714</v>
      </c>
      <c r="D144" s="55"/>
      <c r="E144" s="55">
        <v>178.5</v>
      </c>
      <c r="F144" s="61">
        <f t="shared" si="13"/>
        <v>892.5</v>
      </c>
      <c r="G144" s="185">
        <f t="shared" si="14"/>
        <v>892.5</v>
      </c>
      <c r="H144" s="410">
        <f t="shared" si="15"/>
        <v>1107.50325</v>
      </c>
      <c r="I144" s="472">
        <f>ROUND((C144+D144+E144)*('29_01_H_2020'!$F$10)*B144*12*1.2409,2)</f>
        <v>1329</v>
      </c>
      <c r="M144" s="486"/>
    </row>
    <row r="145" spans="1:13" s="187" customFormat="1" x14ac:dyDescent="0.25">
      <c r="A145" s="175" t="s">
        <v>39</v>
      </c>
      <c r="B145" s="344">
        <v>2</v>
      </c>
      <c r="C145" s="55">
        <v>629</v>
      </c>
      <c r="D145" s="55">
        <v>62.9</v>
      </c>
      <c r="E145" s="55">
        <v>62.9</v>
      </c>
      <c r="F145" s="61">
        <f t="shared" si="13"/>
        <v>754.8</v>
      </c>
      <c r="G145" s="185">
        <f t="shared" si="14"/>
        <v>1509.6</v>
      </c>
      <c r="H145" s="410">
        <f t="shared" si="15"/>
        <v>1873.2626399999997</v>
      </c>
      <c r="I145" s="472">
        <f>ROUND((C145+D145+E145)*('29_01_H_2020'!$F$10)*B145*12*1.2409,2)</f>
        <v>2247.92</v>
      </c>
      <c r="M145" s="486"/>
    </row>
    <row r="146" spans="1:13" s="187" customFormat="1" x14ac:dyDescent="0.25">
      <c r="A146" s="175" t="s">
        <v>39</v>
      </c>
      <c r="B146" s="344">
        <v>1</v>
      </c>
      <c r="C146" s="55">
        <v>927.94</v>
      </c>
      <c r="D146" s="55"/>
      <c r="E146" s="55"/>
      <c r="F146" s="61">
        <f t="shared" si="13"/>
        <v>927.94</v>
      </c>
      <c r="G146" s="185">
        <f t="shared" si="14"/>
        <v>927.94</v>
      </c>
      <c r="H146" s="410">
        <f t="shared" si="15"/>
        <v>1151.480746</v>
      </c>
      <c r="I146" s="472">
        <f>ROUND((C146+D146+E146)*('29_01_H_2020'!$F$10)*B146*12*1.2409,2)</f>
        <v>1381.78</v>
      </c>
      <c r="M146" s="486"/>
    </row>
    <row r="147" spans="1:13" s="187" customFormat="1" x14ac:dyDescent="0.25">
      <c r="A147" s="175" t="s">
        <v>39</v>
      </c>
      <c r="B147" s="344">
        <v>1</v>
      </c>
      <c r="C147" s="55">
        <v>714</v>
      </c>
      <c r="D147" s="55"/>
      <c r="E147" s="55"/>
      <c r="F147" s="61">
        <f t="shared" si="13"/>
        <v>714</v>
      </c>
      <c r="G147" s="185">
        <f t="shared" si="14"/>
        <v>714</v>
      </c>
      <c r="H147" s="410">
        <f t="shared" si="15"/>
        <v>886.00259999999992</v>
      </c>
      <c r="I147" s="472">
        <f>ROUND((C147+D147+E147)*('29_01_H_2020'!$F$10)*B147*12*1.2409,2)</f>
        <v>1063.2</v>
      </c>
      <c r="M147" s="486"/>
    </row>
    <row r="148" spans="1:13" s="187" customFormat="1" x14ac:dyDescent="0.25">
      <c r="A148" s="175" t="s">
        <v>39</v>
      </c>
      <c r="B148" s="344">
        <v>1</v>
      </c>
      <c r="C148" s="55">
        <v>640</v>
      </c>
      <c r="D148" s="55"/>
      <c r="E148" s="55"/>
      <c r="F148" s="61">
        <f t="shared" si="13"/>
        <v>640</v>
      </c>
      <c r="G148" s="185">
        <f t="shared" si="14"/>
        <v>640</v>
      </c>
      <c r="H148" s="410">
        <f t="shared" si="15"/>
        <v>794.17599999999993</v>
      </c>
      <c r="I148" s="472">
        <f>ROUND((C148+D148+E148)*('29_01_H_2020'!$F$10)*B148*12*1.2409,2)</f>
        <v>953.01</v>
      </c>
      <c r="M148" s="486"/>
    </row>
    <row r="149" spans="1:13" s="187" customFormat="1" x14ac:dyDescent="0.25">
      <c r="A149" s="175" t="s">
        <v>39</v>
      </c>
      <c r="B149" s="344">
        <v>1.5</v>
      </c>
      <c r="C149" s="55">
        <v>750.83</v>
      </c>
      <c r="D149" s="55"/>
      <c r="E149" s="55"/>
      <c r="F149" s="61">
        <f t="shared" si="13"/>
        <v>750.83</v>
      </c>
      <c r="G149" s="185">
        <f t="shared" si="14"/>
        <v>1126.2450000000001</v>
      </c>
      <c r="H149" s="410">
        <f t="shared" si="15"/>
        <v>1397.5574205</v>
      </c>
      <c r="I149" s="472">
        <f>ROUND((C149+D149+E149)*('29_01_H_2020'!$F$10)*B149*12*1.2409,2)</f>
        <v>1677.07</v>
      </c>
      <c r="M149" s="486"/>
    </row>
    <row r="150" spans="1:13" s="187" customFormat="1" x14ac:dyDescent="0.25">
      <c r="A150" s="175" t="s">
        <v>39</v>
      </c>
      <c r="B150" s="344">
        <v>2</v>
      </c>
      <c r="C150" s="55">
        <v>714</v>
      </c>
      <c r="D150" s="55">
        <v>107.1</v>
      </c>
      <c r="E150" s="55">
        <v>142.80000000000001</v>
      </c>
      <c r="F150" s="61">
        <f t="shared" si="13"/>
        <v>963.90000000000009</v>
      </c>
      <c r="G150" s="185">
        <f t="shared" si="14"/>
        <v>1927.8000000000002</v>
      </c>
      <c r="H150" s="410">
        <f t="shared" si="15"/>
        <v>2392.2070199999998</v>
      </c>
      <c r="I150" s="472">
        <f>ROUND((C150+D150+E150)*('29_01_H_2020'!$F$10)*B150*12*1.2409,2)</f>
        <v>2870.65</v>
      </c>
      <c r="M150" s="486"/>
    </row>
    <row r="151" spans="1:13" s="187" customFormat="1" x14ac:dyDescent="0.25">
      <c r="A151" s="175" t="s">
        <v>39</v>
      </c>
      <c r="B151" s="344">
        <v>1</v>
      </c>
      <c r="C151" s="55">
        <v>660</v>
      </c>
      <c r="D151" s="55"/>
      <c r="E151" s="55"/>
      <c r="F151" s="61">
        <f t="shared" si="13"/>
        <v>660</v>
      </c>
      <c r="G151" s="185">
        <f t="shared" si="14"/>
        <v>660</v>
      </c>
      <c r="H151" s="410">
        <f t="shared" si="15"/>
        <v>818.99399999999991</v>
      </c>
      <c r="I151" s="472">
        <f>ROUND((C151+D151+E151)*('29_01_H_2020'!$F$10)*B151*12*1.2409,2)</f>
        <v>982.79</v>
      </c>
      <c r="M151" s="486"/>
    </row>
    <row r="152" spans="1:13" s="187" customFormat="1" x14ac:dyDescent="0.25">
      <c r="A152" s="175" t="s">
        <v>39</v>
      </c>
      <c r="B152" s="344">
        <v>1</v>
      </c>
      <c r="C152" s="55">
        <v>714</v>
      </c>
      <c r="D152" s="55">
        <v>35.700000000000003</v>
      </c>
      <c r="E152" s="55">
        <v>35.700000000000003</v>
      </c>
      <c r="F152" s="61">
        <f t="shared" si="13"/>
        <v>785.40000000000009</v>
      </c>
      <c r="G152" s="185">
        <f t="shared" si="14"/>
        <v>785.40000000000009</v>
      </c>
      <c r="H152" s="410">
        <f t="shared" si="15"/>
        <v>974.60286000000008</v>
      </c>
      <c r="I152" s="472">
        <f>ROUND((C152+D152+E152)*('29_01_H_2020'!$F$10)*B152*12*1.2409,2)</f>
        <v>1169.52</v>
      </c>
      <c r="M152" s="486"/>
    </row>
    <row r="153" spans="1:13" s="187" customFormat="1" x14ac:dyDescent="0.25">
      <c r="A153" s="175" t="s">
        <v>39</v>
      </c>
      <c r="B153" s="344">
        <v>1</v>
      </c>
      <c r="C153" s="55">
        <v>629</v>
      </c>
      <c r="D153" s="55"/>
      <c r="E153" s="55">
        <v>157.25</v>
      </c>
      <c r="F153" s="61">
        <f t="shared" si="13"/>
        <v>786.25</v>
      </c>
      <c r="G153" s="185">
        <f t="shared" si="14"/>
        <v>786.25</v>
      </c>
      <c r="H153" s="410">
        <f t="shared" si="15"/>
        <v>975.65762499999994</v>
      </c>
      <c r="I153" s="472">
        <f>ROUND((C153+D153+E153)*('29_01_H_2020'!$F$10)*B153*12*1.2409,2)</f>
        <v>1170.79</v>
      </c>
      <c r="M153" s="486"/>
    </row>
    <row r="154" spans="1:13" s="187" customFormat="1" x14ac:dyDescent="0.25">
      <c r="A154" s="175" t="s">
        <v>39</v>
      </c>
      <c r="B154" s="344">
        <v>0.4</v>
      </c>
      <c r="C154" s="55">
        <v>594</v>
      </c>
      <c r="D154" s="55"/>
      <c r="E154" s="55"/>
      <c r="F154" s="61">
        <f t="shared" si="13"/>
        <v>594</v>
      </c>
      <c r="G154" s="185">
        <f t="shared" si="14"/>
        <v>237.60000000000002</v>
      </c>
      <c r="H154" s="410">
        <f t="shared" si="15"/>
        <v>294.83784000000003</v>
      </c>
      <c r="I154" s="472">
        <f>ROUND((C154+D154+E154)*('29_01_H_2020'!$F$10)*B154*12*1.2409,2)</f>
        <v>353.81</v>
      </c>
      <c r="M154" s="486"/>
    </row>
    <row r="155" spans="1:13" s="187" customFormat="1" x14ac:dyDescent="0.25">
      <c r="A155" s="175" t="s">
        <v>39</v>
      </c>
      <c r="B155" s="344">
        <v>0.625</v>
      </c>
      <c r="C155" s="55">
        <v>629</v>
      </c>
      <c r="D155" s="55">
        <v>6.29</v>
      </c>
      <c r="E155" s="55"/>
      <c r="F155" s="61">
        <f t="shared" si="13"/>
        <v>635.29</v>
      </c>
      <c r="G155" s="185">
        <f t="shared" si="14"/>
        <v>397.05624999999998</v>
      </c>
      <c r="H155" s="410">
        <f t="shared" si="15"/>
        <v>492.70710062499995</v>
      </c>
      <c r="I155" s="472">
        <f>ROUND((C155+D155+E155)*('29_01_H_2020'!$F$10)*B155*12*1.2409,2)</f>
        <v>591.25</v>
      </c>
      <c r="M155" s="486"/>
    </row>
    <row r="156" spans="1:13" s="187" customFormat="1" x14ac:dyDescent="0.25">
      <c r="A156" s="175" t="s">
        <v>39</v>
      </c>
      <c r="B156" s="344">
        <v>0.67500000000000004</v>
      </c>
      <c r="C156" s="55">
        <v>714</v>
      </c>
      <c r="D156" s="55">
        <v>21.42</v>
      </c>
      <c r="E156" s="55"/>
      <c r="F156" s="61">
        <f t="shared" si="13"/>
        <v>735.42</v>
      </c>
      <c r="G156" s="185">
        <f t="shared" si="14"/>
        <v>496.4085</v>
      </c>
      <c r="H156" s="410">
        <v>615.99</v>
      </c>
      <c r="I156" s="472">
        <f>ROUND((C156+D156+E156)*('29_01_H_2020'!$F$10)*B156*12*1.2409,2)</f>
        <v>739.19</v>
      </c>
      <c r="M156" s="486"/>
    </row>
    <row r="157" spans="1:13" s="187" customFormat="1" x14ac:dyDescent="0.25">
      <c r="A157" s="175" t="s">
        <v>39</v>
      </c>
      <c r="B157" s="344">
        <v>2</v>
      </c>
      <c r="C157" s="55">
        <v>629</v>
      </c>
      <c r="D157" s="55">
        <v>18.87</v>
      </c>
      <c r="E157" s="55">
        <v>37.74</v>
      </c>
      <c r="F157" s="61">
        <f t="shared" si="13"/>
        <v>685.61</v>
      </c>
      <c r="G157" s="185">
        <f t="shared" si="14"/>
        <v>1371.22</v>
      </c>
      <c r="H157" s="410">
        <f t="shared" si="15"/>
        <v>1701.5468979999998</v>
      </c>
      <c r="I157" s="472">
        <f>ROUND((C157+D157+E157)*('29_01_H_2020'!$F$10)*B157*12*1.2409,2)</f>
        <v>2041.86</v>
      </c>
      <c r="M157" s="486"/>
    </row>
    <row r="158" spans="1:13" s="187" customFormat="1" x14ac:dyDescent="0.25">
      <c r="A158" s="175" t="s">
        <v>39</v>
      </c>
      <c r="B158" s="344">
        <v>1</v>
      </c>
      <c r="C158" s="55">
        <v>640</v>
      </c>
      <c r="D158" s="55">
        <v>19.2</v>
      </c>
      <c r="E158" s="55">
        <v>38.4</v>
      </c>
      <c r="F158" s="61">
        <f t="shared" si="13"/>
        <v>697.6</v>
      </c>
      <c r="G158" s="185">
        <f t="shared" si="14"/>
        <v>697.6</v>
      </c>
      <c r="H158" s="410">
        <f t="shared" si="15"/>
        <v>865.65183999999999</v>
      </c>
      <c r="I158" s="472">
        <f>ROUND((C158+D158+E158)*('29_01_H_2020'!$F$10)*B158*12*1.2409,2)</f>
        <v>1038.78</v>
      </c>
      <c r="M158" s="486"/>
    </row>
    <row r="159" spans="1:13" s="187" customFormat="1" x14ac:dyDescent="0.25">
      <c r="A159" s="175" t="s">
        <v>39</v>
      </c>
      <c r="B159" s="344">
        <v>1.6</v>
      </c>
      <c r="C159" s="55">
        <v>750</v>
      </c>
      <c r="D159" s="55"/>
      <c r="E159" s="55"/>
      <c r="F159" s="61">
        <f t="shared" si="13"/>
        <v>750</v>
      </c>
      <c r="G159" s="185">
        <f t="shared" si="14"/>
        <v>1200</v>
      </c>
      <c r="H159" s="410">
        <f t="shared" si="15"/>
        <v>1489.08</v>
      </c>
      <c r="I159" s="472">
        <f>ROUND((C159+D159+E159)*('29_01_H_2020'!$F$10)*B159*12*1.2409,2)</f>
        <v>1786.9</v>
      </c>
      <c r="M159" s="486"/>
    </row>
    <row r="160" spans="1:13" s="187" customFormat="1" x14ac:dyDescent="0.25">
      <c r="A160" s="175" t="s">
        <v>39</v>
      </c>
      <c r="B160" s="344">
        <v>1</v>
      </c>
      <c r="C160" s="55">
        <v>714</v>
      </c>
      <c r="D160" s="55">
        <v>14.28</v>
      </c>
      <c r="E160" s="55"/>
      <c r="F160" s="61">
        <f t="shared" si="13"/>
        <v>728.28</v>
      </c>
      <c r="G160" s="185">
        <f t="shared" si="14"/>
        <v>728.28</v>
      </c>
      <c r="H160" s="410">
        <f t="shared" si="15"/>
        <v>903.72265199999993</v>
      </c>
      <c r="I160" s="472">
        <f>ROUND((C160+D160+E160)*('29_01_H_2020'!$F$10)*B160*12*1.2409,2)</f>
        <v>1084.47</v>
      </c>
      <c r="M160" s="486"/>
    </row>
    <row r="161" spans="1:13" s="187" customFormat="1" x14ac:dyDescent="0.25">
      <c r="A161" s="175" t="s">
        <v>39</v>
      </c>
      <c r="B161" s="344">
        <v>1</v>
      </c>
      <c r="C161" s="55">
        <v>714</v>
      </c>
      <c r="D161" s="55">
        <v>21.42</v>
      </c>
      <c r="E161" s="55"/>
      <c r="F161" s="61">
        <f t="shared" si="13"/>
        <v>735.42</v>
      </c>
      <c r="G161" s="185">
        <f t="shared" si="14"/>
        <v>735.42</v>
      </c>
      <c r="H161" s="410">
        <f t="shared" si="15"/>
        <v>912.58267799999987</v>
      </c>
      <c r="I161" s="472">
        <f>ROUND((C161+D161+E161)*('29_01_H_2020'!$F$10)*B161*12*1.2409,2)</f>
        <v>1095.0999999999999</v>
      </c>
      <c r="M161" s="486"/>
    </row>
    <row r="162" spans="1:13" s="187" customFormat="1" x14ac:dyDescent="0.25">
      <c r="A162" s="175" t="s">
        <v>39</v>
      </c>
      <c r="B162" s="344">
        <v>2</v>
      </c>
      <c r="C162" s="55">
        <v>629</v>
      </c>
      <c r="D162" s="55">
        <v>18.87</v>
      </c>
      <c r="E162" s="55"/>
      <c r="F162" s="61">
        <f t="shared" si="13"/>
        <v>647.87</v>
      </c>
      <c r="G162" s="185">
        <f t="shared" si="14"/>
        <v>1295.74</v>
      </c>
      <c r="H162" s="410">
        <f t="shared" si="15"/>
        <v>1607.8837659999999</v>
      </c>
      <c r="I162" s="472">
        <f>ROUND((C162+D162+E162)*('29_01_H_2020'!$F$10)*B162*12*1.2409,2)</f>
        <v>1929.46</v>
      </c>
      <c r="M162" s="486"/>
    </row>
    <row r="163" spans="1:13" s="187" customFormat="1" x14ac:dyDescent="0.25">
      <c r="A163" s="175" t="s">
        <v>39</v>
      </c>
      <c r="B163" s="344">
        <v>1.75</v>
      </c>
      <c r="C163" s="55">
        <v>538</v>
      </c>
      <c r="D163" s="55"/>
      <c r="E163" s="55"/>
      <c r="F163" s="61">
        <f t="shared" si="13"/>
        <v>538</v>
      </c>
      <c r="G163" s="185">
        <f t="shared" si="14"/>
        <v>941.5</v>
      </c>
      <c r="H163" s="410">
        <f t="shared" si="15"/>
        <v>1168.3073499999998</v>
      </c>
      <c r="I163" s="472">
        <f>ROUND((C163+D163+E163)*('29_01_H_2020'!$F$10)*B163*12*1.2409,2)</f>
        <v>1401.97</v>
      </c>
      <c r="M163" s="486"/>
    </row>
    <row r="164" spans="1:13" s="187" customFormat="1" x14ac:dyDescent="0.25">
      <c r="A164" s="175" t="s">
        <v>39</v>
      </c>
      <c r="B164" s="344">
        <v>1</v>
      </c>
      <c r="C164" s="55">
        <v>470</v>
      </c>
      <c r="D164" s="55"/>
      <c r="E164" s="55"/>
      <c r="F164" s="61">
        <f t="shared" si="13"/>
        <v>470</v>
      </c>
      <c r="G164" s="185">
        <f t="shared" si="14"/>
        <v>470</v>
      </c>
      <c r="H164" s="410">
        <f t="shared" si="15"/>
        <v>583.22299999999996</v>
      </c>
      <c r="I164" s="472">
        <f>ROUND((C164+D164+E164)*('29_01_H_2020'!$F$10)*B164*12*1.2409,2)</f>
        <v>699.87</v>
      </c>
      <c r="M164" s="486"/>
    </row>
    <row r="165" spans="1:13" s="187" customFormat="1" x14ac:dyDescent="0.25">
      <c r="A165" s="175" t="s">
        <v>39</v>
      </c>
      <c r="B165" s="344">
        <v>1</v>
      </c>
      <c r="C165" s="55">
        <v>680</v>
      </c>
      <c r="D165" s="55"/>
      <c r="E165" s="55"/>
      <c r="F165" s="61">
        <f t="shared" ref="F165:F184" si="16">+C165+D165+E165</f>
        <v>680</v>
      </c>
      <c r="G165" s="185">
        <f t="shared" ref="G165:G184" si="17">+F165*B165</f>
        <v>680</v>
      </c>
      <c r="H165" s="410">
        <f t="shared" ref="H165:H184" si="18">+G165*1.2409</f>
        <v>843.8119999999999</v>
      </c>
      <c r="I165" s="472">
        <f>ROUND((C165+D165+E165)*('29_01_H_2020'!$F$10)*B165*12*1.2409,2)</f>
        <v>1012.57</v>
      </c>
      <c r="M165" s="486"/>
    </row>
    <row r="166" spans="1:13" s="187" customFormat="1" x14ac:dyDescent="0.25">
      <c r="A166" s="175" t="s">
        <v>39</v>
      </c>
      <c r="B166" s="344">
        <v>1</v>
      </c>
      <c r="C166" s="55">
        <v>680</v>
      </c>
      <c r="D166" s="55"/>
      <c r="E166" s="55"/>
      <c r="F166" s="61">
        <f t="shared" si="16"/>
        <v>680</v>
      </c>
      <c r="G166" s="185">
        <f t="shared" si="17"/>
        <v>680</v>
      </c>
      <c r="H166" s="410">
        <f t="shared" si="18"/>
        <v>843.8119999999999</v>
      </c>
      <c r="I166" s="472">
        <f>ROUND((C166+D166+E166)*('29_01_H_2020'!$F$10)*B166*12*1.2409,2)</f>
        <v>1012.57</v>
      </c>
      <c r="M166" s="486"/>
    </row>
    <row r="167" spans="1:13" s="187" customFormat="1" x14ac:dyDescent="0.25">
      <c r="A167" s="175" t="s">
        <v>39</v>
      </c>
      <c r="B167" s="344">
        <v>0.8</v>
      </c>
      <c r="C167" s="55">
        <v>680</v>
      </c>
      <c r="D167" s="55"/>
      <c r="E167" s="55"/>
      <c r="F167" s="61">
        <f t="shared" si="16"/>
        <v>680</v>
      </c>
      <c r="G167" s="185">
        <f t="shared" si="17"/>
        <v>544</v>
      </c>
      <c r="H167" s="410">
        <f t="shared" si="18"/>
        <v>675.04959999999994</v>
      </c>
      <c r="I167" s="472">
        <f>ROUND((C167+D167+E167)*('29_01_H_2020'!$F$10)*B167*12*1.2409,2)</f>
        <v>810.06</v>
      </c>
      <c r="M167" s="486"/>
    </row>
    <row r="168" spans="1:13" s="187" customFormat="1" x14ac:dyDescent="0.25">
      <c r="A168" s="175" t="s">
        <v>39</v>
      </c>
      <c r="B168" s="344">
        <v>0.8</v>
      </c>
      <c r="C168" s="55">
        <v>714</v>
      </c>
      <c r="D168" s="55">
        <v>85.68</v>
      </c>
      <c r="E168" s="55">
        <v>71.400000000000006</v>
      </c>
      <c r="F168" s="61">
        <f t="shared" si="16"/>
        <v>871.08</v>
      </c>
      <c r="G168" s="185">
        <f t="shared" si="17"/>
        <v>696.86400000000003</v>
      </c>
      <c r="H168" s="410">
        <v>864.74</v>
      </c>
      <c r="I168" s="472">
        <f>ROUND((C168+D168+E168)*('29_01_H_2020'!$F$10)*B168*12*1.2409,2)</f>
        <v>1037.69</v>
      </c>
      <c r="M168" s="486"/>
    </row>
    <row r="169" spans="1:13" s="187" customFormat="1" x14ac:dyDescent="0.25">
      <c r="A169" s="175" t="s">
        <v>39</v>
      </c>
      <c r="B169" s="344">
        <v>2</v>
      </c>
      <c r="C169" s="55">
        <v>714</v>
      </c>
      <c r="D169" s="55"/>
      <c r="E169" s="55">
        <v>71.400000000000006</v>
      </c>
      <c r="F169" s="61">
        <f t="shared" si="16"/>
        <v>785.4</v>
      </c>
      <c r="G169" s="185">
        <f t="shared" si="17"/>
        <v>1570.8</v>
      </c>
      <c r="H169" s="410">
        <f t="shared" si="18"/>
        <v>1949.2057199999997</v>
      </c>
      <c r="I169" s="472">
        <f>ROUND((C169+D169+E169)*('29_01_H_2020'!$F$10)*B169*12*1.2409,2)</f>
        <v>2339.0500000000002</v>
      </c>
      <c r="M169" s="486"/>
    </row>
    <row r="170" spans="1:13" s="187" customFormat="1" x14ac:dyDescent="0.25">
      <c r="A170" s="175" t="s">
        <v>39</v>
      </c>
      <c r="B170" s="344">
        <v>1</v>
      </c>
      <c r="C170" s="55">
        <v>598</v>
      </c>
      <c r="D170" s="55"/>
      <c r="E170" s="55">
        <v>59.8</v>
      </c>
      <c r="F170" s="61">
        <f t="shared" si="16"/>
        <v>657.8</v>
      </c>
      <c r="G170" s="185">
        <f t="shared" si="17"/>
        <v>657.8</v>
      </c>
      <c r="H170" s="410">
        <f t="shared" si="18"/>
        <v>816.26401999999985</v>
      </c>
      <c r="I170" s="472">
        <f>ROUND((C170+D170+E170)*('29_01_H_2020'!$F$10)*B170*12*1.2409,2)</f>
        <v>979.52</v>
      </c>
      <c r="M170" s="486"/>
    </row>
    <row r="171" spans="1:13" s="187" customFormat="1" x14ac:dyDescent="0.25">
      <c r="A171" s="175" t="s">
        <v>463</v>
      </c>
      <c r="B171" s="344">
        <v>0.75</v>
      </c>
      <c r="C171" s="55">
        <v>780</v>
      </c>
      <c r="D171" s="55">
        <v>78</v>
      </c>
      <c r="E171" s="55">
        <v>54.6</v>
      </c>
      <c r="F171" s="61">
        <f t="shared" si="16"/>
        <v>912.6</v>
      </c>
      <c r="G171" s="185">
        <f t="shared" si="17"/>
        <v>684.45</v>
      </c>
      <c r="H171" s="410">
        <f t="shared" si="18"/>
        <v>849.33400499999993</v>
      </c>
      <c r="I171" s="472">
        <f>ROUND((C171+D171+E171)*('29_01_H_2020'!$F$10)*B171*12*1.2409,2)</f>
        <v>1019.2</v>
      </c>
      <c r="M171" s="486"/>
    </row>
    <row r="172" spans="1:13" s="187" customFormat="1" x14ac:dyDescent="0.25">
      <c r="A172" s="175" t="s">
        <v>463</v>
      </c>
      <c r="B172" s="344">
        <v>1</v>
      </c>
      <c r="C172" s="55">
        <v>714</v>
      </c>
      <c r="D172" s="55"/>
      <c r="E172" s="55">
        <v>71.400000000000006</v>
      </c>
      <c r="F172" s="61">
        <f t="shared" si="16"/>
        <v>785.4</v>
      </c>
      <c r="G172" s="185">
        <f t="shared" si="17"/>
        <v>785.4</v>
      </c>
      <c r="H172" s="410">
        <f t="shared" si="18"/>
        <v>974.60285999999985</v>
      </c>
      <c r="I172" s="472">
        <f>ROUND((C172+D172+E172)*('29_01_H_2020'!$F$10)*B172*12*1.2409,2)</f>
        <v>1169.52</v>
      </c>
      <c r="M172" s="486"/>
    </row>
    <row r="173" spans="1:13" s="187" customFormat="1" x14ac:dyDescent="0.25">
      <c r="A173" s="175" t="s">
        <v>463</v>
      </c>
      <c r="B173" s="344">
        <v>1</v>
      </c>
      <c r="C173" s="55">
        <v>750</v>
      </c>
      <c r="D173" s="55">
        <v>112.5</v>
      </c>
      <c r="E173" s="55">
        <v>187.5</v>
      </c>
      <c r="F173" s="61">
        <f t="shared" si="16"/>
        <v>1050</v>
      </c>
      <c r="G173" s="185">
        <f t="shared" si="17"/>
        <v>1050</v>
      </c>
      <c r="H173" s="410">
        <f t="shared" si="18"/>
        <v>1302.9449999999999</v>
      </c>
      <c r="I173" s="472">
        <f>ROUND((C173+D173+E173)*('29_01_H_2020'!$F$10)*B173*12*1.2409,2)</f>
        <v>1563.53</v>
      </c>
      <c r="M173" s="486"/>
    </row>
    <row r="174" spans="1:13" s="187" customFormat="1" x14ac:dyDescent="0.25">
      <c r="A174" s="175" t="s">
        <v>463</v>
      </c>
      <c r="B174" s="344">
        <v>0.5</v>
      </c>
      <c r="C174" s="55">
        <v>735</v>
      </c>
      <c r="D174" s="55">
        <v>22.05</v>
      </c>
      <c r="E174" s="55">
        <v>44.1</v>
      </c>
      <c r="F174" s="61">
        <f t="shared" si="16"/>
        <v>801.15</v>
      </c>
      <c r="G174" s="185">
        <f t="shared" si="17"/>
        <v>400.57499999999999</v>
      </c>
      <c r="H174" s="410">
        <v>497.07</v>
      </c>
      <c r="I174" s="472">
        <f>ROUND((C174+D174+E174)*('29_01_H_2020'!$F$10)*B174*12*1.2409,2)</f>
        <v>596.49</v>
      </c>
      <c r="M174" s="486"/>
    </row>
    <row r="175" spans="1:13" s="187" customFormat="1" x14ac:dyDescent="0.25">
      <c r="A175" s="175" t="s">
        <v>463</v>
      </c>
      <c r="B175" s="344">
        <v>1</v>
      </c>
      <c r="C175" s="55">
        <v>740</v>
      </c>
      <c r="D175" s="55"/>
      <c r="E175" s="55">
        <v>72</v>
      </c>
      <c r="F175" s="61">
        <f t="shared" si="16"/>
        <v>812</v>
      </c>
      <c r="G175" s="185">
        <f t="shared" si="17"/>
        <v>812</v>
      </c>
      <c r="H175" s="410">
        <f t="shared" si="18"/>
        <v>1007.6107999999999</v>
      </c>
      <c r="I175" s="472">
        <f>ROUND((C175+D175+E175)*('29_01_H_2020'!$F$10)*B175*12*1.2409,2)</f>
        <v>1209.1300000000001</v>
      </c>
      <c r="M175" s="486"/>
    </row>
    <row r="176" spans="1:13" s="187" customFormat="1" x14ac:dyDescent="0.25">
      <c r="A176" s="175" t="s">
        <v>463</v>
      </c>
      <c r="B176" s="344">
        <v>1</v>
      </c>
      <c r="C176" s="55">
        <v>694</v>
      </c>
      <c r="D176" s="55"/>
      <c r="E176" s="55">
        <v>72</v>
      </c>
      <c r="F176" s="61">
        <f t="shared" si="16"/>
        <v>766</v>
      </c>
      <c r="G176" s="185">
        <f t="shared" si="17"/>
        <v>766</v>
      </c>
      <c r="H176" s="410">
        <f t="shared" si="18"/>
        <v>950.5293999999999</v>
      </c>
      <c r="I176" s="472">
        <f>ROUND((C176+D176+E176)*('29_01_H_2020'!$F$10)*B176*12*1.2409,2)</f>
        <v>1140.6400000000001</v>
      </c>
      <c r="M176" s="486"/>
    </row>
    <row r="177" spans="1:15" s="187" customFormat="1" x14ac:dyDescent="0.25">
      <c r="A177" s="175" t="s">
        <v>463</v>
      </c>
      <c r="B177" s="344">
        <v>1</v>
      </c>
      <c r="C177" s="55">
        <v>760</v>
      </c>
      <c r="D177" s="55"/>
      <c r="E177" s="55"/>
      <c r="F177" s="61">
        <f t="shared" si="16"/>
        <v>760</v>
      </c>
      <c r="G177" s="185">
        <f t="shared" si="17"/>
        <v>760</v>
      </c>
      <c r="H177" s="410">
        <f t="shared" si="18"/>
        <v>943.08399999999995</v>
      </c>
      <c r="I177" s="472">
        <f>ROUND((C177+D177+E177)*('29_01_H_2020'!$F$10)*B177*12*1.2409,2)</f>
        <v>1131.7</v>
      </c>
      <c r="M177" s="486"/>
    </row>
    <row r="178" spans="1:15" s="187" customFormat="1" x14ac:dyDescent="0.25">
      <c r="A178" s="175" t="s">
        <v>463</v>
      </c>
      <c r="B178" s="344">
        <v>1</v>
      </c>
      <c r="C178" s="55">
        <v>595</v>
      </c>
      <c r="D178" s="55"/>
      <c r="E178" s="55">
        <v>89</v>
      </c>
      <c r="F178" s="61">
        <f t="shared" si="16"/>
        <v>684</v>
      </c>
      <c r="G178" s="185">
        <f t="shared" si="17"/>
        <v>684</v>
      </c>
      <c r="H178" s="410">
        <f t="shared" si="18"/>
        <v>848.77559999999994</v>
      </c>
      <c r="I178" s="472">
        <f>ROUND((C178+D178+E178)*('29_01_H_2020'!$F$10)*B178*12*1.2409,2)</f>
        <v>1018.53</v>
      </c>
      <c r="M178" s="486"/>
    </row>
    <row r="179" spans="1:15" s="187" customFormat="1" x14ac:dyDescent="0.25">
      <c r="A179" s="175" t="s">
        <v>269</v>
      </c>
      <c r="B179" s="344">
        <v>1</v>
      </c>
      <c r="C179" s="55">
        <v>826</v>
      </c>
      <c r="D179" s="55"/>
      <c r="E179" s="55"/>
      <c r="F179" s="61">
        <f t="shared" si="16"/>
        <v>826</v>
      </c>
      <c r="G179" s="185">
        <f t="shared" si="17"/>
        <v>826</v>
      </c>
      <c r="H179" s="410">
        <f t="shared" si="18"/>
        <v>1024.9833999999998</v>
      </c>
      <c r="I179" s="472">
        <f>ROUND((C179+D179+E179)*('29_01_H_2020'!$F$10)*B179*12*1.2409,2)</f>
        <v>1229.98</v>
      </c>
      <c r="M179" s="486"/>
    </row>
    <row r="180" spans="1:15" s="187" customFormat="1" x14ac:dyDescent="0.25">
      <c r="A180" s="175" t="s">
        <v>269</v>
      </c>
      <c r="B180" s="344">
        <v>0.5</v>
      </c>
      <c r="C180" s="55">
        <v>629</v>
      </c>
      <c r="D180" s="55"/>
      <c r="E180" s="55">
        <v>62.9</v>
      </c>
      <c r="F180" s="61">
        <f t="shared" si="16"/>
        <v>691.9</v>
      </c>
      <c r="G180" s="185">
        <f t="shared" si="17"/>
        <v>345.95</v>
      </c>
      <c r="H180" s="410">
        <f t="shared" si="18"/>
        <v>429.28935499999994</v>
      </c>
      <c r="I180" s="472">
        <f>ROUND((C180+D180+E180)*('29_01_H_2020'!$F$10)*B180*12*1.2409,2)</f>
        <v>515.15</v>
      </c>
      <c r="M180" s="486"/>
    </row>
    <row r="181" spans="1:15" s="187" customFormat="1" x14ac:dyDescent="0.25">
      <c r="A181" s="175" t="s">
        <v>312</v>
      </c>
      <c r="B181" s="344">
        <v>0.3</v>
      </c>
      <c r="C181" s="55">
        <v>599</v>
      </c>
      <c r="D181" s="55"/>
      <c r="E181" s="55">
        <v>59.9</v>
      </c>
      <c r="F181" s="61">
        <f t="shared" si="16"/>
        <v>658.9</v>
      </c>
      <c r="G181" s="185">
        <f t="shared" si="17"/>
        <v>197.67</v>
      </c>
      <c r="H181" s="410">
        <f t="shared" si="18"/>
        <v>245.28870299999997</v>
      </c>
      <c r="I181" s="472">
        <f>ROUND((C181+D181+E181)*('29_01_H_2020'!$F$10)*B181*12*1.2409,2)</f>
        <v>294.35000000000002</v>
      </c>
      <c r="M181" s="486"/>
    </row>
    <row r="182" spans="1:15" s="187" customFormat="1" x14ac:dyDescent="0.25">
      <c r="A182" s="175" t="s">
        <v>312</v>
      </c>
      <c r="B182" s="344">
        <v>0.7</v>
      </c>
      <c r="C182" s="55">
        <v>714</v>
      </c>
      <c r="D182" s="55">
        <v>21.42</v>
      </c>
      <c r="E182" s="55"/>
      <c r="F182" s="61">
        <f t="shared" si="16"/>
        <v>735.42</v>
      </c>
      <c r="G182" s="185">
        <f t="shared" si="17"/>
        <v>514.79399999999998</v>
      </c>
      <c r="H182" s="410">
        <v>638.80999999999995</v>
      </c>
      <c r="I182" s="472">
        <f>ROUND((C182+D182+E182)*('29_01_H_2020'!$F$10)*B182*12*1.2409,2)</f>
        <v>766.57</v>
      </c>
      <c r="M182" s="486"/>
    </row>
    <row r="183" spans="1:15" s="187" customFormat="1" x14ac:dyDescent="0.25">
      <c r="A183" s="175" t="s">
        <v>312</v>
      </c>
      <c r="B183" s="344">
        <v>0.7</v>
      </c>
      <c r="C183" s="55">
        <v>950</v>
      </c>
      <c r="D183" s="55">
        <v>19</v>
      </c>
      <c r="E183" s="55"/>
      <c r="F183" s="61">
        <f t="shared" si="16"/>
        <v>969</v>
      </c>
      <c r="G183" s="185">
        <f t="shared" si="17"/>
        <v>678.3</v>
      </c>
      <c r="H183" s="410">
        <f t="shared" si="18"/>
        <v>841.70246999999983</v>
      </c>
      <c r="I183" s="472">
        <f>ROUND((C183+D183+E183)*('29_01_H_2020'!$F$10)*B183*12*1.2409,2)</f>
        <v>1010.04</v>
      </c>
      <c r="M183" s="486"/>
    </row>
    <row r="184" spans="1:15" x14ac:dyDescent="0.25">
      <c r="A184" s="175" t="s">
        <v>464</v>
      </c>
      <c r="B184" s="344">
        <v>1.5</v>
      </c>
      <c r="C184" s="188">
        <v>642</v>
      </c>
      <c r="D184" s="55"/>
      <c r="E184" s="55"/>
      <c r="F184" s="61">
        <f t="shared" si="16"/>
        <v>642</v>
      </c>
      <c r="G184" s="185">
        <f t="shared" si="17"/>
        <v>963</v>
      </c>
      <c r="H184" s="405">
        <f t="shared" si="18"/>
        <v>1194.9866999999999</v>
      </c>
      <c r="I184" s="472">
        <f>ROUND((C184+D184+E184)*('29_01_H_2020'!$F$10)*B184*12*1.2409,2)</f>
        <v>1433.98</v>
      </c>
      <c r="K184" s="187"/>
      <c r="L184" s="187"/>
      <c r="M184" s="486"/>
      <c r="N184" s="187"/>
      <c r="O184" s="187"/>
    </row>
    <row r="185" spans="1:15" ht="25.5" x14ac:dyDescent="0.25">
      <c r="A185" s="173" t="s">
        <v>46</v>
      </c>
      <c r="B185" s="171"/>
      <c r="C185" s="190"/>
      <c r="D185" s="190"/>
      <c r="E185" s="190"/>
      <c r="F185" s="183">
        <f>SUM(F186:F186)</f>
        <v>539.72</v>
      </c>
      <c r="G185" s="192">
        <f>SUM(G186:G186)</f>
        <v>1079.44</v>
      </c>
      <c r="H185" s="469">
        <f>SUM(H186:H186)</f>
        <v>1339.4770959999998</v>
      </c>
      <c r="I185" s="480"/>
      <c r="K185" s="187"/>
      <c r="L185" s="187"/>
      <c r="M185" s="187"/>
      <c r="N185" s="187"/>
      <c r="O185" s="187"/>
    </row>
    <row r="186" spans="1:15" x14ac:dyDescent="0.25">
      <c r="A186" s="175" t="s">
        <v>465</v>
      </c>
      <c r="B186" s="344">
        <v>2</v>
      </c>
      <c r="C186" s="188">
        <v>524</v>
      </c>
      <c r="D186" s="55">
        <v>15.72</v>
      </c>
      <c r="E186" s="55"/>
      <c r="F186" s="61">
        <f t="shared" ref="F186" si="19">+C186+D186+E186</f>
        <v>539.72</v>
      </c>
      <c r="G186" s="185">
        <f t="shared" ref="G186" si="20">+F186*B186</f>
        <v>1079.44</v>
      </c>
      <c r="H186" s="405">
        <f t="shared" ref="H186" si="21">+G186*1.2409</f>
        <v>1339.4770959999998</v>
      </c>
      <c r="I186" s="472">
        <f>ROUND((C186+D186+E186)*('29_01_H_2020'!$F$14)*B186*12*1.2409,2)</f>
        <v>1607.37</v>
      </c>
      <c r="K186" s="187"/>
      <c r="L186" s="187"/>
      <c r="M186" s="486"/>
      <c r="N186" s="187"/>
      <c r="O186" s="187"/>
    </row>
    <row r="187" spans="1:15" ht="15.75" thickBot="1" x14ac:dyDescent="0.3">
      <c r="A187" s="194"/>
      <c r="B187" s="195"/>
      <c r="C187" s="195"/>
      <c r="D187" s="195"/>
      <c r="E187" s="195"/>
      <c r="F187" s="343">
        <f>F10+F100+F185</f>
        <v>154791.68000000002</v>
      </c>
      <c r="G187" s="196">
        <f>G10+G100+G185</f>
        <v>144204.53349999999</v>
      </c>
      <c r="H187" s="470">
        <f>H10+H100+H185</f>
        <v>178943.38506795</v>
      </c>
      <c r="I187" s="479"/>
      <c r="K187" s="187"/>
      <c r="L187" s="187"/>
      <c r="M187" s="187"/>
      <c r="N187" s="187"/>
      <c r="O187" s="187"/>
    </row>
    <row r="188" spans="1:15" s="29" customFormat="1" ht="15.75" thickBot="1" x14ac:dyDescent="0.25">
      <c r="A188" s="473" t="s">
        <v>55</v>
      </c>
      <c r="B188" s="474">
        <f>SUM(B9:B187)</f>
        <v>168.17500000000004</v>
      </c>
      <c r="C188" s="475" t="s">
        <v>258</v>
      </c>
      <c r="D188" s="475" t="s">
        <v>258</v>
      </c>
      <c r="E188" s="475" t="s">
        <v>258</v>
      </c>
      <c r="F188" s="476">
        <f>F185+F100+F10</f>
        <v>154791.67999999999</v>
      </c>
      <c r="G188" s="477">
        <f>G185+G100+G10</f>
        <v>144204.53349999999</v>
      </c>
      <c r="H188" s="478">
        <f>H185+H100+H10</f>
        <v>178943.38506795003</v>
      </c>
      <c r="I188" s="490">
        <f>SUM(I11:I99,I101:I184,I186)</f>
        <v>214732.10000000015</v>
      </c>
      <c r="K188" s="487"/>
      <c r="L188" s="488"/>
      <c r="M188" s="488"/>
      <c r="N188" s="488"/>
      <c r="O188" s="488"/>
    </row>
    <row r="189" spans="1:15" x14ac:dyDescent="0.25">
      <c r="C189" s="198"/>
      <c r="D189" s="198"/>
      <c r="E189" s="198"/>
      <c r="F189" s="197"/>
      <c r="I189" s="193"/>
      <c r="K189" s="187"/>
      <c r="L189" s="187"/>
      <c r="M189" s="187"/>
      <c r="N189" s="187"/>
      <c r="O189" s="187"/>
    </row>
    <row r="190" spans="1:15" x14ac:dyDescent="0.25">
      <c r="A190" s="17"/>
      <c r="C190" s="198"/>
      <c r="D190" s="198"/>
      <c r="E190" s="198"/>
      <c r="F190" s="197"/>
      <c r="K190" s="187"/>
      <c r="L190" s="187"/>
      <c r="M190" s="187"/>
      <c r="N190" s="187"/>
      <c r="O190" s="187"/>
    </row>
    <row r="191" spans="1:15" hidden="1" x14ac:dyDescent="0.25">
      <c r="B191" s="199"/>
      <c r="C191" s="198"/>
      <c r="D191" s="198"/>
      <c r="E191" s="198"/>
      <c r="F191" s="197"/>
      <c r="G191" s="198"/>
      <c r="H191" s="198"/>
      <c r="K191" s="187"/>
      <c r="L191" s="187"/>
      <c r="M191" s="187"/>
      <c r="N191" s="187"/>
      <c r="O191" s="187"/>
    </row>
    <row r="192" spans="1:15" hidden="1" x14ac:dyDescent="0.25">
      <c r="B192" s="199"/>
      <c r="C192" s="198"/>
      <c r="D192" s="198"/>
      <c r="E192" s="198"/>
      <c r="F192" s="198"/>
      <c r="G192" s="198"/>
      <c r="H192" s="198"/>
      <c r="K192" s="187"/>
      <c r="L192" s="187"/>
      <c r="M192" s="187"/>
      <c r="N192" s="187"/>
      <c r="O192" s="187"/>
    </row>
    <row r="193" spans="2:15" x14ac:dyDescent="0.25">
      <c r="B193" s="199"/>
      <c r="C193" s="199"/>
      <c r="D193" s="199"/>
      <c r="E193" s="199"/>
      <c r="F193" s="199"/>
      <c r="G193" s="199"/>
      <c r="H193" s="199"/>
      <c r="K193" s="187"/>
      <c r="L193" s="187"/>
      <c r="M193" s="187"/>
      <c r="N193" s="187"/>
      <c r="O193" s="187"/>
    </row>
    <row r="194" spans="2:15" x14ac:dyDescent="0.25">
      <c r="C194" s="198"/>
      <c r="D194" s="198"/>
      <c r="E194" s="198"/>
      <c r="F194" s="197"/>
      <c r="K194" s="187"/>
      <c r="L194" s="187"/>
      <c r="M194" s="187"/>
      <c r="N194" s="187"/>
      <c r="O194" s="187"/>
    </row>
    <row r="195" spans="2:15" x14ac:dyDescent="0.25">
      <c r="C195" s="198"/>
      <c r="D195" s="198"/>
      <c r="E195" s="198"/>
      <c r="F195" s="197"/>
      <c r="K195" s="187"/>
      <c r="L195" s="187"/>
      <c r="M195" s="187"/>
      <c r="N195" s="187"/>
      <c r="O195" s="187"/>
    </row>
    <row r="196" spans="2:15" x14ac:dyDescent="0.25">
      <c r="C196" s="198"/>
      <c r="D196" s="198"/>
      <c r="E196" s="198"/>
      <c r="F196" s="197"/>
    </row>
    <row r="197" spans="2:15" x14ac:dyDescent="0.25">
      <c r="C197" s="198"/>
      <c r="D197" s="198"/>
      <c r="E197" s="198"/>
      <c r="F197" s="197"/>
    </row>
    <row r="198" spans="2:15" x14ac:dyDescent="0.25">
      <c r="C198" s="198"/>
      <c r="D198" s="198"/>
      <c r="E198" s="198"/>
      <c r="F198" s="197"/>
    </row>
    <row r="199" spans="2:15" x14ac:dyDescent="0.25">
      <c r="C199" s="198"/>
      <c r="D199" s="198"/>
      <c r="E199" s="198"/>
      <c r="F199" s="197"/>
    </row>
    <row r="200" spans="2:15" x14ac:dyDescent="0.25">
      <c r="C200" s="198"/>
      <c r="D200" s="198"/>
      <c r="E200" s="198"/>
      <c r="F200" s="197"/>
    </row>
    <row r="201" spans="2:15" x14ac:dyDescent="0.25">
      <c r="C201" s="198"/>
      <c r="D201" s="198"/>
      <c r="E201" s="198"/>
      <c r="F201" s="197"/>
    </row>
    <row r="202" spans="2:15" x14ac:dyDescent="0.25">
      <c r="C202" s="198"/>
      <c r="D202" s="198"/>
      <c r="E202" s="198"/>
      <c r="F202" s="197"/>
    </row>
    <row r="203" spans="2:15" x14ac:dyDescent="0.25">
      <c r="C203" s="198"/>
      <c r="D203" s="198"/>
      <c r="E203" s="198"/>
      <c r="F203" s="197"/>
    </row>
    <row r="204" spans="2:15" x14ac:dyDescent="0.25">
      <c r="C204" s="198"/>
      <c r="D204" s="198"/>
      <c r="E204" s="198"/>
      <c r="F204" s="197"/>
    </row>
  </sheetData>
  <mergeCells count="15">
    <mergeCell ref="A9:H9"/>
    <mergeCell ref="A8:H8"/>
    <mergeCell ref="I6:I7"/>
    <mergeCell ref="A3:I3"/>
    <mergeCell ref="E1:I1"/>
    <mergeCell ref="G6:G7"/>
    <mergeCell ref="H6:H7"/>
    <mergeCell ref="A2:F2"/>
    <mergeCell ref="A5:H5"/>
    <mergeCell ref="A6:A7"/>
    <mergeCell ref="B6:B7"/>
    <mergeCell ref="C6:C7"/>
    <mergeCell ref="D6:D7"/>
    <mergeCell ref="E6:E7"/>
    <mergeCell ref="F6:F7"/>
  </mergeCells>
  <pageMargins left="0.25" right="0.25" top="0.75" bottom="0.75"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7"/>
  <sheetViews>
    <sheetView zoomScale="90" zoomScaleNormal="90" workbookViewId="0">
      <pane xSplit="1" ySplit="5" topLeftCell="B6" activePane="bottomRight" state="frozen"/>
      <selection activeCell="V212" sqref="V212"/>
      <selection pane="topRight" activeCell="V212" sqref="V212"/>
      <selection pane="bottomLeft" activeCell="V212" sqref="V212"/>
      <selection pane="bottomRight" activeCell="AF16" sqref="AF16"/>
    </sheetView>
  </sheetViews>
  <sheetFormatPr defaultRowHeight="15" x14ac:dyDescent="0.25"/>
  <cols>
    <col min="1" max="1" width="18.42578125" customWidth="1"/>
    <col min="2" max="2" width="11.28515625" bestFit="1" customWidth="1"/>
    <col min="3" max="5" width="10.140625" customWidth="1"/>
    <col min="6" max="6" width="9" bestFit="1" customWidth="1"/>
    <col min="7" max="7" width="8.5703125" bestFit="1" customWidth="1"/>
    <col min="8" max="8" width="7.28515625" bestFit="1" customWidth="1"/>
    <col min="9" max="9" width="8.85546875" customWidth="1"/>
    <col min="10" max="10" width="7.28515625" bestFit="1" customWidth="1"/>
    <col min="11" max="13" width="7.7109375" bestFit="1" customWidth="1"/>
    <col min="14" max="14" width="9.5703125" bestFit="1" customWidth="1"/>
    <col min="15" max="15" width="7.7109375" bestFit="1" customWidth="1"/>
    <col min="16" max="16" width="6.140625" bestFit="1" customWidth="1"/>
    <col min="17" max="17" width="7.7109375" bestFit="1" customWidth="1"/>
    <col min="18" max="19" width="8.140625" bestFit="1" customWidth="1"/>
    <col min="20" max="20" width="11.28515625" bestFit="1" customWidth="1"/>
    <col min="21" max="21" width="7.28515625" bestFit="1" customWidth="1"/>
    <col min="22" max="22" width="8.42578125" bestFit="1" customWidth="1"/>
    <col min="23" max="23" width="7" bestFit="1" customWidth="1"/>
    <col min="24" max="24" width="8.85546875" customWidth="1"/>
    <col min="25" max="25" width="7.85546875" bestFit="1" customWidth="1"/>
    <col min="26" max="26" width="8.42578125" style="111" bestFit="1" customWidth="1"/>
  </cols>
  <sheetData>
    <row r="1" spans="1:26" ht="15.75" x14ac:dyDescent="0.25">
      <c r="S1" s="1029" t="s">
        <v>616</v>
      </c>
      <c r="T1" s="1029"/>
      <c r="U1" s="1029"/>
      <c r="V1" s="1029"/>
      <c r="W1" s="1029"/>
      <c r="X1" s="1029"/>
      <c r="Y1" s="1029"/>
      <c r="Z1" s="1029"/>
    </row>
    <row r="2" spans="1:26" ht="40.5" customHeight="1" x14ac:dyDescent="0.25">
      <c r="A2" s="1042" t="s">
        <v>638</v>
      </c>
      <c r="B2" s="1042"/>
      <c r="C2" s="1042"/>
      <c r="D2" s="1042"/>
      <c r="E2" s="1042"/>
      <c r="F2" s="1042"/>
      <c r="G2" s="1042"/>
      <c r="H2" s="1042"/>
      <c r="I2" s="1042"/>
      <c r="J2" s="1042"/>
      <c r="K2" s="1042"/>
      <c r="L2" s="1042"/>
      <c r="M2" s="1042"/>
      <c r="N2" s="1042"/>
      <c r="O2" s="1042"/>
      <c r="P2" s="1042"/>
      <c r="Q2" s="1042"/>
      <c r="R2" s="1042"/>
      <c r="S2" s="1042"/>
      <c r="T2" s="1042"/>
      <c r="U2" s="1042"/>
      <c r="V2" s="1042"/>
      <c r="W2" s="1042"/>
      <c r="X2" s="1042"/>
      <c r="Y2" s="1042"/>
      <c r="Z2" s="1042"/>
    </row>
    <row r="3" spans="1:26" ht="17.25" customHeight="1" thickBot="1" x14ac:dyDescent="0.3">
      <c r="A3" s="1043" t="s">
        <v>466</v>
      </c>
      <c r="B3" s="1043"/>
      <c r="C3" s="1043"/>
      <c r="D3" s="1043"/>
      <c r="E3" s="1043"/>
    </row>
    <row r="4" spans="1:26" ht="38.25" customHeight="1" thickBot="1" x14ac:dyDescent="0.3">
      <c r="A4" s="1044" t="s">
        <v>457</v>
      </c>
      <c r="B4" s="1045"/>
      <c r="C4" s="1046" t="s">
        <v>467</v>
      </c>
      <c r="D4" s="1047"/>
      <c r="E4" s="1048"/>
      <c r="F4" s="1049" t="s">
        <v>1</v>
      </c>
      <c r="G4" s="1047"/>
      <c r="H4" s="1047"/>
      <c r="I4" s="1047"/>
      <c r="J4" s="1047"/>
      <c r="K4" s="1047"/>
      <c r="L4" s="1047"/>
      <c r="M4" s="1047"/>
      <c r="N4" s="1047"/>
      <c r="O4" s="1047"/>
      <c r="P4" s="1047"/>
      <c r="Q4" s="1047"/>
      <c r="R4" s="1047"/>
      <c r="S4" s="1047"/>
      <c r="T4" s="1047"/>
      <c r="U4" s="1047"/>
      <c r="V4" s="1047"/>
      <c r="W4" s="1047"/>
      <c r="X4" s="1047"/>
      <c r="Y4" s="1047"/>
      <c r="Z4" s="1048"/>
    </row>
    <row r="5" spans="1:26" ht="51.75" thickBot="1" x14ac:dyDescent="0.3">
      <c r="A5" s="200" t="s">
        <v>468</v>
      </c>
      <c r="B5" s="201" t="s">
        <v>469</v>
      </c>
      <c r="C5" s="202" t="s">
        <v>55</v>
      </c>
      <c r="D5" s="203" t="s">
        <v>470</v>
      </c>
      <c r="E5" s="204" t="s">
        <v>471</v>
      </c>
      <c r="F5" s="205" t="s">
        <v>39</v>
      </c>
      <c r="G5" s="203" t="s">
        <v>463</v>
      </c>
      <c r="H5" s="203" t="s">
        <v>24</v>
      </c>
      <c r="I5" s="203" t="s">
        <v>269</v>
      </c>
      <c r="J5" s="203" t="s">
        <v>307</v>
      </c>
      <c r="K5" s="203" t="s">
        <v>472</v>
      </c>
      <c r="L5" s="203" t="s">
        <v>313</v>
      </c>
      <c r="M5" s="203" t="s">
        <v>291</v>
      </c>
      <c r="N5" s="203" t="s">
        <v>458</v>
      </c>
      <c r="O5" s="203" t="s">
        <v>309</v>
      </c>
      <c r="P5" s="203" t="s">
        <v>312</v>
      </c>
      <c r="Q5" s="203" t="s">
        <v>473</v>
      </c>
      <c r="R5" s="203" t="s">
        <v>474</v>
      </c>
      <c r="S5" s="203" t="s">
        <v>475</v>
      </c>
      <c r="T5" s="203" t="s">
        <v>459</v>
      </c>
      <c r="U5" s="203" t="s">
        <v>476</v>
      </c>
      <c r="V5" s="203" t="s">
        <v>461</v>
      </c>
      <c r="W5" s="203" t="s">
        <v>477</v>
      </c>
      <c r="X5" s="203" t="s">
        <v>465</v>
      </c>
      <c r="Y5" s="203" t="s">
        <v>464</v>
      </c>
      <c r="Z5" s="206" t="s">
        <v>55</v>
      </c>
    </row>
    <row r="6" spans="1:26" x14ac:dyDescent="0.25">
      <c r="A6" s="207" t="s">
        <v>478</v>
      </c>
      <c r="B6" s="208">
        <v>44472.63</v>
      </c>
      <c r="C6" s="209">
        <f t="shared" ref="C6:C42" si="0">+D6+E6</f>
        <v>40.1</v>
      </c>
      <c r="D6" s="210">
        <v>35.950000000000003</v>
      </c>
      <c r="E6" s="211">
        <v>4.1500000000000004</v>
      </c>
      <c r="F6" s="212">
        <v>19.95</v>
      </c>
      <c r="G6" s="210"/>
      <c r="H6" s="210">
        <v>11.1</v>
      </c>
      <c r="I6" s="210"/>
      <c r="J6" s="210"/>
      <c r="K6" s="210">
        <v>2.5</v>
      </c>
      <c r="L6" s="210">
        <v>4.05</v>
      </c>
      <c r="M6" s="210"/>
      <c r="N6" s="210"/>
      <c r="O6" s="210"/>
      <c r="P6" s="210"/>
      <c r="Q6" s="210">
        <v>2.5</v>
      </c>
      <c r="R6" s="210"/>
      <c r="S6" s="210"/>
      <c r="T6" s="210"/>
      <c r="U6" s="210"/>
      <c r="V6" s="210"/>
      <c r="W6" s="210"/>
      <c r="X6" s="210"/>
      <c r="Y6" s="210"/>
      <c r="Z6" s="213">
        <f t="shared" ref="Z6:Z43" si="1">SUM(F6:Y6)</f>
        <v>40.099999999999994</v>
      </c>
    </row>
    <row r="7" spans="1:26" x14ac:dyDescent="0.25">
      <c r="A7" s="214" t="s">
        <v>479</v>
      </c>
      <c r="B7" s="208">
        <v>4468.17</v>
      </c>
      <c r="C7" s="215">
        <f t="shared" si="0"/>
        <v>5.25</v>
      </c>
      <c r="D7" s="216">
        <v>5.25</v>
      </c>
      <c r="E7" s="217"/>
      <c r="F7" s="218">
        <v>3.75</v>
      </c>
      <c r="G7" s="216"/>
      <c r="H7" s="216">
        <v>0.25</v>
      </c>
      <c r="I7" s="216">
        <v>1</v>
      </c>
      <c r="J7" s="216"/>
      <c r="K7" s="216">
        <v>0.25</v>
      </c>
      <c r="L7" s="216"/>
      <c r="M7" s="216"/>
      <c r="N7" s="216"/>
      <c r="O7" s="216"/>
      <c r="P7" s="216"/>
      <c r="Q7" s="216"/>
      <c r="R7" s="216"/>
      <c r="S7" s="216"/>
      <c r="T7" s="216"/>
      <c r="U7" s="216"/>
      <c r="V7" s="216"/>
      <c r="W7" s="216"/>
      <c r="X7" s="216"/>
      <c r="Y7" s="216"/>
      <c r="Z7" s="219">
        <f t="shared" si="1"/>
        <v>5.25</v>
      </c>
    </row>
    <row r="8" spans="1:26" ht="19.5" customHeight="1" x14ac:dyDescent="0.25">
      <c r="A8" s="214" t="s">
        <v>480</v>
      </c>
      <c r="B8" s="208">
        <v>11606.9</v>
      </c>
      <c r="C8" s="215">
        <f t="shared" si="0"/>
        <v>10</v>
      </c>
      <c r="D8" s="216">
        <v>10</v>
      </c>
      <c r="E8" s="217"/>
      <c r="F8" s="220">
        <v>5.5</v>
      </c>
      <c r="G8" s="221"/>
      <c r="H8" s="221">
        <v>1.5</v>
      </c>
      <c r="I8" s="221"/>
      <c r="J8" s="221"/>
      <c r="K8" s="221">
        <v>1.5</v>
      </c>
      <c r="L8" s="221">
        <v>1.5</v>
      </c>
      <c r="M8" s="216"/>
      <c r="N8" s="216"/>
      <c r="O8" s="216"/>
      <c r="P8" s="216"/>
      <c r="Q8" s="216"/>
      <c r="R8" s="216"/>
      <c r="S8" s="216"/>
      <c r="T8" s="216"/>
      <c r="U8" s="216"/>
      <c r="V8" s="216"/>
      <c r="W8" s="216"/>
      <c r="X8" s="216"/>
      <c r="Y8" s="216"/>
      <c r="Z8" s="219">
        <f t="shared" si="1"/>
        <v>10</v>
      </c>
    </row>
    <row r="9" spans="1:26" ht="19.5" customHeight="1" x14ac:dyDescent="0.25">
      <c r="A9" s="214" t="s">
        <v>481</v>
      </c>
      <c r="B9" s="208">
        <v>2426.41</v>
      </c>
      <c r="C9" s="215">
        <f t="shared" si="0"/>
        <v>2.0499999999999998</v>
      </c>
      <c r="D9" s="216">
        <v>2.0499999999999998</v>
      </c>
      <c r="E9" s="217"/>
      <c r="F9" s="218">
        <v>1</v>
      </c>
      <c r="G9" s="216"/>
      <c r="H9" s="216">
        <v>0.35</v>
      </c>
      <c r="I9" s="216"/>
      <c r="J9" s="216"/>
      <c r="K9" s="216">
        <v>0.4</v>
      </c>
      <c r="L9" s="216"/>
      <c r="M9" s="216"/>
      <c r="N9" s="216"/>
      <c r="O9" s="216"/>
      <c r="P9" s="216">
        <v>0.3</v>
      </c>
      <c r="Q9" s="216"/>
      <c r="R9" s="216"/>
      <c r="S9" s="216"/>
      <c r="T9" s="216"/>
      <c r="U9" s="216"/>
      <c r="V9" s="216"/>
      <c r="W9" s="216"/>
      <c r="X9" s="216"/>
      <c r="Y9" s="216"/>
      <c r="Z9" s="219">
        <f t="shared" si="1"/>
        <v>2.0499999999999998</v>
      </c>
    </row>
    <row r="10" spans="1:26" ht="19.5" customHeight="1" x14ac:dyDescent="0.25">
      <c r="A10" s="214" t="s">
        <v>482</v>
      </c>
      <c r="B10" s="208">
        <v>8135.95</v>
      </c>
      <c r="C10" s="215">
        <f t="shared" si="0"/>
        <v>6.5</v>
      </c>
      <c r="D10" s="216">
        <v>6.5</v>
      </c>
      <c r="E10" s="217"/>
      <c r="F10" s="218">
        <v>5.5</v>
      </c>
      <c r="G10" s="216"/>
      <c r="H10" s="216">
        <v>1</v>
      </c>
      <c r="I10" s="216"/>
      <c r="J10" s="216"/>
      <c r="K10" s="216"/>
      <c r="L10" s="216"/>
      <c r="M10" s="216"/>
      <c r="N10" s="216"/>
      <c r="O10" s="216"/>
      <c r="P10" s="216"/>
      <c r="Q10" s="216"/>
      <c r="R10" s="216"/>
      <c r="S10" s="216"/>
      <c r="T10" s="216"/>
      <c r="U10" s="216"/>
      <c r="V10" s="216"/>
      <c r="W10" s="216"/>
      <c r="X10" s="216"/>
      <c r="Y10" s="216"/>
      <c r="Z10" s="219">
        <f t="shared" si="1"/>
        <v>6.5</v>
      </c>
    </row>
    <row r="11" spans="1:26" ht="19.5" customHeight="1" x14ac:dyDescent="0.25">
      <c r="A11" s="214" t="s">
        <v>483</v>
      </c>
      <c r="B11" s="208">
        <v>5448.9</v>
      </c>
      <c r="C11" s="215">
        <f t="shared" si="0"/>
        <v>5</v>
      </c>
      <c r="D11" s="216">
        <v>5</v>
      </c>
      <c r="E11" s="217"/>
      <c r="F11" s="218">
        <v>2.5</v>
      </c>
      <c r="G11" s="216"/>
      <c r="H11" s="216">
        <v>1</v>
      </c>
      <c r="I11" s="216"/>
      <c r="J11" s="216"/>
      <c r="K11" s="216">
        <v>1.5</v>
      </c>
      <c r="L11" s="216"/>
      <c r="M11" s="216"/>
      <c r="N11" s="216"/>
      <c r="O11" s="216"/>
      <c r="P11" s="216"/>
      <c r="Q11" s="216"/>
      <c r="R11" s="216"/>
      <c r="S11" s="216"/>
      <c r="T11" s="216"/>
      <c r="U11" s="216"/>
      <c r="V11" s="216"/>
      <c r="W11" s="216"/>
      <c r="X11" s="216"/>
      <c r="Y11" s="216"/>
      <c r="Z11" s="219">
        <f t="shared" si="1"/>
        <v>5</v>
      </c>
    </row>
    <row r="12" spans="1:26" ht="19.5" customHeight="1" x14ac:dyDescent="0.25">
      <c r="A12" s="214" t="s">
        <v>484</v>
      </c>
      <c r="B12" s="208">
        <v>12417.85</v>
      </c>
      <c r="C12" s="215">
        <f t="shared" si="0"/>
        <v>10.95</v>
      </c>
      <c r="D12" s="216">
        <v>10.95</v>
      </c>
      <c r="E12" s="217"/>
      <c r="F12" s="218">
        <v>4.8</v>
      </c>
      <c r="G12" s="216"/>
      <c r="H12" s="216"/>
      <c r="I12" s="216"/>
      <c r="J12" s="216">
        <v>1.75</v>
      </c>
      <c r="K12" s="216">
        <v>1.5</v>
      </c>
      <c r="L12" s="216">
        <v>1</v>
      </c>
      <c r="M12" s="216"/>
      <c r="N12" s="216"/>
      <c r="O12" s="216"/>
      <c r="P12" s="216"/>
      <c r="Q12" s="216"/>
      <c r="R12" s="216">
        <v>0.3</v>
      </c>
      <c r="S12" s="216">
        <v>1</v>
      </c>
      <c r="T12" s="216">
        <v>0.1</v>
      </c>
      <c r="U12" s="216">
        <v>0.5</v>
      </c>
      <c r="V12" s="216"/>
      <c r="W12" s="216"/>
      <c r="X12" s="216"/>
      <c r="Y12" s="216"/>
      <c r="Z12" s="219">
        <f t="shared" si="1"/>
        <v>10.950000000000001</v>
      </c>
    </row>
    <row r="13" spans="1:26" ht="19.5" customHeight="1" x14ac:dyDescent="0.25">
      <c r="A13" s="222" t="s">
        <v>485</v>
      </c>
      <c r="B13" s="208">
        <v>3018.37</v>
      </c>
      <c r="C13" s="215">
        <f t="shared" si="0"/>
        <v>2.5</v>
      </c>
      <c r="D13" s="216">
        <v>2.5</v>
      </c>
      <c r="E13" s="217"/>
      <c r="F13" s="218">
        <v>2</v>
      </c>
      <c r="G13" s="216"/>
      <c r="H13" s="216">
        <v>0.5</v>
      </c>
      <c r="I13" s="216"/>
      <c r="J13" s="216"/>
      <c r="K13" s="216"/>
      <c r="L13" s="216"/>
      <c r="M13" s="216"/>
      <c r="N13" s="216"/>
      <c r="O13" s="216"/>
      <c r="P13" s="216"/>
      <c r="Q13" s="216"/>
      <c r="R13" s="216"/>
      <c r="S13" s="216"/>
      <c r="T13" s="216"/>
      <c r="U13" s="216"/>
      <c r="V13" s="216"/>
      <c r="W13" s="216"/>
      <c r="X13" s="216"/>
      <c r="Y13" s="216"/>
      <c r="Z13" s="219">
        <f t="shared" si="1"/>
        <v>2.5</v>
      </c>
    </row>
    <row r="14" spans="1:26" ht="19.5" customHeight="1" x14ac:dyDescent="0.25">
      <c r="A14" s="222" t="s">
        <v>486</v>
      </c>
      <c r="B14" s="208">
        <v>1485.36</v>
      </c>
      <c r="C14" s="215">
        <f t="shared" si="0"/>
        <v>1.8</v>
      </c>
      <c r="D14" s="216">
        <v>1.8</v>
      </c>
      <c r="E14" s="217"/>
      <c r="F14" s="218"/>
      <c r="G14" s="216"/>
      <c r="H14" s="216"/>
      <c r="I14" s="216"/>
      <c r="J14" s="216"/>
      <c r="K14" s="216"/>
      <c r="L14" s="216"/>
      <c r="M14" s="216"/>
      <c r="N14" s="216"/>
      <c r="O14" s="216"/>
      <c r="P14" s="216"/>
      <c r="Q14" s="216"/>
      <c r="R14" s="216"/>
      <c r="S14" s="216"/>
      <c r="T14" s="216"/>
      <c r="U14" s="216"/>
      <c r="V14" s="216">
        <v>0.3</v>
      </c>
      <c r="W14" s="216"/>
      <c r="X14" s="216"/>
      <c r="Y14" s="216">
        <v>1.5</v>
      </c>
      <c r="Z14" s="219">
        <f t="shared" si="1"/>
        <v>1.8</v>
      </c>
    </row>
    <row r="15" spans="1:26" ht="19.5" customHeight="1" x14ac:dyDescent="0.25">
      <c r="A15" s="222" t="s">
        <v>487</v>
      </c>
      <c r="B15" s="208">
        <v>858.58</v>
      </c>
      <c r="C15" s="215">
        <f t="shared" si="0"/>
        <v>1</v>
      </c>
      <c r="D15" s="216">
        <v>1</v>
      </c>
      <c r="E15" s="217"/>
      <c r="F15" s="218">
        <v>0.5</v>
      </c>
      <c r="G15" s="216"/>
      <c r="H15" s="216"/>
      <c r="I15" s="216">
        <v>0.5</v>
      </c>
      <c r="J15" s="216"/>
      <c r="K15" s="216"/>
      <c r="L15" s="216"/>
      <c r="M15" s="216"/>
      <c r="N15" s="216"/>
      <c r="O15" s="216"/>
      <c r="P15" s="216"/>
      <c r="Q15" s="216"/>
      <c r="R15" s="216"/>
      <c r="S15" s="216"/>
      <c r="T15" s="216"/>
      <c r="U15" s="216"/>
      <c r="V15" s="216"/>
      <c r="W15" s="216"/>
      <c r="X15" s="216"/>
      <c r="Y15" s="216"/>
      <c r="Z15" s="219">
        <f t="shared" si="1"/>
        <v>1</v>
      </c>
    </row>
    <row r="16" spans="1:26" ht="19.5" customHeight="1" x14ac:dyDescent="0.25">
      <c r="A16" s="222" t="s">
        <v>488</v>
      </c>
      <c r="B16" s="208">
        <v>1644.2</v>
      </c>
      <c r="C16" s="215">
        <f t="shared" si="0"/>
        <v>1.4</v>
      </c>
      <c r="D16" s="216">
        <v>1.4</v>
      </c>
      <c r="E16" s="217"/>
      <c r="F16" s="218">
        <v>1</v>
      </c>
      <c r="G16" s="216"/>
      <c r="H16" s="216"/>
      <c r="I16" s="216"/>
      <c r="J16" s="216">
        <v>0.2</v>
      </c>
      <c r="K16" s="216"/>
      <c r="L16" s="216"/>
      <c r="M16" s="216">
        <v>0.2</v>
      </c>
      <c r="N16" s="216"/>
      <c r="O16" s="216"/>
      <c r="P16" s="216"/>
      <c r="Q16" s="216"/>
      <c r="R16" s="216"/>
      <c r="S16" s="216"/>
      <c r="T16" s="216"/>
      <c r="U16" s="216"/>
      <c r="V16" s="216"/>
      <c r="W16" s="216"/>
      <c r="X16" s="216"/>
      <c r="Y16" s="216"/>
      <c r="Z16" s="219">
        <f t="shared" si="1"/>
        <v>1.4</v>
      </c>
    </row>
    <row r="17" spans="1:26" ht="19.5" customHeight="1" x14ac:dyDescent="0.25">
      <c r="A17" s="222" t="s">
        <v>489</v>
      </c>
      <c r="B17" s="208">
        <v>8769.32</v>
      </c>
      <c r="C17" s="215">
        <f t="shared" si="0"/>
        <v>7.5</v>
      </c>
      <c r="D17" s="216">
        <v>7.5</v>
      </c>
      <c r="E17" s="217"/>
      <c r="F17" s="218">
        <v>3.5</v>
      </c>
      <c r="G17" s="216">
        <v>0.75</v>
      </c>
      <c r="H17" s="216"/>
      <c r="I17" s="216"/>
      <c r="J17" s="216">
        <v>0.25</v>
      </c>
      <c r="K17" s="216"/>
      <c r="L17" s="216">
        <v>2</v>
      </c>
      <c r="M17" s="216"/>
      <c r="N17" s="216">
        <v>0.75</v>
      </c>
      <c r="O17" s="216"/>
      <c r="P17" s="216"/>
      <c r="Q17" s="216"/>
      <c r="R17" s="216"/>
      <c r="S17" s="216"/>
      <c r="T17" s="216"/>
      <c r="U17" s="216">
        <v>0.25</v>
      </c>
      <c r="V17" s="216"/>
      <c r="W17" s="216"/>
      <c r="X17" s="216"/>
      <c r="Y17" s="216"/>
      <c r="Z17" s="219">
        <f t="shared" si="1"/>
        <v>7.5</v>
      </c>
    </row>
    <row r="18" spans="1:26" ht="19.5" customHeight="1" x14ac:dyDescent="0.25">
      <c r="A18" s="222" t="s">
        <v>490</v>
      </c>
      <c r="B18" s="208">
        <v>459.14</v>
      </c>
      <c r="C18" s="215">
        <f t="shared" si="0"/>
        <v>0.6</v>
      </c>
      <c r="D18" s="216">
        <v>0.6</v>
      </c>
      <c r="E18" s="217"/>
      <c r="F18" s="218">
        <v>0.4</v>
      </c>
      <c r="G18" s="216"/>
      <c r="H18" s="216">
        <v>0.2</v>
      </c>
      <c r="I18" s="216"/>
      <c r="J18" s="216"/>
      <c r="K18" s="216"/>
      <c r="L18" s="216"/>
      <c r="M18" s="216"/>
      <c r="N18" s="216"/>
      <c r="O18" s="216"/>
      <c r="P18" s="216"/>
      <c r="Q18" s="216"/>
      <c r="R18" s="216"/>
      <c r="S18" s="216"/>
      <c r="T18" s="216"/>
      <c r="U18" s="216"/>
      <c r="V18" s="216"/>
      <c r="W18" s="216"/>
      <c r="X18" s="216"/>
      <c r="Y18" s="216"/>
      <c r="Z18" s="219">
        <f t="shared" si="1"/>
        <v>0.60000000000000009</v>
      </c>
    </row>
    <row r="19" spans="1:26" ht="19.5" customHeight="1" x14ac:dyDescent="0.25">
      <c r="A19" s="222" t="s">
        <v>491</v>
      </c>
      <c r="B19" s="208">
        <v>2422.2399999999998</v>
      </c>
      <c r="C19" s="215">
        <f t="shared" si="0"/>
        <v>2.5</v>
      </c>
      <c r="D19" s="216">
        <v>2.5</v>
      </c>
      <c r="E19" s="217"/>
      <c r="F19" s="218">
        <v>2</v>
      </c>
      <c r="G19" s="216"/>
      <c r="H19" s="216"/>
      <c r="I19" s="216"/>
      <c r="J19" s="216"/>
      <c r="K19" s="216"/>
      <c r="L19" s="216"/>
      <c r="M19" s="221">
        <v>0.5</v>
      </c>
      <c r="N19" s="216"/>
      <c r="O19" s="216"/>
      <c r="P19" s="216"/>
      <c r="Q19" s="216"/>
      <c r="R19" s="216"/>
      <c r="S19" s="216"/>
      <c r="T19" s="216"/>
      <c r="U19" s="216"/>
      <c r="V19" s="216"/>
      <c r="W19" s="216"/>
      <c r="X19" s="216"/>
      <c r="Y19" s="216"/>
      <c r="Z19" s="219">
        <f t="shared" si="1"/>
        <v>2.5</v>
      </c>
    </row>
    <row r="20" spans="1:26" ht="19.5" customHeight="1" x14ac:dyDescent="0.25">
      <c r="A20" s="222" t="s">
        <v>492</v>
      </c>
      <c r="B20" s="208">
        <v>1661.46</v>
      </c>
      <c r="C20" s="215">
        <f t="shared" si="0"/>
        <v>1.8</v>
      </c>
      <c r="D20" s="216">
        <v>1.8</v>
      </c>
      <c r="E20" s="217"/>
      <c r="F20" s="218">
        <v>0.8</v>
      </c>
      <c r="G20" s="216">
        <v>1</v>
      </c>
      <c r="H20" s="216"/>
      <c r="I20" s="216"/>
      <c r="J20" s="216"/>
      <c r="K20" s="216"/>
      <c r="L20" s="216"/>
      <c r="M20" s="216"/>
      <c r="N20" s="216"/>
      <c r="O20" s="216"/>
      <c r="P20" s="216"/>
      <c r="Q20" s="216"/>
      <c r="R20" s="216"/>
      <c r="S20" s="216"/>
      <c r="T20" s="216"/>
      <c r="U20" s="216"/>
      <c r="V20" s="216"/>
      <c r="W20" s="216"/>
      <c r="X20" s="216"/>
      <c r="Y20" s="216"/>
      <c r="Z20" s="219">
        <f t="shared" si="1"/>
        <v>1.8</v>
      </c>
    </row>
    <row r="21" spans="1:26" ht="19.5" customHeight="1" x14ac:dyDescent="0.25">
      <c r="A21" s="222" t="s">
        <v>493</v>
      </c>
      <c r="B21" s="208">
        <v>974.6</v>
      </c>
      <c r="C21" s="215">
        <f t="shared" si="0"/>
        <v>1</v>
      </c>
      <c r="D21" s="216">
        <v>1</v>
      </c>
      <c r="E21" s="217"/>
      <c r="F21" s="218">
        <v>1</v>
      </c>
      <c r="G21" s="216"/>
      <c r="H21" s="216"/>
      <c r="I21" s="216"/>
      <c r="J21" s="216"/>
      <c r="K21" s="216"/>
      <c r="L21" s="216"/>
      <c r="M21" s="216"/>
      <c r="N21" s="216"/>
      <c r="O21" s="216"/>
      <c r="P21" s="216"/>
      <c r="Q21" s="216"/>
      <c r="R21" s="216"/>
      <c r="S21" s="216"/>
      <c r="T21" s="216"/>
      <c r="U21" s="216"/>
      <c r="V21" s="216"/>
      <c r="W21" s="216"/>
      <c r="X21" s="216"/>
      <c r="Y21" s="216"/>
      <c r="Z21" s="219">
        <f t="shared" si="1"/>
        <v>1</v>
      </c>
    </row>
    <row r="22" spans="1:26" ht="19.5" customHeight="1" x14ac:dyDescent="0.25">
      <c r="A22" s="222" t="s">
        <v>494</v>
      </c>
      <c r="B22" s="208">
        <v>2775.7</v>
      </c>
      <c r="C22" s="215">
        <f t="shared" si="0"/>
        <v>2.5</v>
      </c>
      <c r="D22" s="216">
        <v>2.5</v>
      </c>
      <c r="E22" s="217"/>
      <c r="F22" s="218">
        <v>2</v>
      </c>
      <c r="G22" s="216"/>
      <c r="H22" s="216">
        <v>0.5</v>
      </c>
      <c r="I22" s="216"/>
      <c r="J22" s="216"/>
      <c r="K22" s="216"/>
      <c r="L22" s="216"/>
      <c r="M22" s="216"/>
      <c r="N22" s="216"/>
      <c r="O22" s="216"/>
      <c r="P22" s="216"/>
      <c r="Q22" s="216"/>
      <c r="R22" s="216"/>
      <c r="S22" s="216"/>
      <c r="T22" s="216"/>
      <c r="U22" s="216"/>
      <c r="V22" s="216"/>
      <c r="W22" s="216"/>
      <c r="X22" s="216"/>
      <c r="Y22" s="216"/>
      <c r="Z22" s="219">
        <f t="shared" si="1"/>
        <v>2.5</v>
      </c>
    </row>
    <row r="23" spans="1:26" ht="19.5" customHeight="1" x14ac:dyDescent="0.25">
      <c r="A23" s="222" t="s">
        <v>495</v>
      </c>
      <c r="B23" s="208">
        <v>1785.16</v>
      </c>
      <c r="C23" s="215">
        <f t="shared" si="0"/>
        <v>1.5</v>
      </c>
      <c r="D23" s="216">
        <v>1.5</v>
      </c>
      <c r="E23" s="217"/>
      <c r="F23" s="218">
        <v>1</v>
      </c>
      <c r="G23" s="216"/>
      <c r="H23" s="216">
        <v>0.5</v>
      </c>
      <c r="I23" s="216"/>
      <c r="J23" s="216"/>
      <c r="K23" s="216"/>
      <c r="L23" s="216"/>
      <c r="M23" s="216"/>
      <c r="N23" s="216"/>
      <c r="O23" s="216"/>
      <c r="P23" s="216"/>
      <c r="Q23" s="216"/>
      <c r="R23" s="216"/>
      <c r="S23" s="216"/>
      <c r="T23" s="216"/>
      <c r="U23" s="216"/>
      <c r="V23" s="216"/>
      <c r="W23" s="216"/>
      <c r="X23" s="216"/>
      <c r="Y23" s="216"/>
      <c r="Z23" s="219">
        <f t="shared" si="1"/>
        <v>1.5</v>
      </c>
    </row>
    <row r="24" spans="1:26" ht="19.5" customHeight="1" x14ac:dyDescent="0.25">
      <c r="A24" s="222" t="s">
        <v>496</v>
      </c>
      <c r="B24" s="208">
        <v>1559.36</v>
      </c>
      <c r="C24" s="215">
        <f t="shared" si="0"/>
        <v>1.5</v>
      </c>
      <c r="D24" s="216">
        <v>1.5</v>
      </c>
      <c r="E24" s="217"/>
      <c r="F24" s="218">
        <v>1</v>
      </c>
      <c r="G24" s="216"/>
      <c r="H24" s="216"/>
      <c r="I24" s="216"/>
      <c r="J24" s="216"/>
      <c r="K24" s="216">
        <v>0.5</v>
      </c>
      <c r="L24" s="216"/>
      <c r="M24" s="216"/>
      <c r="N24" s="216"/>
      <c r="O24" s="216"/>
      <c r="P24" s="216"/>
      <c r="Q24" s="216"/>
      <c r="R24" s="216"/>
      <c r="S24" s="216"/>
      <c r="T24" s="216"/>
      <c r="U24" s="216"/>
      <c r="V24" s="216"/>
      <c r="W24" s="216"/>
      <c r="X24" s="216"/>
      <c r="Y24" s="216"/>
      <c r="Z24" s="219">
        <f t="shared" si="1"/>
        <v>1.5</v>
      </c>
    </row>
    <row r="25" spans="1:26" ht="19.5" customHeight="1" x14ac:dyDescent="0.25">
      <c r="A25" s="222" t="s">
        <v>497</v>
      </c>
      <c r="B25" s="208">
        <v>6639.36</v>
      </c>
      <c r="C25" s="215">
        <f t="shared" si="0"/>
        <v>5.8</v>
      </c>
      <c r="D25" s="216">
        <v>5.8</v>
      </c>
      <c r="E25" s="217"/>
      <c r="F25" s="218">
        <v>2</v>
      </c>
      <c r="G25" s="216"/>
      <c r="H25" s="216">
        <v>3</v>
      </c>
      <c r="I25" s="216"/>
      <c r="J25" s="216"/>
      <c r="K25" s="216"/>
      <c r="L25" s="216">
        <v>0.8</v>
      </c>
      <c r="M25" s="216"/>
      <c r="N25" s="216"/>
      <c r="O25" s="216"/>
      <c r="P25" s="216"/>
      <c r="Q25" s="216"/>
      <c r="R25" s="216"/>
      <c r="S25" s="216"/>
      <c r="T25" s="216"/>
      <c r="U25" s="216"/>
      <c r="V25" s="216"/>
      <c r="W25" s="216"/>
      <c r="X25" s="216"/>
      <c r="Y25" s="216"/>
      <c r="Z25" s="219">
        <f t="shared" si="1"/>
        <v>5.8</v>
      </c>
    </row>
    <row r="26" spans="1:26" ht="19.5" customHeight="1" x14ac:dyDescent="0.25">
      <c r="A26" s="222" t="s">
        <v>498</v>
      </c>
      <c r="B26" s="208">
        <v>1151.48</v>
      </c>
      <c r="C26" s="215">
        <f t="shared" si="0"/>
        <v>1</v>
      </c>
      <c r="D26" s="216">
        <v>1</v>
      </c>
      <c r="E26" s="217"/>
      <c r="F26" s="218">
        <v>1</v>
      </c>
      <c r="G26" s="216"/>
      <c r="H26" s="216"/>
      <c r="I26" s="216"/>
      <c r="J26" s="216"/>
      <c r="K26" s="216"/>
      <c r="L26" s="216"/>
      <c r="M26" s="216"/>
      <c r="N26" s="216"/>
      <c r="O26" s="216"/>
      <c r="P26" s="216"/>
      <c r="Q26" s="216"/>
      <c r="R26" s="216"/>
      <c r="S26" s="216"/>
      <c r="T26" s="216"/>
      <c r="U26" s="216"/>
      <c r="V26" s="216"/>
      <c r="W26" s="216"/>
      <c r="X26" s="216"/>
      <c r="Y26" s="216"/>
      <c r="Z26" s="219">
        <f t="shared" si="1"/>
        <v>1</v>
      </c>
    </row>
    <row r="27" spans="1:26" ht="19.5" customHeight="1" x14ac:dyDescent="0.25">
      <c r="A27" s="222" t="s">
        <v>499</v>
      </c>
      <c r="B27" s="208">
        <v>2739.91</v>
      </c>
      <c r="C27" s="215">
        <f t="shared" si="0"/>
        <v>3</v>
      </c>
      <c r="D27" s="216">
        <v>3</v>
      </c>
      <c r="E27" s="217"/>
      <c r="F27" s="218">
        <v>2</v>
      </c>
      <c r="G27" s="216"/>
      <c r="H27" s="216">
        <v>0.5</v>
      </c>
      <c r="I27" s="216"/>
      <c r="J27" s="216"/>
      <c r="K27" s="216"/>
      <c r="L27" s="216">
        <v>0.5</v>
      </c>
      <c r="M27" s="216"/>
      <c r="N27" s="216"/>
      <c r="O27" s="216"/>
      <c r="P27" s="216"/>
      <c r="Q27" s="216"/>
      <c r="R27" s="216"/>
      <c r="S27" s="216"/>
      <c r="T27" s="216"/>
      <c r="U27" s="216"/>
      <c r="V27" s="216"/>
      <c r="W27" s="216"/>
      <c r="X27" s="216"/>
      <c r="Y27" s="216"/>
      <c r="Z27" s="219">
        <f t="shared" si="1"/>
        <v>3</v>
      </c>
    </row>
    <row r="28" spans="1:26" ht="19.5" customHeight="1" x14ac:dyDescent="0.25">
      <c r="A28" s="222" t="s">
        <v>500</v>
      </c>
      <c r="B28" s="208">
        <v>1397.56</v>
      </c>
      <c r="C28" s="215">
        <f t="shared" si="0"/>
        <v>1.5</v>
      </c>
      <c r="D28" s="216">
        <v>1.5</v>
      </c>
      <c r="E28" s="217"/>
      <c r="F28" s="218">
        <v>1.5</v>
      </c>
      <c r="G28" s="216"/>
      <c r="H28" s="216"/>
      <c r="I28" s="216"/>
      <c r="J28" s="216"/>
      <c r="K28" s="216"/>
      <c r="L28" s="216"/>
      <c r="M28" s="216"/>
      <c r="N28" s="216"/>
      <c r="O28" s="216"/>
      <c r="P28" s="216"/>
      <c r="Q28" s="216"/>
      <c r="R28" s="216"/>
      <c r="S28" s="216"/>
      <c r="T28" s="216"/>
      <c r="U28" s="216"/>
      <c r="V28" s="216"/>
      <c r="W28" s="216"/>
      <c r="X28" s="216"/>
      <c r="Y28" s="216"/>
      <c r="Z28" s="219">
        <f t="shared" si="1"/>
        <v>1.5</v>
      </c>
    </row>
    <row r="29" spans="1:26" ht="19.5" customHeight="1" x14ac:dyDescent="0.25">
      <c r="A29" s="222" t="s">
        <v>501</v>
      </c>
      <c r="B29" s="208">
        <v>5162.6499999999996</v>
      </c>
      <c r="C29" s="215">
        <f t="shared" si="0"/>
        <v>4</v>
      </c>
      <c r="D29" s="216">
        <v>4</v>
      </c>
      <c r="E29" s="217"/>
      <c r="F29" s="218">
        <v>2</v>
      </c>
      <c r="G29" s="216">
        <v>1</v>
      </c>
      <c r="H29" s="216"/>
      <c r="I29" s="216"/>
      <c r="J29" s="216"/>
      <c r="K29" s="216"/>
      <c r="L29" s="216">
        <v>0.5</v>
      </c>
      <c r="M29" s="216">
        <v>0.5</v>
      </c>
      <c r="N29" s="216"/>
      <c r="O29" s="216"/>
      <c r="P29" s="216"/>
      <c r="Q29" s="216"/>
      <c r="R29" s="216"/>
      <c r="S29" s="216"/>
      <c r="T29" s="216"/>
      <c r="U29" s="216"/>
      <c r="V29" s="216"/>
      <c r="W29" s="216"/>
      <c r="X29" s="216"/>
      <c r="Y29" s="216"/>
      <c r="Z29" s="219">
        <f t="shared" si="1"/>
        <v>4</v>
      </c>
    </row>
    <row r="30" spans="1:26" ht="19.5" customHeight="1" x14ac:dyDescent="0.25">
      <c r="A30" s="222" t="s">
        <v>502</v>
      </c>
      <c r="B30" s="208">
        <v>2046.89</v>
      </c>
      <c r="C30" s="215">
        <f t="shared" si="0"/>
        <v>1.4750000000000001</v>
      </c>
      <c r="D30" s="216">
        <v>1.4750000000000001</v>
      </c>
      <c r="E30" s="217"/>
      <c r="F30" s="218"/>
      <c r="G30" s="216"/>
      <c r="H30" s="216">
        <v>1</v>
      </c>
      <c r="I30" s="216"/>
      <c r="J30" s="216"/>
      <c r="K30" s="216"/>
      <c r="L30" s="216">
        <v>0.17499999999999999</v>
      </c>
      <c r="M30" s="216"/>
      <c r="N30" s="216"/>
      <c r="O30" s="216">
        <v>0.3</v>
      </c>
      <c r="P30" s="216"/>
      <c r="Q30" s="216"/>
      <c r="R30" s="216"/>
      <c r="S30" s="216"/>
      <c r="T30" s="216"/>
      <c r="U30" s="216"/>
      <c r="V30" s="216"/>
      <c r="W30" s="216"/>
      <c r="X30" s="216"/>
      <c r="Y30" s="216"/>
      <c r="Z30" s="219">
        <f t="shared" si="1"/>
        <v>1.4750000000000001</v>
      </c>
    </row>
    <row r="31" spans="1:26" ht="19.5" customHeight="1" x14ac:dyDescent="0.25">
      <c r="A31" s="222" t="s">
        <v>503</v>
      </c>
      <c r="B31" s="208">
        <v>1408.42</v>
      </c>
      <c r="C31" s="215">
        <f t="shared" si="0"/>
        <v>1.5</v>
      </c>
      <c r="D31" s="216">
        <v>1.5</v>
      </c>
      <c r="E31" s="217"/>
      <c r="F31" s="218">
        <v>1</v>
      </c>
      <c r="G31" s="216"/>
      <c r="H31" s="216">
        <v>0.5</v>
      </c>
      <c r="I31" s="216"/>
      <c r="J31" s="216"/>
      <c r="K31" s="216"/>
      <c r="L31" s="216"/>
      <c r="M31" s="216"/>
      <c r="N31" s="216"/>
      <c r="O31" s="216"/>
      <c r="P31" s="216"/>
      <c r="Q31" s="216"/>
      <c r="R31" s="216"/>
      <c r="S31" s="216"/>
      <c r="T31" s="216"/>
      <c r="U31" s="216"/>
      <c r="V31" s="216"/>
      <c r="W31" s="216"/>
      <c r="X31" s="216"/>
      <c r="Y31" s="216"/>
      <c r="Z31" s="219">
        <f t="shared" si="1"/>
        <v>1.5</v>
      </c>
    </row>
    <row r="32" spans="1:26" ht="19.5" customHeight="1" x14ac:dyDescent="0.25">
      <c r="A32" s="222" t="s">
        <v>504</v>
      </c>
      <c r="B32" s="208">
        <v>974.6</v>
      </c>
      <c r="C32" s="215">
        <f t="shared" si="0"/>
        <v>1</v>
      </c>
      <c r="D32" s="216">
        <v>1</v>
      </c>
      <c r="E32" s="217"/>
      <c r="F32" s="218">
        <v>1</v>
      </c>
      <c r="G32" s="216"/>
      <c r="H32" s="216"/>
      <c r="I32" s="216"/>
      <c r="J32" s="216"/>
      <c r="K32" s="216"/>
      <c r="L32" s="216"/>
      <c r="M32" s="216"/>
      <c r="N32" s="216"/>
      <c r="O32" s="216"/>
      <c r="P32" s="216"/>
      <c r="Q32" s="216"/>
      <c r="R32" s="216"/>
      <c r="S32" s="216"/>
      <c r="T32" s="216"/>
      <c r="U32" s="216"/>
      <c r="V32" s="216"/>
      <c r="W32" s="216"/>
      <c r="X32" s="216"/>
      <c r="Y32" s="216"/>
      <c r="Z32" s="219">
        <f t="shared" si="1"/>
        <v>1</v>
      </c>
    </row>
    <row r="33" spans="1:26" ht="19.5" customHeight="1" x14ac:dyDescent="0.25">
      <c r="A33" s="222" t="s">
        <v>505</v>
      </c>
      <c r="B33" s="208">
        <v>2096.44</v>
      </c>
      <c r="C33" s="215">
        <f t="shared" si="0"/>
        <v>2.2000000000000002</v>
      </c>
      <c r="D33" s="216">
        <v>2.2000000000000002</v>
      </c>
      <c r="E33" s="217"/>
      <c r="F33" s="218">
        <v>1.4</v>
      </c>
      <c r="G33" s="216"/>
      <c r="H33" s="216"/>
      <c r="I33" s="216"/>
      <c r="J33" s="216">
        <v>0.4</v>
      </c>
      <c r="K33" s="216">
        <v>0.4</v>
      </c>
      <c r="L33" s="216"/>
      <c r="M33" s="216"/>
      <c r="N33" s="216"/>
      <c r="O33" s="216"/>
      <c r="P33" s="216"/>
      <c r="Q33" s="216"/>
      <c r="R33" s="216"/>
      <c r="S33" s="216"/>
      <c r="T33" s="216"/>
      <c r="U33" s="216"/>
      <c r="V33" s="216"/>
      <c r="W33" s="216"/>
      <c r="X33" s="216"/>
      <c r="Y33" s="216"/>
      <c r="Z33" s="219">
        <f t="shared" si="1"/>
        <v>2.1999999999999997</v>
      </c>
    </row>
    <row r="34" spans="1:26" ht="19.5" customHeight="1" x14ac:dyDescent="0.25">
      <c r="A34" s="222" t="s">
        <v>506</v>
      </c>
      <c r="B34" s="208">
        <v>2909.67</v>
      </c>
      <c r="C34" s="215">
        <f t="shared" si="0"/>
        <v>3</v>
      </c>
      <c r="D34" s="216"/>
      <c r="E34" s="217">
        <v>3</v>
      </c>
      <c r="F34" s="218">
        <v>1.3</v>
      </c>
      <c r="G34" s="216"/>
      <c r="H34" s="216">
        <v>0.5</v>
      </c>
      <c r="I34" s="216"/>
      <c r="J34" s="216"/>
      <c r="K34" s="216">
        <v>0.2</v>
      </c>
      <c r="L34" s="216">
        <v>0.3</v>
      </c>
      <c r="M34" s="216"/>
      <c r="N34" s="216"/>
      <c r="O34" s="216"/>
      <c r="P34" s="216">
        <v>0.7</v>
      </c>
      <c r="Q34" s="216"/>
      <c r="R34" s="216"/>
      <c r="S34" s="216"/>
      <c r="T34" s="216"/>
      <c r="U34" s="216"/>
      <c r="V34" s="216"/>
      <c r="W34" s="216"/>
      <c r="X34" s="216"/>
      <c r="Y34" s="216"/>
      <c r="Z34" s="219">
        <f t="shared" si="1"/>
        <v>3</v>
      </c>
    </row>
    <row r="35" spans="1:26" ht="19.5" customHeight="1" x14ac:dyDescent="0.25">
      <c r="A35" s="222" t="s">
        <v>507</v>
      </c>
      <c r="B35" s="208">
        <v>4445.58</v>
      </c>
      <c r="C35" s="215">
        <f t="shared" si="0"/>
        <v>4.8</v>
      </c>
      <c r="D35" s="216"/>
      <c r="E35" s="217">
        <v>4.8</v>
      </c>
      <c r="F35" s="218">
        <v>3</v>
      </c>
      <c r="G35" s="216">
        <v>0.5</v>
      </c>
      <c r="H35" s="216"/>
      <c r="I35" s="216"/>
      <c r="J35" s="216">
        <v>0.25</v>
      </c>
      <c r="K35" s="216"/>
      <c r="L35" s="216">
        <v>1</v>
      </c>
      <c r="M35" s="216"/>
      <c r="N35" s="216"/>
      <c r="O35" s="216"/>
      <c r="P35" s="216"/>
      <c r="Q35" s="216"/>
      <c r="R35" s="216"/>
      <c r="S35" s="216"/>
      <c r="T35" s="216"/>
      <c r="U35" s="216"/>
      <c r="V35" s="216"/>
      <c r="W35" s="216">
        <v>0.05</v>
      </c>
      <c r="X35" s="216"/>
      <c r="Y35" s="216"/>
      <c r="Z35" s="219">
        <f t="shared" si="1"/>
        <v>4.8</v>
      </c>
    </row>
    <row r="36" spans="1:26" ht="19.5" customHeight="1" x14ac:dyDescent="0.25">
      <c r="A36" s="222" t="s">
        <v>508</v>
      </c>
      <c r="B36" s="208">
        <v>2188.33</v>
      </c>
      <c r="C36" s="215">
        <f t="shared" si="0"/>
        <v>2.1</v>
      </c>
      <c r="D36" s="216">
        <v>2.1</v>
      </c>
      <c r="E36" s="217"/>
      <c r="F36" s="218">
        <v>1.6</v>
      </c>
      <c r="G36" s="216"/>
      <c r="H36" s="216">
        <v>0.5</v>
      </c>
      <c r="I36" s="216"/>
      <c r="J36" s="216"/>
      <c r="K36" s="216"/>
      <c r="L36" s="216"/>
      <c r="M36" s="216"/>
      <c r="N36" s="216"/>
      <c r="O36" s="216"/>
      <c r="P36" s="216"/>
      <c r="Q36" s="216"/>
      <c r="R36" s="216"/>
      <c r="S36" s="216"/>
      <c r="T36" s="216"/>
      <c r="U36" s="216"/>
      <c r="V36" s="216"/>
      <c r="W36" s="216"/>
      <c r="X36" s="216"/>
      <c r="Y36" s="216"/>
      <c r="Z36" s="219">
        <f t="shared" si="1"/>
        <v>2.1</v>
      </c>
    </row>
    <row r="37" spans="1:26" ht="19.5" customHeight="1" x14ac:dyDescent="0.25">
      <c r="A37" s="222" t="s">
        <v>509</v>
      </c>
      <c r="B37" s="208">
        <v>9169.2900000000009</v>
      </c>
      <c r="C37" s="215">
        <f t="shared" si="0"/>
        <v>9.75</v>
      </c>
      <c r="D37" s="216">
        <v>9.75</v>
      </c>
      <c r="E37" s="217"/>
      <c r="F37" s="218">
        <v>4</v>
      </c>
      <c r="G37" s="216"/>
      <c r="H37" s="216"/>
      <c r="I37" s="216"/>
      <c r="J37" s="216">
        <v>0.7</v>
      </c>
      <c r="K37" s="216"/>
      <c r="L37" s="216">
        <v>1</v>
      </c>
      <c r="M37" s="216">
        <v>1.35</v>
      </c>
      <c r="N37" s="216"/>
      <c r="O37" s="216"/>
      <c r="P37" s="216">
        <v>0.7</v>
      </c>
      <c r="Q37" s="216"/>
      <c r="R37" s="216"/>
      <c r="S37" s="216"/>
      <c r="T37" s="216"/>
      <c r="U37" s="216"/>
      <c r="V37" s="216"/>
      <c r="W37" s="216"/>
      <c r="X37" s="216">
        <v>2</v>
      </c>
      <c r="Y37" s="216"/>
      <c r="Z37" s="219">
        <f t="shared" si="1"/>
        <v>9.75</v>
      </c>
    </row>
    <row r="38" spans="1:26" ht="19.5" customHeight="1" x14ac:dyDescent="0.25">
      <c r="A38" s="222" t="s">
        <v>510</v>
      </c>
      <c r="B38" s="208">
        <v>2495.94</v>
      </c>
      <c r="C38" s="215">
        <f t="shared" si="0"/>
        <v>3.65</v>
      </c>
      <c r="D38" s="216">
        <v>3.65</v>
      </c>
      <c r="E38" s="217"/>
      <c r="F38" s="218">
        <v>1.75</v>
      </c>
      <c r="G38" s="216"/>
      <c r="H38" s="216">
        <v>0.9</v>
      </c>
      <c r="I38" s="216"/>
      <c r="J38" s="216"/>
      <c r="K38" s="216"/>
      <c r="L38" s="216">
        <v>1</v>
      </c>
      <c r="M38" s="216"/>
      <c r="N38" s="216"/>
      <c r="O38" s="216"/>
      <c r="P38" s="216"/>
      <c r="Q38" s="216"/>
      <c r="R38" s="216"/>
      <c r="S38" s="216"/>
      <c r="T38" s="216"/>
      <c r="U38" s="216"/>
      <c r="V38" s="216"/>
      <c r="W38" s="216"/>
      <c r="X38" s="216"/>
      <c r="Y38" s="216"/>
      <c r="Z38" s="219">
        <f t="shared" si="1"/>
        <v>3.65</v>
      </c>
    </row>
    <row r="39" spans="1:26" ht="19.5" customHeight="1" x14ac:dyDescent="0.25">
      <c r="A39" s="222" t="s">
        <v>511</v>
      </c>
      <c r="B39" s="208">
        <v>583.22</v>
      </c>
      <c r="C39" s="215">
        <f t="shared" si="0"/>
        <v>1</v>
      </c>
      <c r="D39" s="216">
        <v>1</v>
      </c>
      <c r="E39" s="217"/>
      <c r="F39" s="218">
        <v>1</v>
      </c>
      <c r="G39" s="216"/>
      <c r="H39" s="216"/>
      <c r="I39" s="216"/>
      <c r="J39" s="216"/>
      <c r="K39" s="216"/>
      <c r="L39" s="216"/>
      <c r="M39" s="216"/>
      <c r="N39" s="216"/>
      <c r="O39" s="216"/>
      <c r="P39" s="216"/>
      <c r="Q39" s="216"/>
      <c r="R39" s="216"/>
      <c r="S39" s="216"/>
      <c r="T39" s="216"/>
      <c r="U39" s="216"/>
      <c r="V39" s="216"/>
      <c r="W39" s="216"/>
      <c r="X39" s="216"/>
      <c r="Y39" s="216"/>
      <c r="Z39" s="219">
        <f t="shared" si="1"/>
        <v>1</v>
      </c>
    </row>
    <row r="40" spans="1:26" ht="19.5" customHeight="1" x14ac:dyDescent="0.25">
      <c r="A40" s="222" t="s">
        <v>512</v>
      </c>
      <c r="B40" s="208">
        <v>9015.3700000000008</v>
      </c>
      <c r="C40" s="215">
        <f t="shared" si="0"/>
        <v>9.4</v>
      </c>
      <c r="D40" s="216">
        <v>2.6</v>
      </c>
      <c r="E40" s="217">
        <v>6.8</v>
      </c>
      <c r="F40" s="218">
        <v>2.8</v>
      </c>
      <c r="G40" s="216">
        <v>3</v>
      </c>
      <c r="H40" s="216">
        <v>1</v>
      </c>
      <c r="I40" s="216"/>
      <c r="J40" s="216"/>
      <c r="K40" s="216">
        <v>1.6</v>
      </c>
      <c r="L40" s="216">
        <v>1</v>
      </c>
      <c r="M40" s="216"/>
      <c r="N40" s="216"/>
      <c r="O40" s="216"/>
      <c r="P40" s="216"/>
      <c r="Q40" s="216"/>
      <c r="R40" s="216"/>
      <c r="S40" s="216"/>
      <c r="T40" s="216"/>
      <c r="U40" s="216"/>
      <c r="V40" s="216"/>
      <c r="W40" s="216"/>
      <c r="X40" s="216"/>
      <c r="Y40" s="216"/>
      <c r="Z40" s="219">
        <f t="shared" si="1"/>
        <v>9.4</v>
      </c>
    </row>
    <row r="41" spans="1:26" ht="19.5" customHeight="1" x14ac:dyDescent="0.25">
      <c r="A41" s="222" t="s">
        <v>513</v>
      </c>
      <c r="B41" s="208">
        <v>2338.3000000000002</v>
      </c>
      <c r="C41" s="215">
        <f t="shared" si="0"/>
        <v>1.8</v>
      </c>
      <c r="D41" s="216">
        <v>1.8</v>
      </c>
      <c r="E41" s="217"/>
      <c r="F41" s="218">
        <v>0.8</v>
      </c>
      <c r="G41" s="216"/>
      <c r="H41" s="216">
        <v>0.5</v>
      </c>
      <c r="I41" s="216"/>
      <c r="J41" s="216"/>
      <c r="K41" s="216"/>
      <c r="L41" s="216"/>
      <c r="M41" s="216"/>
      <c r="N41" s="216"/>
      <c r="O41" s="216"/>
      <c r="P41" s="216"/>
      <c r="Q41" s="216">
        <v>0.5</v>
      </c>
      <c r="R41" s="216"/>
      <c r="S41" s="216"/>
      <c r="T41" s="216"/>
      <c r="U41" s="216"/>
      <c r="V41" s="216"/>
      <c r="W41" s="216"/>
      <c r="X41" s="216"/>
      <c r="Y41" s="216"/>
      <c r="Z41" s="219">
        <f t="shared" si="1"/>
        <v>1.8</v>
      </c>
    </row>
    <row r="42" spans="1:26" ht="19.5" customHeight="1" x14ac:dyDescent="0.25">
      <c r="A42" s="222" t="s">
        <v>514</v>
      </c>
      <c r="B42" s="208">
        <v>4400.72</v>
      </c>
      <c r="C42" s="215">
        <f t="shared" si="0"/>
        <v>4.25</v>
      </c>
      <c r="D42" s="216">
        <v>4.25</v>
      </c>
      <c r="E42" s="217"/>
      <c r="F42" s="218">
        <v>3</v>
      </c>
      <c r="G42" s="216"/>
      <c r="H42" s="216">
        <v>0.55000000000000004</v>
      </c>
      <c r="I42" s="216"/>
      <c r="J42" s="216"/>
      <c r="K42" s="216"/>
      <c r="L42" s="216"/>
      <c r="M42" s="216"/>
      <c r="N42" s="216"/>
      <c r="O42" s="216"/>
      <c r="P42" s="216"/>
      <c r="Q42" s="216"/>
      <c r="R42" s="216"/>
      <c r="S42" s="216"/>
      <c r="T42" s="216"/>
      <c r="U42" s="216"/>
      <c r="V42" s="216">
        <v>0.7</v>
      </c>
      <c r="W42" s="216"/>
      <c r="X42" s="216"/>
      <c r="Y42" s="216"/>
      <c r="Z42" s="219">
        <f t="shared" si="1"/>
        <v>4.25</v>
      </c>
    </row>
    <row r="43" spans="1:26" ht="19.5" customHeight="1" thickBot="1" x14ac:dyDescent="0.3">
      <c r="A43" s="222" t="s">
        <v>515</v>
      </c>
      <c r="B43" s="208">
        <v>1389.32</v>
      </c>
      <c r="C43" s="215">
        <f>+D43+E43</f>
        <v>1.5</v>
      </c>
      <c r="D43" s="216">
        <v>1.5</v>
      </c>
      <c r="E43" s="217"/>
      <c r="F43" s="218"/>
      <c r="G43" s="216">
        <v>1</v>
      </c>
      <c r="H43" s="216"/>
      <c r="I43" s="216"/>
      <c r="J43" s="216"/>
      <c r="K43" s="216">
        <v>0.5</v>
      </c>
      <c r="L43" s="216"/>
      <c r="M43" s="216"/>
      <c r="N43" s="216"/>
      <c r="O43" s="216"/>
      <c r="P43" s="216"/>
      <c r="Q43" s="216"/>
      <c r="R43" s="216"/>
      <c r="S43" s="216"/>
      <c r="T43" s="216"/>
      <c r="U43" s="216"/>
      <c r="V43" s="216"/>
      <c r="W43" s="216"/>
      <c r="X43" s="216"/>
      <c r="Y43" s="216"/>
      <c r="Z43" s="219">
        <f t="shared" si="1"/>
        <v>1.5</v>
      </c>
    </row>
    <row r="44" spans="1:26" ht="15.75" thickBot="1" x14ac:dyDescent="0.3">
      <c r="A44" s="223" t="s">
        <v>55</v>
      </c>
      <c r="B44" s="224">
        <f t="shared" ref="B44:Z44" si="2">SUM(B6:B43)</f>
        <v>178943.35000000003</v>
      </c>
      <c r="C44" s="225">
        <f t="shared" si="2"/>
        <v>168.17500000000004</v>
      </c>
      <c r="D44" s="226">
        <f t="shared" si="2"/>
        <v>149.42500000000001</v>
      </c>
      <c r="E44" s="227">
        <f t="shared" si="2"/>
        <v>18.75</v>
      </c>
      <c r="F44" s="228">
        <f t="shared" si="2"/>
        <v>89.34999999999998</v>
      </c>
      <c r="G44" s="226">
        <f t="shared" si="2"/>
        <v>7.25</v>
      </c>
      <c r="H44" s="226">
        <f t="shared" si="2"/>
        <v>25.849999999999998</v>
      </c>
      <c r="I44" s="226">
        <f t="shared" si="2"/>
        <v>1.5</v>
      </c>
      <c r="J44" s="226">
        <f t="shared" si="2"/>
        <v>3.55</v>
      </c>
      <c r="K44" s="226">
        <f t="shared" si="2"/>
        <v>10.85</v>
      </c>
      <c r="L44" s="226">
        <f t="shared" si="2"/>
        <v>14.825000000000003</v>
      </c>
      <c r="M44" s="226">
        <f t="shared" si="2"/>
        <v>2.5499999999999998</v>
      </c>
      <c r="N44" s="226">
        <f t="shared" si="2"/>
        <v>0.75</v>
      </c>
      <c r="O44" s="226">
        <f t="shared" si="2"/>
        <v>0.3</v>
      </c>
      <c r="P44" s="226">
        <f t="shared" si="2"/>
        <v>1.7</v>
      </c>
      <c r="Q44" s="226">
        <f t="shared" si="2"/>
        <v>3</v>
      </c>
      <c r="R44" s="226">
        <f t="shared" si="2"/>
        <v>0.3</v>
      </c>
      <c r="S44" s="226">
        <f t="shared" si="2"/>
        <v>1</v>
      </c>
      <c r="T44" s="226">
        <f t="shared" si="2"/>
        <v>0.1</v>
      </c>
      <c r="U44" s="226">
        <f t="shared" si="2"/>
        <v>0.75</v>
      </c>
      <c r="V44" s="226">
        <f t="shared" si="2"/>
        <v>1</v>
      </c>
      <c r="W44" s="226">
        <f t="shared" si="2"/>
        <v>0.05</v>
      </c>
      <c r="X44" s="226">
        <f t="shared" si="2"/>
        <v>2</v>
      </c>
      <c r="Y44" s="226">
        <f t="shared" si="2"/>
        <v>1.5</v>
      </c>
      <c r="Z44" s="229">
        <f t="shared" si="2"/>
        <v>168.17500000000001</v>
      </c>
    </row>
    <row r="46" spans="1:26" x14ac:dyDescent="0.25">
      <c r="A46" s="1041"/>
      <c r="B46" s="1041"/>
      <c r="D46" s="95"/>
      <c r="F46" s="230"/>
      <c r="G46" s="230"/>
      <c r="H46" s="230"/>
      <c r="I46" s="230"/>
      <c r="J46" s="230"/>
      <c r="K46" s="230"/>
      <c r="L46" s="230"/>
      <c r="M46" s="230"/>
      <c r="N46" s="230"/>
      <c r="O46" s="230"/>
      <c r="P46" s="230"/>
      <c r="Q46" s="230"/>
      <c r="R46" s="230"/>
      <c r="S46" s="230"/>
      <c r="T46" s="230"/>
      <c r="U46" s="230"/>
      <c r="V46" s="230"/>
      <c r="W46" s="230"/>
      <c r="X46" s="230"/>
      <c r="Y46" s="230"/>
      <c r="Z46" s="231"/>
    </row>
    <row r="47" spans="1:26" x14ac:dyDescent="0.25">
      <c r="B47" s="95"/>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3"/>
    </row>
  </sheetData>
  <mergeCells count="7">
    <mergeCell ref="A46:B46"/>
    <mergeCell ref="S1:Z1"/>
    <mergeCell ref="A2:Z2"/>
    <mergeCell ref="A3:E3"/>
    <mergeCell ref="A4:B4"/>
    <mergeCell ref="C4:E4"/>
    <mergeCell ref="F4:Z4"/>
  </mergeCells>
  <pageMargins left="0.25" right="0.25"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29_01_H_2020</vt:lpstr>
      <vt:lpstr>Pārējās ministrijas MK66</vt:lpstr>
      <vt:lpstr>Pārējās ministrijas MK851</vt:lpstr>
      <vt:lpstr>VM padotibas iest MK66</vt:lpstr>
      <vt:lpstr>VM NMPD MK851</vt:lpstr>
      <vt:lpstr>LM_līgumorg</vt:lpstr>
      <vt:lpstr>IEM_kapitsab</vt:lpstr>
      <vt:lpstr>IZM_pašv_1</vt:lpstr>
      <vt:lpstr>IZM_pašv_2</vt:lpstr>
      <vt:lpstr>rezidenti</vt:lpstr>
      <vt:lpstr>caur tarifiem </vt:lpstr>
      <vt:lpstr>'caur tarifiem '!Print_Area</vt:lpstr>
      <vt:lpstr>IEM_kapitsab!Print_Area</vt:lpstr>
      <vt:lpstr>IZM_pašv_1!Print_Area</vt:lpstr>
      <vt:lpstr>IZM_pašv_2!Print_Area</vt:lpstr>
      <vt:lpstr>LM_līgumorg!Print_Area</vt:lpstr>
      <vt:lpstr>'Pārējās ministrijas MK66'!Print_Area</vt:lpstr>
      <vt:lpstr>rezidenti!Print_Area</vt:lpstr>
      <vt:lpstr>'VM NMPD MK851'!Print_Area</vt:lpstr>
      <vt:lpstr>'VM padotibas iest MK66'!Print_Area</vt:lpstr>
      <vt:lpstr>IZM_pašv_1!Print_Titles</vt:lpstr>
      <vt:lpstr>LM_līgumorg!Print_Titles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Rudzītis</dc:creator>
  <cp:lastModifiedBy>VM_Sandra_Kasparenko</cp:lastModifiedBy>
  <cp:lastPrinted>2019-11-29T13:01:55Z</cp:lastPrinted>
  <dcterms:created xsi:type="dcterms:W3CDTF">2019-05-13T06:29:17Z</dcterms:created>
  <dcterms:modified xsi:type="dcterms:W3CDTF">2019-12-02T10:25:01Z</dcterms:modified>
</cp:coreProperties>
</file>