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01\users$\linda.gurecka\My Documents\Projekti\PVD maksas\PVD cenrādis 2019 10\PVDcenradis pēc VSS_2019 nov\PVD cenr uz MK 2012 12\"/>
    </mc:Choice>
  </mc:AlternateContent>
  <xr:revisionPtr revIDLastSave="0" documentId="13_ncr:1_{C422DA29-9494-43EF-B684-D1502A66EAD4}" xr6:coauthVersionLast="41" xr6:coauthVersionMax="41" xr10:uidLastSave="{00000000-0000-0000-0000-000000000000}"/>
  <bookViews>
    <workbookView xWindow="-120" yWindow="-120" windowWidth="29040" windowHeight="15840" xr2:uid="{DDB1E431-A17E-4EE5-81A1-5705C6640E3A}"/>
  </bookViews>
  <sheets>
    <sheet name="Sheet1 (2)" sheetId="1" r:id="rId1"/>
  </sheets>
  <definedNames>
    <definedName name="_xlnm.Print_Area" localSheetId="0">'Sheet1 (2)'!$A$1:$AY$129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18" i="1" l="1"/>
  <c r="AT118" i="1"/>
  <c r="E118" i="1"/>
  <c r="AY118" i="1" s="1"/>
  <c r="M118" i="1" l="1"/>
  <c r="AU118" i="1" s="1"/>
  <c r="AW118" i="1" s="1"/>
  <c r="AX124" i="1" l="1"/>
  <c r="AT124" i="1"/>
  <c r="E124" i="1"/>
  <c r="AY124" i="1" s="1"/>
  <c r="AX123" i="1"/>
  <c r="AT123" i="1"/>
  <c r="E123" i="1"/>
  <c r="AY123" i="1" l="1"/>
  <c r="M124" i="1"/>
  <c r="AU124" i="1" s="1"/>
  <c r="AW124" i="1" s="1"/>
  <c r="M123" i="1"/>
  <c r="AU123" i="1" s="1"/>
  <c r="AW123" i="1" s="1"/>
  <c r="J67" i="1" l="1"/>
  <c r="AT69" i="1" l="1"/>
  <c r="J69" i="1"/>
  <c r="E69" i="1"/>
  <c r="AY69" i="1" s="1"/>
  <c r="D69" i="1"/>
  <c r="AX69" i="1" s="1"/>
  <c r="AT68" i="1"/>
  <c r="J68" i="1"/>
  <c r="E68" i="1" s="1"/>
  <c r="AY68" i="1" s="1"/>
  <c r="D68" i="1"/>
  <c r="AX68" i="1" s="1"/>
  <c r="AT67" i="1"/>
  <c r="E67" i="1"/>
  <c r="D67" i="1"/>
  <c r="AX67" i="1" s="1"/>
  <c r="AT66" i="1"/>
  <c r="J66" i="1"/>
  <c r="E66" i="1" s="1"/>
  <c r="AY66" i="1" s="1"/>
  <c r="D66" i="1"/>
  <c r="AX66" i="1" s="1"/>
  <c r="AT65" i="1"/>
  <c r="J65" i="1"/>
  <c r="E65" i="1" s="1"/>
  <c r="AY65" i="1" s="1"/>
  <c r="D65" i="1"/>
  <c r="AX65" i="1" s="1"/>
  <c r="AT64" i="1"/>
  <c r="J64" i="1"/>
  <c r="E64" i="1" s="1"/>
  <c r="AY64" i="1" s="1"/>
  <c r="D64" i="1"/>
  <c r="AX64" i="1" s="1"/>
  <c r="AT63" i="1"/>
  <c r="J63" i="1"/>
  <c r="E63" i="1" s="1"/>
  <c r="D63" i="1"/>
  <c r="AX63" i="1" s="1"/>
  <c r="AV61" i="1"/>
  <c r="AT61" i="1"/>
  <c r="J61" i="1"/>
  <c r="E61" i="1" s="1"/>
  <c r="D61" i="1"/>
  <c r="AT60" i="1"/>
  <c r="J60" i="1"/>
  <c r="E60" i="1" s="1"/>
  <c r="AY60" i="1" s="1"/>
  <c r="D60" i="1"/>
  <c r="AX60" i="1" s="1"/>
  <c r="AT58" i="1"/>
  <c r="J58" i="1"/>
  <c r="E58" i="1" s="1"/>
  <c r="AY58" i="1" s="1"/>
  <c r="D58" i="1"/>
  <c r="AX58" i="1" s="1"/>
  <c r="AT57" i="1"/>
  <c r="J57" i="1"/>
  <c r="E57" i="1"/>
  <c r="AY57" i="1" s="1"/>
  <c r="D57" i="1"/>
  <c r="AT55" i="1"/>
  <c r="J55" i="1"/>
  <c r="E55" i="1"/>
  <c r="AY55" i="1" s="1"/>
  <c r="D55" i="1"/>
  <c r="AX55" i="1" s="1"/>
  <c r="AT54" i="1"/>
  <c r="J54" i="1"/>
  <c r="E54" i="1" s="1"/>
  <c r="AY54" i="1" s="1"/>
  <c r="D54" i="1"/>
  <c r="AX54" i="1" s="1"/>
  <c r="AX53" i="1"/>
  <c r="AT53" i="1"/>
  <c r="E53" i="1"/>
  <c r="AY53" i="1" s="1"/>
  <c r="AY61" i="1" l="1"/>
  <c r="AY63" i="1"/>
  <c r="AY67" i="1"/>
  <c r="M63" i="1"/>
  <c r="AX61" i="1"/>
  <c r="M57" i="1"/>
  <c r="M61" i="1"/>
  <c r="AX57" i="1"/>
  <c r="M53" i="1"/>
  <c r="AU53" i="1" s="1"/>
  <c r="M68" i="1"/>
  <c r="M69" i="1"/>
  <c r="M66" i="1"/>
  <c r="M67" i="1"/>
  <c r="M64" i="1"/>
  <c r="M65" i="1"/>
  <c r="M58" i="1"/>
  <c r="M60" i="1"/>
  <c r="M54" i="1"/>
  <c r="M55" i="1"/>
  <c r="AU58" i="1" l="1"/>
  <c r="AW58" i="1" s="1"/>
  <c r="AU66" i="1"/>
  <c r="AW66" i="1" s="1"/>
  <c r="AU63" i="1"/>
  <c r="AW63" i="1" s="1"/>
  <c r="AU55" i="1"/>
  <c r="AW55" i="1" s="1"/>
  <c r="AU65" i="1"/>
  <c r="AW65" i="1" s="1"/>
  <c r="AU69" i="1"/>
  <c r="AW69" i="1" s="1"/>
  <c r="AU61" i="1"/>
  <c r="AW61" i="1" s="1"/>
  <c r="AU54" i="1"/>
  <c r="AW54" i="1" s="1"/>
  <c r="AU64" i="1"/>
  <c r="AW64" i="1" s="1"/>
  <c r="AU68" i="1"/>
  <c r="AW68" i="1" s="1"/>
  <c r="AU57" i="1"/>
  <c r="AW57" i="1" s="1"/>
  <c r="AU60" i="1"/>
  <c r="AW60" i="1" s="1"/>
  <c r="AU67" i="1"/>
  <c r="AW67" i="1" s="1"/>
  <c r="AW53" i="1"/>
  <c r="E107" i="1"/>
  <c r="E109" i="1"/>
  <c r="AX45" i="1" l="1"/>
  <c r="AX43" i="1"/>
  <c r="AX40" i="1"/>
  <c r="AX15" i="1"/>
  <c r="AX14" i="1"/>
  <c r="AX13" i="1"/>
  <c r="AX90" i="1"/>
  <c r="AX93" i="1"/>
  <c r="AX92" i="1"/>
  <c r="AX95" i="1"/>
  <c r="AX96" i="1"/>
  <c r="AX101" i="1"/>
  <c r="AX100" i="1"/>
  <c r="AX99" i="1"/>
  <c r="AX98" i="1"/>
  <c r="AX103" i="1"/>
  <c r="AX106" i="1"/>
  <c r="AX105" i="1"/>
  <c r="AX109" i="1"/>
  <c r="AX113" i="1"/>
  <c r="AX112" i="1"/>
  <c r="AX111" i="1"/>
  <c r="AX115" i="1"/>
  <c r="AX116" i="1"/>
  <c r="AX117" i="1"/>
  <c r="AX119" i="1"/>
  <c r="AX120" i="1"/>
  <c r="AT109" i="1"/>
  <c r="AY109" i="1" s="1"/>
  <c r="AT120" i="1" l="1"/>
  <c r="E120" i="1"/>
  <c r="AY120" i="1" s="1"/>
  <c r="AT119" i="1"/>
  <c r="E119" i="1"/>
  <c r="AY119" i="1" s="1"/>
  <c r="AT117" i="1"/>
  <c r="E117" i="1"/>
  <c r="AY117" i="1" s="1"/>
  <c r="E116" i="1"/>
  <c r="AY116" i="1" s="1"/>
  <c r="AT115" i="1"/>
  <c r="E115" i="1"/>
  <c r="AT113" i="1"/>
  <c r="E113" i="1"/>
  <c r="AT112" i="1"/>
  <c r="E112" i="1"/>
  <c r="AT111" i="1"/>
  <c r="E111" i="1"/>
  <c r="AY111" i="1" s="1"/>
  <c r="AM107" i="1"/>
  <c r="AL107" i="1"/>
  <c r="AJ107" i="1"/>
  <c r="AH107" i="1"/>
  <c r="AE107" i="1"/>
  <c r="AC107" i="1"/>
  <c r="AB107" i="1"/>
  <c r="AA107" i="1"/>
  <c r="Z107" i="1"/>
  <c r="W107" i="1"/>
  <c r="V107" i="1"/>
  <c r="U107" i="1"/>
  <c r="T107" i="1"/>
  <c r="S107" i="1"/>
  <c r="R107" i="1"/>
  <c r="Q107" i="1"/>
  <c r="P107" i="1"/>
  <c r="O107" i="1"/>
  <c r="N107" i="1"/>
  <c r="D107" i="1"/>
  <c r="M107" i="1" s="1"/>
  <c r="AT106" i="1"/>
  <c r="E106" i="1"/>
  <c r="AT105" i="1"/>
  <c r="E105" i="1"/>
  <c r="AY105" i="1" s="1"/>
  <c r="AT103" i="1"/>
  <c r="AY103" i="1" s="1"/>
  <c r="M103" i="1"/>
  <c r="AT101" i="1"/>
  <c r="E101" i="1"/>
  <c r="AY101" i="1" s="1"/>
  <c r="AT100" i="1"/>
  <c r="E100" i="1"/>
  <c r="E99" i="1"/>
  <c r="AY99" i="1" s="1"/>
  <c r="AT98" i="1"/>
  <c r="E98" i="1"/>
  <c r="AY98" i="1" s="1"/>
  <c r="AT96" i="1"/>
  <c r="E96" i="1"/>
  <c r="AY96" i="1" s="1"/>
  <c r="AT95" i="1"/>
  <c r="E95" i="1"/>
  <c r="AY95" i="1" s="1"/>
  <c r="AT93" i="1"/>
  <c r="E93" i="1"/>
  <c r="AY93" i="1" s="1"/>
  <c r="AT92" i="1"/>
  <c r="E92" i="1"/>
  <c r="AY92" i="1" s="1"/>
  <c r="AR90" i="1"/>
  <c r="AE90" i="1"/>
  <c r="AC90" i="1"/>
  <c r="AB90" i="1"/>
  <c r="AA90" i="1"/>
  <c r="Z90" i="1"/>
  <c r="W90" i="1"/>
  <c r="V90" i="1"/>
  <c r="U90" i="1"/>
  <c r="T90" i="1"/>
  <c r="S90" i="1"/>
  <c r="E90" i="1"/>
  <c r="AX72" i="1"/>
  <c r="AE72" i="1"/>
  <c r="AT72" i="1" s="1"/>
  <c r="L72" i="1"/>
  <c r="E72" i="1"/>
  <c r="AY72" i="1" s="1"/>
  <c r="AT45" i="1"/>
  <c r="E45" i="1"/>
  <c r="AY45" i="1" s="1"/>
  <c r="AT43" i="1"/>
  <c r="E43" i="1"/>
  <c r="AY43" i="1" s="1"/>
  <c r="AT40" i="1"/>
  <c r="E40" i="1"/>
  <c r="AY40" i="1" s="1"/>
  <c r="AT15" i="1"/>
  <c r="E15" i="1"/>
  <c r="AY15" i="1" s="1"/>
  <c r="AT14" i="1"/>
  <c r="E14" i="1"/>
  <c r="AY14" i="1" s="1"/>
  <c r="AT13" i="1"/>
  <c r="E13" i="1"/>
  <c r="AY13" i="1" s="1"/>
  <c r="M113" i="1" l="1"/>
  <c r="AY113" i="1"/>
  <c r="AY100" i="1"/>
  <c r="AY106" i="1"/>
  <c r="AY112" i="1"/>
  <c r="AY115" i="1"/>
  <c r="M100" i="1"/>
  <c r="AU100" i="1" s="1"/>
  <c r="AW100" i="1" s="1"/>
  <c r="M72" i="1"/>
  <c r="AT107" i="1"/>
  <c r="AY107" i="1" s="1"/>
  <c r="M43" i="1"/>
  <c r="AU43" i="1" s="1"/>
  <c r="AW43" i="1" s="1"/>
  <c r="M106" i="1"/>
  <c r="AU106" i="1" s="1"/>
  <c r="AW106" i="1" s="1"/>
  <c r="M116" i="1"/>
  <c r="AU116" i="1" s="1"/>
  <c r="AW116" i="1" s="1"/>
  <c r="M15" i="1"/>
  <c r="AU15" i="1" s="1"/>
  <c r="AW15" i="1" s="1"/>
  <c r="M99" i="1"/>
  <c r="AU99" i="1" s="1"/>
  <c r="AW99" i="1" s="1"/>
  <c r="M115" i="1"/>
  <c r="AU115" i="1" s="1"/>
  <c r="AW115" i="1" s="1"/>
  <c r="M120" i="1"/>
  <c r="AU120" i="1" s="1"/>
  <c r="AW120" i="1" s="1"/>
  <c r="M40" i="1"/>
  <c r="AU40" i="1" s="1"/>
  <c r="AW40" i="1" s="1"/>
  <c r="M95" i="1"/>
  <c r="AU95" i="1" s="1"/>
  <c r="AW95" i="1" s="1"/>
  <c r="M105" i="1"/>
  <c r="AU105" i="1" s="1"/>
  <c r="AW105" i="1" s="1"/>
  <c r="M13" i="1"/>
  <c r="AU13" i="1" s="1"/>
  <c r="AW13" i="1" s="1"/>
  <c r="M92" i="1"/>
  <c r="AU92" i="1" s="1"/>
  <c r="AW92" i="1" s="1"/>
  <c r="M93" i="1"/>
  <c r="AU93" i="1" s="1"/>
  <c r="AW93" i="1" s="1"/>
  <c r="M98" i="1"/>
  <c r="AU98" i="1" s="1"/>
  <c r="AW98" i="1" s="1"/>
  <c r="AU103" i="1"/>
  <c r="AW103" i="1" s="1"/>
  <c r="M117" i="1"/>
  <c r="AU117" i="1" s="1"/>
  <c r="AW117" i="1" s="1"/>
  <c r="M109" i="1"/>
  <c r="M111" i="1"/>
  <c r="M90" i="1"/>
  <c r="AU113" i="1"/>
  <c r="AW113" i="1" s="1"/>
  <c r="M119" i="1"/>
  <c r="AU119" i="1" s="1"/>
  <c r="AW119" i="1" s="1"/>
  <c r="M14" i="1"/>
  <c r="AU14" i="1" s="1"/>
  <c r="AW14" i="1" s="1"/>
  <c r="AT90" i="1"/>
  <c r="AY90" i="1" s="1"/>
  <c r="M45" i="1"/>
  <c r="AU45" i="1" s="1"/>
  <c r="AW45" i="1" s="1"/>
  <c r="M101" i="1"/>
  <c r="AU101" i="1" s="1"/>
  <c r="AW101" i="1" s="1"/>
  <c r="AX107" i="1"/>
  <c r="M112" i="1"/>
  <c r="AU112" i="1" s="1"/>
  <c r="AW112" i="1" s="1"/>
  <c r="M96" i="1"/>
  <c r="AU96" i="1" s="1"/>
  <c r="AW96" i="1" s="1"/>
  <c r="AU72" i="1" l="1"/>
  <c r="AW72" i="1" s="1"/>
  <c r="AU90" i="1"/>
  <c r="AW90" i="1" s="1"/>
  <c r="AU107" i="1"/>
  <c r="AW107" i="1" s="1"/>
  <c r="AU111" i="1"/>
  <c r="AW111" i="1" s="1"/>
  <c r="AU109" i="1"/>
  <c r="AW109" i="1" s="1"/>
</calcChain>
</file>

<file path=xl/sharedStrings.xml><?xml version="1.0" encoding="utf-8"?>
<sst xmlns="http://schemas.openxmlformats.org/spreadsheetml/2006/main" count="374" uniqueCount="255">
  <si>
    <t>Cenrāža punkts</t>
  </si>
  <si>
    <t>Pakalpojuma nosaukums</t>
  </si>
  <si>
    <t>Tiešās izmaksas, EUR</t>
  </si>
  <si>
    <t>EKK 2000</t>
  </si>
  <si>
    <t>Pārējās tiešās izmaksas</t>
  </si>
  <si>
    <t>t.sk.</t>
  </si>
  <si>
    <t>Tiešās izmaksas, kopā</t>
  </si>
  <si>
    <t>Netiešās izmaksas, kopā</t>
  </si>
  <si>
    <t>Jaunais</t>
  </si>
  <si>
    <t>Esošais</t>
  </si>
  <si>
    <t>EKK 2121</t>
  </si>
  <si>
    <t>EKK 2122</t>
  </si>
  <si>
    <t>EKK 2210</t>
  </si>
  <si>
    <t>EKK 2262</t>
  </si>
  <si>
    <t>EKK 2311</t>
  </si>
  <si>
    <t>EKK 2322</t>
  </si>
  <si>
    <t>EKK 2390</t>
  </si>
  <si>
    <t>EKK 1000</t>
  </si>
  <si>
    <t>EKK 2111</t>
  </si>
  <si>
    <t>EKK 2112</t>
  </si>
  <si>
    <t>EKK 2221</t>
  </si>
  <si>
    <t>EKK 2222</t>
  </si>
  <si>
    <t>EKK 2223</t>
  </si>
  <si>
    <t>EKK 2224</t>
  </si>
  <si>
    <t>EKK 2235</t>
  </si>
  <si>
    <t>EKK 2239</t>
  </si>
  <si>
    <t>EKK 2241</t>
  </si>
  <si>
    <t>EKK 2242</t>
  </si>
  <si>
    <t>EKK 2243</t>
  </si>
  <si>
    <t>EKK 2244</t>
  </si>
  <si>
    <t>EKK 2247</t>
  </si>
  <si>
    <t>EKK 2249</t>
  </si>
  <si>
    <t>EKK 2251</t>
  </si>
  <si>
    <t>EKK 2259</t>
  </si>
  <si>
    <t>EKK 2261</t>
  </si>
  <si>
    <t>EKK 2263</t>
  </si>
  <si>
    <t>EKK 2279</t>
  </si>
  <si>
    <t>EKK 2312</t>
  </si>
  <si>
    <t>EKK 2314</t>
  </si>
  <si>
    <t>EKK 2321</t>
  </si>
  <si>
    <t>EKK 2341</t>
  </si>
  <si>
    <t>EKK 2350</t>
  </si>
  <si>
    <t>EKK 2513</t>
  </si>
  <si>
    <t>EKK 2519</t>
  </si>
  <si>
    <t>1.pielikums</t>
  </si>
  <si>
    <t>I</t>
  </si>
  <si>
    <t>Veterinārā (veselības) sertifikāta sagatavošana un izsniegšana</t>
  </si>
  <si>
    <t>1.</t>
  </si>
  <si>
    <t>1.1.</t>
  </si>
  <si>
    <t>pamata darba laikā</t>
  </si>
  <si>
    <t>1.2.</t>
  </si>
  <si>
    <t>1.3.</t>
  </si>
  <si>
    <t>nakts stundās</t>
  </si>
  <si>
    <t>2.</t>
  </si>
  <si>
    <t>2.1.</t>
  </si>
  <si>
    <t>pakalpojuma cena nemainās</t>
  </si>
  <si>
    <t>2.2.</t>
  </si>
  <si>
    <t>2.3.</t>
  </si>
  <si>
    <t>3.</t>
  </si>
  <si>
    <t>Veterinārā (veselības) sertifikāta sagatavošana un izsniegšana, par mājas (istabas) dzīvnieku</t>
  </si>
  <si>
    <t>Dzīvnieku izcelsmes produktu veterinārā (veselības) sertifikāta sagatavošana un izsniegšana (par kravu):</t>
  </si>
  <si>
    <t>4.1.</t>
  </si>
  <si>
    <t>3.1.</t>
  </si>
  <si>
    <t>4.2.</t>
  </si>
  <si>
    <t>3.2.</t>
  </si>
  <si>
    <t>4.3.</t>
  </si>
  <si>
    <t>3.3.</t>
  </si>
  <si>
    <t>4.</t>
  </si>
  <si>
    <t>Augu un dzīvnieku valsts barības veterinārā (veselības) sertifikāta sagatavošana un izsniegšana (atbilstoši faktiskajam kontroles laikam par darba stundu):</t>
  </si>
  <si>
    <t>5.1.</t>
  </si>
  <si>
    <t>5.2.</t>
  </si>
  <si>
    <t>5.3.</t>
  </si>
  <si>
    <t>II</t>
  </si>
  <si>
    <t>Atbilstības sertifikāta, kontroles apliecības un pārējo ar uzraudzību un kontroli saistīto apliecinājumu, sertifikātu un izziņu sagatavošana un izsniegšana</t>
  </si>
  <si>
    <t>6.</t>
  </si>
  <si>
    <t>5.</t>
  </si>
  <si>
    <t>Augkopības produktu atbilstības sertifikāta sagatavošana un izsniegšana</t>
  </si>
  <si>
    <t>7.</t>
  </si>
  <si>
    <t>Sēņu un meža ogu sertifikāta sagatavošana un izsniegšana (par kravu)</t>
  </si>
  <si>
    <t>8.</t>
  </si>
  <si>
    <t>9.</t>
  </si>
  <si>
    <t>10.</t>
  </si>
  <si>
    <t>Atbilstības un speciālā sertifikāta sagatavošana par lauksaimniecības un pārstrādātiem lauksaimniecības produktiem, kas pretendē uz eksporta kompensāciju saņemšanu (atbilstoši faktiskajām kontroles izmaksām par darba stundu), un tā izsniegšana</t>
  </si>
  <si>
    <t>11.</t>
  </si>
  <si>
    <t>Ar uzraudzību un kontroli, tostarp intervences pasākumiem, saistīta apliecinājuma vai sertifikāta sagatavošana un izsniegšana (par darba stundu)</t>
  </si>
  <si>
    <t>11.1.</t>
  </si>
  <si>
    <t>10.1.</t>
  </si>
  <si>
    <t>11.2.</t>
  </si>
  <si>
    <t>10.2.</t>
  </si>
  <si>
    <t>11.3.</t>
  </si>
  <si>
    <t>10.3.</t>
  </si>
  <si>
    <t>12.</t>
  </si>
  <si>
    <t>Ar preču un produktu robežkontroli saistīta apliecinājuma vai sertifikāta sagatavošana un izsniegšana vai sertifikāta izraksta apstiprināšana (par kravu)</t>
  </si>
  <si>
    <t>13.</t>
  </si>
  <si>
    <t>Dažādu ar uzraudzību un kontroli saistītu apliecinājumu, sertifikātu, pārbaudes protokola izrakstu un izziņu sagatavošana un izsniegšana (ja nav nepieciešama speciāla uzraudzības objekta pārbaude vai citas darbības (laboratoriskie izmeklējumi))</t>
  </si>
  <si>
    <t xml:space="preserve">III. </t>
  </si>
  <si>
    <t>14.</t>
  </si>
  <si>
    <t>Atzīšanas, apstiprināšanas apliecības noformēšana un izsniegšana</t>
  </si>
  <si>
    <t>14.1.</t>
  </si>
  <si>
    <t>13.1.</t>
  </si>
  <si>
    <t>informācijas ievadīšana un aktualizācija datubāzēs</t>
  </si>
  <si>
    <t>14.2.</t>
  </si>
  <si>
    <t>13.2.</t>
  </si>
  <si>
    <t>apliecības noformēšana un izsniegšana</t>
  </si>
  <si>
    <t>15.</t>
  </si>
  <si>
    <t>Izmaiņu izdarīšana atzīšanas apliecībā vai kontroles institūcijas apstiprināšanas apliecībā:</t>
  </si>
  <si>
    <t>15.1.</t>
  </si>
  <si>
    <t>15.2.</t>
  </si>
  <si>
    <t>16.</t>
  </si>
  <si>
    <t>Inspektora vienas darba stundas izmaksas par novērtēšanu (pārbaudi) pirms atzīšanas, reģistrācijas vai kontroles institūcijas (pārtikas un veterinārās jomas) apstiprināšanas un atkārtotu novērtēšanu (pārbaudi), ja konstatēta neatbilstība</t>
  </si>
  <si>
    <t>17.</t>
  </si>
  <si>
    <t>Reģistrācijas apliecības noformēšana un izsniegšana</t>
  </si>
  <si>
    <t>18.</t>
  </si>
  <si>
    <t>Inspektora (eksperta) vienas darba stundas izmaksas (bez viesnīcas izmaksām) par uzņēmuma (objekta) vai dokumentu pārbaudi dažādu apliecinājumu saņemšanai vai ierobežojumu atcelšanai, kā arī paraugu ņemšanu (pēc klienta rakstiska pieprasījuma)</t>
  </si>
  <si>
    <t>19.</t>
  </si>
  <si>
    <t>Uzņēmuma atzīšana eksportam uz valstīm ārpus Eiropas Savienības</t>
  </si>
  <si>
    <t>IV.</t>
  </si>
  <si>
    <t>Zvejas produktu pārbaude</t>
  </si>
  <si>
    <t>20.</t>
  </si>
  <si>
    <t>Zvejas produktu pārbaude izkraušanas vietās (par tonnu)</t>
  </si>
  <si>
    <t>V.</t>
  </si>
  <si>
    <t>21.</t>
  </si>
  <si>
    <t>21.1.</t>
  </si>
  <si>
    <t>21.2.</t>
  </si>
  <si>
    <t>21.3.</t>
  </si>
  <si>
    <t>21.4.</t>
  </si>
  <si>
    <t>21.5.</t>
  </si>
  <si>
    <t>22.</t>
  </si>
  <si>
    <t>VI.</t>
  </si>
  <si>
    <t>Bioloģiskās lauksaimniecības kontroles institūcijas darbības izvērtēšana trešajā valstī</t>
  </si>
  <si>
    <t>24.</t>
  </si>
  <si>
    <t>Iesniegto dokumentu pārbaude un ziņojuma sagatavošana pēc kontroles institūcijas darbības izvērtēšanas</t>
  </si>
  <si>
    <t>25.</t>
  </si>
  <si>
    <t>VII.</t>
  </si>
  <si>
    <t>Produktu sertificēšana pārtikas kvalitātes shēmā, ikgadējā pārbaude un atkārtota pārbaude, ja konstatēta neatbilstība</t>
  </si>
  <si>
    <t>26.</t>
  </si>
  <si>
    <t>VIII.</t>
  </si>
  <si>
    <t>Izmēģinājumu projektu izvērtēšana</t>
  </si>
  <si>
    <t>27.</t>
  </si>
  <si>
    <t>Izmēģinājuma projekta un ar to saistīto dokumentu izvērtēšana un izmēģinājuma projekta atļaujas izsniegšana (ja izvērtēšanai nav nepieciešami papildu dokumenti)</t>
  </si>
  <si>
    <t>28.</t>
  </si>
  <si>
    <t>Papildus iesniegto izmēģinājuma projektam nepieciešamo dokumentu izvērtēšana</t>
  </si>
  <si>
    <t>29.</t>
  </si>
  <si>
    <t>Izmēģinājuma projekta izvērtēšanā iesaistītā eksperta (pētnieka) atlīdzība (par vienu projektu)</t>
  </si>
  <si>
    <t>30.</t>
  </si>
  <si>
    <t>31.</t>
  </si>
  <si>
    <t>2.pielikums - pakalpojumu cenas nemainās</t>
  </si>
  <si>
    <t>3.pielikums</t>
  </si>
  <si>
    <t>1.2.1.</t>
  </si>
  <si>
    <t>1.2.2.</t>
  </si>
  <si>
    <t>1.3.1.</t>
  </si>
  <si>
    <t>1.3.2.</t>
  </si>
  <si>
    <t>1.4.</t>
  </si>
  <si>
    <t>1.4.1.</t>
  </si>
  <si>
    <t>1.4.2.</t>
  </si>
  <si>
    <t>1.4.3.</t>
  </si>
  <si>
    <t>1.5.</t>
  </si>
  <si>
    <t>2.2.1.</t>
  </si>
  <si>
    <t>2.2.2.</t>
  </si>
  <si>
    <t>2.2.3.</t>
  </si>
  <si>
    <t>3.2.1.</t>
  </si>
  <si>
    <t>3.2.2.</t>
  </si>
  <si>
    <t>3.2.3.</t>
  </si>
  <si>
    <t>6.6.</t>
  </si>
  <si>
    <t>8.7.</t>
  </si>
  <si>
    <t>Baltijas valstu kopējā veterināro zāļu marķējuma apstiprināšana</t>
  </si>
  <si>
    <t>21.1.1.</t>
  </si>
  <si>
    <t>21.1.2.</t>
  </si>
  <si>
    <t>zirgu dzimtas dzīvnieku gaļa</t>
  </si>
  <si>
    <t>cūkgaļa: dzīvnieki ar kautsvaru, kas ir:</t>
  </si>
  <si>
    <t>21.3.1.</t>
  </si>
  <si>
    <t>līdz 25 kg</t>
  </si>
  <si>
    <t>21.3.2.</t>
  </si>
  <si>
    <t>vienāds vai lielāks par 25 kg</t>
  </si>
  <si>
    <t>aitas gaļa un kazas gaļa: dzīvnieki ar kautsvaru, kas ir:</t>
  </si>
  <si>
    <t>21.4.1.</t>
  </si>
  <si>
    <t>līdz 12 kg</t>
  </si>
  <si>
    <t>21.4.2.</t>
  </si>
  <si>
    <t>vienāds vai lielāks par 12 kg</t>
  </si>
  <si>
    <t>mājputnu gaļa:</t>
  </si>
  <si>
    <t>21.5.1.</t>
  </si>
  <si>
    <t>21.5.2.</t>
  </si>
  <si>
    <t>pīles un zosis</t>
  </si>
  <si>
    <t>21.5.3.</t>
  </si>
  <si>
    <t>tītari</t>
  </si>
  <si>
    <t>21.5.4.</t>
  </si>
  <si>
    <t>saimniecībā audzētu trušu gaļa</t>
  </si>
  <si>
    <t>21.5.5.</t>
  </si>
  <si>
    <t>paipalas un irbes</t>
  </si>
  <si>
    <t>Zemkopības ministrs</t>
  </si>
  <si>
    <t>Valsts uzraudzības un kontroles darbības kautuvēs</t>
  </si>
  <si>
    <t>ārpus darba laika darbdienās un brīvdienās</t>
  </si>
  <si>
    <t>IX.</t>
  </si>
  <si>
    <t>4.pieli-kums</t>
  </si>
  <si>
    <t>5.pieli-kums</t>
  </si>
  <si>
    <t>Normatīvajos aktos noteiktā uzraudzības objekta novērtēšana (pārbaude), atzīšana un kontroles institūcijas (pārtikas un veterinārās jomas) apstiprināšana</t>
  </si>
  <si>
    <t>Neplānotas valsts uzraudzības un kontroles darbības neatbilstības gadījumā</t>
  </si>
  <si>
    <t>Inspektora vienas darba stundas izmaksas, veicot iepriekš neplānotu kontroli un īstenojot pasākumus neatbilstības gadījumā</t>
  </si>
  <si>
    <t>32.</t>
  </si>
  <si>
    <t>33.</t>
  </si>
  <si>
    <t>Darbību un pakalpojumu izcenojuma aprēķins</t>
  </si>
  <si>
    <t>Dzīvnieku veterinārā (veselības) sertifikāta sagatavošana un izsniegšana, tostarp dzīvnieku pārbaude pirms karantīnas un karantīnas laikā (atbilstoši faktiskajam kontroles laikam par darba stundu) (izņemot šā pielikuma 2. punktā minētajiem dzīvniekiem):</t>
  </si>
  <si>
    <t>Dzīvnieku veterinārā (veselības) sertifikāta sagatavošana un izsniegšana, tostarp dzīvnieku pārbaude pirms karantīnas un karantīnas laikā, liellopiem, kuri vecāki par trīs mēnešiem (par dzīvnieku):</t>
  </si>
  <si>
    <t>Maksa par nokauto dzīvnieku kontroli (par dzīvnieku), izņemot šā pielikuma 22. punktā minētajā gadījumā:</t>
  </si>
  <si>
    <t>liellopu gaļa:</t>
  </si>
  <si>
    <t>pieauguši liellopi</t>
  </si>
  <si>
    <t>jaunlopi</t>
  </si>
  <si>
    <r>
      <t xml:space="preserve">Gallus </t>
    </r>
    <r>
      <rPr>
        <sz val="10"/>
        <rFont val="Times New Roman"/>
        <family val="1"/>
        <charset val="186"/>
      </rPr>
      <t>ģints mājputni un pērļu vistiņas</t>
    </r>
  </si>
  <si>
    <t>23.</t>
  </si>
  <si>
    <t>Maksa par kontroles laiku, ja šā pielikuma 21. punktā noteiktā maksa par dzīvnieku nesedz faktiskās izmaksas (atbilstoši faktiskajam kontroles laikam par darba stundu)</t>
  </si>
  <si>
    <t>Maksa par dīkstāvi, ja dīkstāves laiks pārsniedz vienu stundu (atbilstoši faktiskajam laikam par stundu)</t>
  </si>
  <si>
    <t xml:space="preserve">Izdevumi, kas saistīti ar laboratoriskajiem izmeklējumiem </t>
  </si>
  <si>
    <t>papildus par katriem 1000 kg (no 5001 kg)</t>
  </si>
  <si>
    <t>papildus par katriem 10 000 kg (no 10 001 kg)</t>
  </si>
  <si>
    <t>Izmaiņu veikšana ievešanas un lietošanas atļaujā izņēmuma gadījumiem, arī imunoloģiskām veterinārajām zālēm (par katru produktu)</t>
  </si>
  <si>
    <t>Maksas pakalpojuma vienību skaits gadā (gab.)</t>
  </si>
  <si>
    <t>Atlīdzība, EKK 1000</t>
  </si>
  <si>
    <t>Viena pakalpo-juma izmaksas kopā (bez PVN)</t>
  </si>
  <si>
    <t>Progno-zētais ieņēmumu apjoms gadā (EUR)</t>
  </si>
  <si>
    <t>Atlīdzība
EKK* 1000</t>
  </si>
  <si>
    <t>*</t>
  </si>
  <si>
    <t>K.Gerhards</t>
  </si>
  <si>
    <t>Pārtikas nekaitīguma kontrole (izņemot pārtiku, par kuras kontroli samaksa noteikta Regulā 2017/625):</t>
  </si>
  <si>
    <t>sūtījumam, ko ved ar vienu autotransporta līdzekli/automašīnu vai konteineru, ar svaru līdz 5000 kg (izņemot šā pielikuma 1.5. apakšpunktā minēto pārtiku)</t>
  </si>
  <si>
    <t>sūtījumam, ko ved ar vienu autotransporta līdzekli/automašīnu vai vienu konteineru, ar svaru 5001 kg un vairāk (izņemot šā pielikuma 1.5. apakšpunktā minēto pārtiku):</t>
  </si>
  <si>
    <t>ar svaru līdz 5000 kg</t>
  </si>
  <si>
    <t>sūtījumiem vienā vai vairākos konteineros no viena un tā paša kuģa (viens muitas formalitāšu kārtošanas dokuments) par katru sūtījumu (izņemot šā pielikuma 1.5. apakšpunktā minēto pārtiku):</t>
  </si>
  <si>
    <t>sūtījumiem vienā vai vairākos vagonos vienā vilciena sastāvā (viens muitas formalitāšu kārtošanas dokuments) par katru sūtījumu (izņemot šā pielikuma 1.5. apakšpunktā minēto pārtiku):</t>
  </si>
  <si>
    <t>ar svaru līdz 10 000 kg</t>
  </si>
  <si>
    <t>sāls sūtījumam neatkarīgi no transportlīdzekļa veida</t>
  </si>
  <si>
    <t>Nekaitīguma kontrole saskarei ar pārtiku paredzētu materiālu un izstrādājumu sūtījumam:</t>
  </si>
  <si>
    <t xml:space="preserve">ar svaru līdz 5000 kg </t>
  </si>
  <si>
    <t>ar svaru 5001 kg un vairāk:</t>
  </si>
  <si>
    <t>Nepārtikas preču drošuma kontrole medikamentu un augu aizsardzības līdzekļu sūtījumam:</t>
  </si>
  <si>
    <t>maksimālā maksa par 3.2.1. un 3.2.2.apakšpunktā minēto sūtījumu</t>
  </si>
  <si>
    <t>maksimālā maksa par 2.2.1. un 2.2.2.apakšpunktā minēto sūtījumu</t>
  </si>
  <si>
    <t>maksimālā maksa par 1.4.1. un 1.4.2. apakšpunktā minēto sūtījumu</t>
  </si>
  <si>
    <t>Dzīvnieku barības kontrole (izņemot dzīvnieku izcelsmes dzīvnieku barību, par kuras kontroli samaksa noteikta Regulā 2017/625) sūtījumam:</t>
  </si>
  <si>
    <t>maksimālā maksa par 4.1. un 4.2.apakšpunktā minēto kravu</t>
  </si>
  <si>
    <t>Reproduktīvo produktu  (mākslīgai pavairošanai paredzēta sperma, ovocīti un embriji, inkubējamas olas) sūtījuma kontrole (izņemot reproduktīvos produktus, par kuru kontroli samaksa noteikta Regulā 2017/625)</t>
  </si>
  <si>
    <t>Inspektora (eksperta) vienas darba stundas izmaksas par paraugu ņemšanu un nosūtīšanu laboratoriskiem izmeklējumiem pēc sūtījuma īpašnieka (pilnvarotās personas) pieprasījuma</t>
  </si>
  <si>
    <t>Šā pielikuma 1., 2., 3., un 4. punktā minēto preču kontrole starptautiskajos pasta sūtījumos, kuru svars ir līdz 30 kg</t>
  </si>
  <si>
    <r>
      <t>Veterināro zāļu reģistrācija, pārreģistrācija un reģistrācijas uzraudzība</t>
    </r>
    <r>
      <rPr>
        <sz val="10"/>
        <rFont val="Times New Roman"/>
        <family val="1"/>
        <charset val="186"/>
      </rPr>
      <t xml:space="preserve"> (norādīti tikai grozījumi, kas skar cenu izmaiņas)</t>
    </r>
  </si>
  <si>
    <t>Izmēģinājuma projekta atļaujas atjaunošana</t>
  </si>
  <si>
    <t>Izmēģinājuma projekta atļaujas grozīšana</t>
  </si>
  <si>
    <t xml:space="preserve">Pielikums
Ministru kabineta noteikumu projekta „Pārtikas un veterinārā dienesta valsts uzraudzības un kontroles darbību un maksas pakalpojumu maksas aprēķināšanas un maksāšanas kārtība” sākotnējās ietekmes novērtējuma ziņojumam (anotācijai)
</t>
  </si>
  <si>
    <t>saskaņā ar Ministru kabineta 2005.gada 27.decembra noteikumiem Nr.1031 „Noteikumi par budžetu izdevumu klasifikāciju atbilstoši ekonomiskajām kategorijām”</t>
  </si>
  <si>
    <t>Atbilstības sertifikāta vai kontroles apliecības sagatavošana par importēto vai eksportējamo svaigo augļu un dārzeņu atbilstību tirdzniecības standartiem, kas noteikti Komisijas 2011. gada 7. jūnija Īstenošanas regulas (ES) Nr. 543/2011, ar ko nosaka sīki izstrādātus noteikumus Padomes Regulas (EK) Nr. 1234/2007 piemērošanai attiecībā uz augļu un dārzeņu un pārstrādātu augļu un dārzeņu nozari (turpmāk – Komisijas Īstenošanas regula Nr. 543/2011), I pielikuma A un B daļā un tās izsniegšana sūtījumam:</t>
  </si>
  <si>
    <t>Kontroles apliecības sagatavošana par atkārtotu svaigu augļu un dārzeņu atbilstības novērtēšanu tirdzniecības standartiem, kas noteikti Komisijas Īstenošanas regulas Nr. 543/2011 I pielikuma A un B daļā (par neatbilstošo sūtījumu) un tās izsniegšana sūtījumam ar svaru:</t>
  </si>
  <si>
    <t>Kontroles institūcijas darbības izvērtēšana trešajā valstī (atbilstoši faktiskajam darba laikam)</t>
  </si>
  <si>
    <t>komandējuma dienas nauda, ceļa izdevumi, naktsmītne un citi izdevumi atbilstoši attaisnojuma dokumentiem un noteiktajiem tarifiem</t>
  </si>
  <si>
    <t>34.</t>
  </si>
  <si>
    <t>Produktu sertificēšana pārtikas kvalitātes shēmā, ikgadējā pārbaude un atkārtota pārbaude, ja konstatēta neatbilstība Latvijā (atbilstoši faktiskajam darba laikam)</t>
  </si>
  <si>
    <t>Produktu sertificēšana pārtikas kvalitātes shēmā, ikgadējā pārbaude un atkārtota pārbaude, ja konstatēta neatbilstība citā Eiropas Savienības dalībvalstī (atbilstoši faktiskajam darba laikam)</t>
  </si>
  <si>
    <t>pakalpojuma cena par darba stundu nemainās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</si>
</sst>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justify" wrapText="1"/>
    </xf>
    <xf numFmtId="0" fontId="4" fillId="0" borderId="2" xfId="0" applyFont="1" applyFill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1DB3-AD23-4B77-A8B9-2670FD00A33D}">
  <dimension ref="A1:AZ128"/>
  <sheetViews>
    <sheetView tabSelected="1" topLeftCell="A77" zoomScaleNormal="100" workbookViewId="0">
      <selection activeCell="A89" sqref="A89:XFD120"/>
    </sheetView>
  </sheetViews>
  <sheetFormatPr defaultColWidth="9.140625" defaultRowHeight="12.75" x14ac:dyDescent="0.25"/>
  <cols>
    <col min="1" max="1" width="7.140625" style="1" bestFit="1" customWidth="1"/>
    <col min="2" max="2" width="6.85546875" style="1" bestFit="1" customWidth="1"/>
    <col min="3" max="3" width="42.5703125" style="1" customWidth="1"/>
    <col min="4" max="4" width="9.140625" style="38" customWidth="1"/>
    <col min="5" max="5" width="11.28515625" style="38" customWidth="1"/>
    <col min="6" max="9" width="9" style="38" customWidth="1"/>
    <col min="10" max="10" width="10.7109375" style="38" customWidth="1"/>
    <col min="11" max="12" width="9" style="38" customWidth="1"/>
    <col min="13" max="13" width="10.5703125" style="38" customWidth="1"/>
    <col min="14" max="14" width="9" style="38" customWidth="1"/>
    <col min="15" max="19" width="6.140625" style="38" customWidth="1"/>
    <col min="20" max="20" width="5.28515625" style="38" customWidth="1"/>
    <col min="21" max="41" width="9" style="38" customWidth="1"/>
    <col min="42" max="42" width="9.42578125" style="38" customWidth="1"/>
    <col min="43" max="45" width="9" style="38" customWidth="1"/>
    <col min="46" max="46" width="10.28515625" style="38" customWidth="1"/>
    <col min="47" max="47" width="9.140625" style="38" customWidth="1"/>
    <col min="48" max="48" width="11.28515625" style="54" customWidth="1"/>
    <col min="49" max="49" width="10.5703125" style="55" customWidth="1"/>
    <col min="50" max="50" width="9" style="55" bestFit="1" customWidth="1"/>
    <col min="51" max="51" width="10" style="55" bestFit="1" customWidth="1"/>
    <col min="52" max="52" width="13.140625" style="1" customWidth="1"/>
    <col min="53" max="16384" width="9.140625" style="1"/>
  </cols>
  <sheetData>
    <row r="1" spans="1:51" ht="68.25" customHeight="1" x14ac:dyDescent="0.25">
      <c r="AU1" s="151" t="s">
        <v>245</v>
      </c>
      <c r="AV1" s="151"/>
      <c r="AW1" s="151"/>
      <c r="AX1" s="151"/>
      <c r="AY1" s="151"/>
    </row>
    <row r="2" spans="1:51" ht="15.75" x14ac:dyDescent="0.25">
      <c r="C2" s="152" t="s">
        <v>200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</row>
    <row r="3" spans="1:51" ht="34.5" customHeight="1" x14ac:dyDescent="0.25">
      <c r="A3" s="126" t="s">
        <v>0</v>
      </c>
      <c r="B3" s="127"/>
      <c r="C3" s="158" t="s">
        <v>1</v>
      </c>
      <c r="D3" s="149" t="s">
        <v>2</v>
      </c>
      <c r="E3" s="149"/>
      <c r="F3" s="149"/>
      <c r="G3" s="149"/>
      <c r="H3" s="149"/>
      <c r="I3" s="149"/>
      <c r="J3" s="149"/>
      <c r="K3" s="149"/>
      <c r="L3" s="149"/>
      <c r="M3" s="149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7"/>
      <c r="AU3" s="138" t="s">
        <v>217</v>
      </c>
      <c r="AV3" s="139" t="s">
        <v>215</v>
      </c>
      <c r="AW3" s="140" t="s">
        <v>218</v>
      </c>
      <c r="AX3" s="140" t="s">
        <v>216</v>
      </c>
      <c r="AY3" s="140" t="s">
        <v>3</v>
      </c>
    </row>
    <row r="4" spans="1:51" ht="14.45" customHeight="1" x14ac:dyDescent="0.25">
      <c r="A4" s="128"/>
      <c r="B4" s="129"/>
      <c r="C4" s="159"/>
      <c r="D4" s="141" t="s">
        <v>219</v>
      </c>
      <c r="E4" s="143" t="s">
        <v>4</v>
      </c>
      <c r="F4" s="145" t="s">
        <v>5</v>
      </c>
      <c r="G4" s="146"/>
      <c r="H4" s="146"/>
      <c r="I4" s="146"/>
      <c r="J4" s="146"/>
      <c r="K4" s="146"/>
      <c r="L4" s="147"/>
      <c r="M4" s="143" t="s">
        <v>6</v>
      </c>
      <c r="N4" s="148" t="s">
        <v>5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43" t="s">
        <v>7</v>
      </c>
      <c r="AU4" s="138"/>
      <c r="AV4" s="139"/>
      <c r="AW4" s="140"/>
      <c r="AX4" s="140"/>
      <c r="AY4" s="140"/>
    </row>
    <row r="5" spans="1:51" ht="26.25" customHeight="1" x14ac:dyDescent="0.25">
      <c r="A5" s="2" t="s">
        <v>8</v>
      </c>
      <c r="B5" s="2" t="s">
        <v>9</v>
      </c>
      <c r="C5" s="160"/>
      <c r="D5" s="142"/>
      <c r="E5" s="144"/>
      <c r="F5" s="32" t="s">
        <v>10</v>
      </c>
      <c r="G5" s="32" t="s">
        <v>11</v>
      </c>
      <c r="H5" s="32" t="s">
        <v>12</v>
      </c>
      <c r="I5" s="32" t="s">
        <v>13</v>
      </c>
      <c r="J5" s="32" t="s">
        <v>14</v>
      </c>
      <c r="K5" s="32" t="s">
        <v>15</v>
      </c>
      <c r="L5" s="32" t="s">
        <v>16</v>
      </c>
      <c r="M5" s="144"/>
      <c r="N5" s="32" t="s">
        <v>17</v>
      </c>
      <c r="O5" s="32" t="s">
        <v>18</v>
      </c>
      <c r="P5" s="32" t="s">
        <v>19</v>
      </c>
      <c r="Q5" s="32" t="s">
        <v>10</v>
      </c>
      <c r="R5" s="32" t="s">
        <v>11</v>
      </c>
      <c r="S5" s="10" t="s">
        <v>12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32" t="s">
        <v>30</v>
      </c>
      <c r="AE5" s="32" t="s">
        <v>31</v>
      </c>
      <c r="AF5" s="32" t="s">
        <v>32</v>
      </c>
      <c r="AG5" s="32" t="s">
        <v>33</v>
      </c>
      <c r="AH5" s="32" t="s">
        <v>34</v>
      </c>
      <c r="AI5" s="32" t="s">
        <v>35</v>
      </c>
      <c r="AJ5" s="32" t="s">
        <v>36</v>
      </c>
      <c r="AK5" s="32" t="s">
        <v>14</v>
      </c>
      <c r="AL5" s="32" t="s">
        <v>37</v>
      </c>
      <c r="AM5" s="32" t="s">
        <v>38</v>
      </c>
      <c r="AN5" s="32" t="s">
        <v>39</v>
      </c>
      <c r="AO5" s="32" t="s">
        <v>40</v>
      </c>
      <c r="AP5" s="32" t="s">
        <v>41</v>
      </c>
      <c r="AQ5" s="32" t="s">
        <v>16</v>
      </c>
      <c r="AR5" s="32" t="s">
        <v>42</v>
      </c>
      <c r="AS5" s="32" t="s">
        <v>43</v>
      </c>
      <c r="AT5" s="144"/>
      <c r="AU5" s="138"/>
      <c r="AV5" s="139"/>
      <c r="AW5" s="140"/>
      <c r="AX5" s="140"/>
      <c r="AY5" s="140"/>
    </row>
    <row r="6" spans="1:51" x14ac:dyDescent="0.25">
      <c r="A6" s="105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</row>
    <row r="7" spans="1:51" x14ac:dyDescent="0.25">
      <c r="A7" s="3" t="s">
        <v>45</v>
      </c>
      <c r="B7" s="99" t="s">
        <v>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1"/>
    </row>
    <row r="8" spans="1:51" ht="78.75" customHeight="1" x14ac:dyDescent="0.25">
      <c r="A8" s="17" t="s">
        <v>47</v>
      </c>
      <c r="B8" s="17" t="s">
        <v>47</v>
      </c>
      <c r="C8" s="15" t="s">
        <v>201</v>
      </c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</row>
    <row r="9" spans="1:51" x14ac:dyDescent="0.25">
      <c r="A9" s="18" t="s">
        <v>48</v>
      </c>
      <c r="B9" s="22" t="s">
        <v>48</v>
      </c>
      <c r="C9" s="71" t="s">
        <v>49</v>
      </c>
      <c r="D9" s="80" t="s">
        <v>55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</row>
    <row r="10" spans="1:51" x14ac:dyDescent="0.25">
      <c r="A10" s="18" t="s">
        <v>50</v>
      </c>
      <c r="B10" s="23" t="s">
        <v>50</v>
      </c>
      <c r="C10" s="15" t="s">
        <v>191</v>
      </c>
      <c r="D10" s="80" t="s">
        <v>55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2"/>
    </row>
    <row r="11" spans="1:51" x14ac:dyDescent="0.25">
      <c r="A11" s="24" t="s">
        <v>51</v>
      </c>
      <c r="B11" s="25" t="s">
        <v>51</v>
      </c>
      <c r="C11" s="72" t="s">
        <v>52</v>
      </c>
      <c r="D11" s="80" t="s">
        <v>55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</row>
    <row r="12" spans="1:51" ht="57.75" customHeight="1" x14ac:dyDescent="0.25">
      <c r="A12" s="17" t="s">
        <v>53</v>
      </c>
      <c r="B12" s="77"/>
      <c r="C12" s="15" t="s">
        <v>202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4"/>
    </row>
    <row r="13" spans="1:51" x14ac:dyDescent="0.25">
      <c r="A13" s="18" t="s">
        <v>54</v>
      </c>
      <c r="B13" s="77"/>
      <c r="C13" s="71" t="s">
        <v>49</v>
      </c>
      <c r="D13" s="46">
        <v>1.5489999999999999</v>
      </c>
      <c r="E13" s="47">
        <f>SUM(I13:L13)</f>
        <v>1.91</v>
      </c>
      <c r="F13" s="47"/>
      <c r="G13" s="47"/>
      <c r="H13" s="47"/>
      <c r="I13" s="47">
        <v>0.51</v>
      </c>
      <c r="J13" s="47">
        <v>0.28499999999999998</v>
      </c>
      <c r="K13" s="47">
        <v>1.04</v>
      </c>
      <c r="L13" s="47">
        <v>7.4999999999999997E-2</v>
      </c>
      <c r="M13" s="47">
        <f>D13+E13</f>
        <v>3.4589999999999996</v>
      </c>
      <c r="N13" s="47">
        <v>0.41</v>
      </c>
      <c r="O13" s="47"/>
      <c r="P13" s="47"/>
      <c r="Q13" s="47"/>
      <c r="R13" s="47"/>
      <c r="S13" s="47">
        <v>3.5000000000000003E-2</v>
      </c>
      <c r="T13" s="47"/>
      <c r="U13" s="47"/>
      <c r="V13" s="47"/>
      <c r="W13" s="47"/>
      <c r="X13" s="47"/>
      <c r="Y13" s="47">
        <v>4.7E-2</v>
      </c>
      <c r="Z13" s="47">
        <v>0.114</v>
      </c>
      <c r="AA13" s="47"/>
      <c r="AB13" s="47">
        <v>1.4999999999999999E-2</v>
      </c>
      <c r="AC13" s="47">
        <v>1.6E-2</v>
      </c>
      <c r="AD13" s="47">
        <v>5.0000000000000001E-3</v>
      </c>
      <c r="AE13" s="47"/>
      <c r="AF13" s="47">
        <v>2E-3</v>
      </c>
      <c r="AG13" s="47">
        <v>8.0000000000000002E-3</v>
      </c>
      <c r="AH13" s="47">
        <v>1.4999999999999999E-2</v>
      </c>
      <c r="AI13" s="47">
        <v>3.0000000000000001E-3</v>
      </c>
      <c r="AJ13" s="47"/>
      <c r="AK13" s="47">
        <v>1.4999999999999999E-2</v>
      </c>
      <c r="AL13" s="47"/>
      <c r="AM13" s="47"/>
      <c r="AN13" s="47"/>
      <c r="AO13" s="47">
        <v>4.0000000000000001E-3</v>
      </c>
      <c r="AP13" s="47">
        <v>6.0000000000000001E-3</v>
      </c>
      <c r="AQ13" s="47"/>
      <c r="AR13" s="47">
        <v>1E-3</v>
      </c>
      <c r="AS13" s="47">
        <v>2E-3</v>
      </c>
      <c r="AT13" s="47">
        <f>SUM(N13:AS13)</f>
        <v>0.69800000000000006</v>
      </c>
      <c r="AU13" s="48">
        <f>M13+AT13</f>
        <v>4.157</v>
      </c>
      <c r="AV13" s="49">
        <v>125</v>
      </c>
      <c r="AW13" s="5">
        <f>AU13*AV13</f>
        <v>519.625</v>
      </c>
      <c r="AX13" s="5">
        <f>(D13+N13)*AV13</f>
        <v>244.87499999999997</v>
      </c>
      <c r="AY13" s="5">
        <f>(E13+AT13-N13)*AV13</f>
        <v>274.75</v>
      </c>
    </row>
    <row r="14" spans="1:51" x14ac:dyDescent="0.25">
      <c r="A14" s="18" t="s">
        <v>56</v>
      </c>
      <c r="B14" s="77"/>
      <c r="C14" s="15" t="s">
        <v>191</v>
      </c>
      <c r="D14" s="46">
        <v>3.0960000000000001</v>
      </c>
      <c r="E14" s="47">
        <f>SUM(I14:L14)</f>
        <v>1.91</v>
      </c>
      <c r="F14" s="47"/>
      <c r="G14" s="47"/>
      <c r="H14" s="47"/>
      <c r="I14" s="47">
        <v>0.51</v>
      </c>
      <c r="J14" s="47">
        <v>0.28499999999999998</v>
      </c>
      <c r="K14" s="47">
        <v>1.04</v>
      </c>
      <c r="L14" s="47">
        <v>7.4999999999999997E-2</v>
      </c>
      <c r="M14" s="47">
        <f>D14+E14</f>
        <v>5.0060000000000002</v>
      </c>
      <c r="N14" s="47">
        <v>0.41</v>
      </c>
      <c r="O14" s="47"/>
      <c r="P14" s="47"/>
      <c r="Q14" s="47"/>
      <c r="R14" s="47"/>
      <c r="S14" s="47">
        <v>3.5000000000000003E-2</v>
      </c>
      <c r="T14" s="47"/>
      <c r="U14" s="47"/>
      <c r="V14" s="47"/>
      <c r="W14" s="47"/>
      <c r="X14" s="47"/>
      <c r="Y14" s="47">
        <v>4.7E-2</v>
      </c>
      <c r="Z14" s="47">
        <v>0.114</v>
      </c>
      <c r="AA14" s="47"/>
      <c r="AB14" s="47">
        <v>1.4999999999999999E-2</v>
      </c>
      <c r="AC14" s="47">
        <v>1.6E-2</v>
      </c>
      <c r="AD14" s="47">
        <v>5.0000000000000001E-3</v>
      </c>
      <c r="AE14" s="47"/>
      <c r="AF14" s="47">
        <v>2E-3</v>
      </c>
      <c r="AG14" s="47">
        <v>8.0000000000000002E-3</v>
      </c>
      <c r="AH14" s="47">
        <v>1.4999999999999999E-2</v>
      </c>
      <c r="AI14" s="47">
        <v>3.0000000000000001E-3</v>
      </c>
      <c r="AJ14" s="47"/>
      <c r="AK14" s="47">
        <v>1.4999999999999999E-2</v>
      </c>
      <c r="AL14" s="47"/>
      <c r="AM14" s="47"/>
      <c r="AN14" s="47"/>
      <c r="AO14" s="47">
        <v>4.0000000000000001E-3</v>
      </c>
      <c r="AP14" s="47">
        <v>6.0000000000000001E-3</v>
      </c>
      <c r="AQ14" s="47"/>
      <c r="AR14" s="47">
        <v>1E-3</v>
      </c>
      <c r="AS14" s="47">
        <v>2E-3</v>
      </c>
      <c r="AT14" s="47">
        <f>SUM(N14:AS14)</f>
        <v>0.69800000000000006</v>
      </c>
      <c r="AU14" s="48">
        <f>M14+AT14</f>
        <v>5.7040000000000006</v>
      </c>
      <c r="AV14" s="49">
        <v>35</v>
      </c>
      <c r="AW14" s="5">
        <f>AU14*AV14</f>
        <v>199.64000000000001</v>
      </c>
      <c r="AX14" s="5">
        <f>(D14+N14)*AV14</f>
        <v>122.71000000000001</v>
      </c>
      <c r="AY14" s="5">
        <f>(E14+AT14-N14)*AV14</f>
        <v>76.929999999999993</v>
      </c>
    </row>
    <row r="15" spans="1:51" x14ac:dyDescent="0.25">
      <c r="A15" s="18" t="s">
        <v>57</v>
      </c>
      <c r="B15" s="77"/>
      <c r="C15" s="15" t="s">
        <v>52</v>
      </c>
      <c r="D15" s="46">
        <v>3.871</v>
      </c>
      <c r="E15" s="47">
        <f>SUM(I15:L15)</f>
        <v>1.91</v>
      </c>
      <c r="F15" s="47"/>
      <c r="G15" s="47"/>
      <c r="H15" s="47"/>
      <c r="I15" s="47">
        <v>0.51</v>
      </c>
      <c r="J15" s="47">
        <v>0.28499999999999998</v>
      </c>
      <c r="K15" s="47">
        <v>1.04</v>
      </c>
      <c r="L15" s="47">
        <v>7.4999999999999997E-2</v>
      </c>
      <c r="M15" s="47">
        <f>D15+E15</f>
        <v>5.7809999999999997</v>
      </c>
      <c r="N15" s="47">
        <v>0.41</v>
      </c>
      <c r="O15" s="47"/>
      <c r="P15" s="47"/>
      <c r="Q15" s="47"/>
      <c r="R15" s="47"/>
      <c r="S15" s="47">
        <v>3.5000000000000003E-2</v>
      </c>
      <c r="T15" s="47"/>
      <c r="U15" s="47"/>
      <c r="V15" s="47"/>
      <c r="W15" s="47"/>
      <c r="X15" s="47"/>
      <c r="Y15" s="47">
        <v>4.7E-2</v>
      </c>
      <c r="Z15" s="47">
        <v>0.114</v>
      </c>
      <c r="AA15" s="47"/>
      <c r="AB15" s="47">
        <v>1.4999999999999999E-2</v>
      </c>
      <c r="AC15" s="47">
        <v>1.6E-2</v>
      </c>
      <c r="AD15" s="47">
        <v>5.0000000000000001E-3</v>
      </c>
      <c r="AE15" s="47"/>
      <c r="AF15" s="47">
        <v>2E-3</v>
      </c>
      <c r="AG15" s="47">
        <v>8.0000000000000002E-3</v>
      </c>
      <c r="AH15" s="47">
        <v>1.4999999999999999E-2</v>
      </c>
      <c r="AI15" s="47">
        <v>3.0000000000000001E-3</v>
      </c>
      <c r="AJ15" s="47"/>
      <c r="AK15" s="47">
        <v>1.4999999999999999E-2</v>
      </c>
      <c r="AL15" s="47"/>
      <c r="AM15" s="47"/>
      <c r="AN15" s="47"/>
      <c r="AO15" s="47">
        <v>4.0000000000000001E-3</v>
      </c>
      <c r="AP15" s="47">
        <v>6.0000000000000001E-3</v>
      </c>
      <c r="AQ15" s="47"/>
      <c r="AR15" s="47">
        <v>1E-3</v>
      </c>
      <c r="AS15" s="47">
        <v>2E-3</v>
      </c>
      <c r="AT15" s="47">
        <f>SUM(N15:AS15)</f>
        <v>0.69800000000000006</v>
      </c>
      <c r="AU15" s="48">
        <f>M15+AT15</f>
        <v>6.4790000000000001</v>
      </c>
      <c r="AV15" s="49">
        <v>10</v>
      </c>
      <c r="AW15" s="5">
        <f>AU15*AV15</f>
        <v>64.790000000000006</v>
      </c>
      <c r="AX15" s="5">
        <f>(D15+N15)*AV15</f>
        <v>42.809999999999995</v>
      </c>
      <c r="AY15" s="5">
        <f>(E15+AT15-N15)*AV15</f>
        <v>21.98</v>
      </c>
    </row>
    <row r="16" spans="1:51" ht="25.5" x14ac:dyDescent="0.25">
      <c r="A16" s="8" t="s">
        <v>58</v>
      </c>
      <c r="B16" s="8" t="s">
        <v>53</v>
      </c>
      <c r="C16" s="6" t="s">
        <v>59</v>
      </c>
      <c r="D16" s="80" t="s">
        <v>55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2"/>
    </row>
    <row r="17" spans="1:51" ht="25.5" x14ac:dyDescent="0.25">
      <c r="A17" s="7">
        <v>4</v>
      </c>
      <c r="B17" s="7" t="s">
        <v>58</v>
      </c>
      <c r="C17" s="6" t="s">
        <v>60</v>
      </c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2"/>
    </row>
    <row r="18" spans="1:51" x14ac:dyDescent="0.25">
      <c r="A18" s="7" t="s">
        <v>61</v>
      </c>
      <c r="B18" s="7" t="s">
        <v>62</v>
      </c>
      <c r="C18" s="6" t="s">
        <v>49</v>
      </c>
      <c r="D18" s="80" t="s">
        <v>55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2"/>
    </row>
    <row r="19" spans="1:51" x14ac:dyDescent="0.25">
      <c r="A19" s="7" t="s">
        <v>63</v>
      </c>
      <c r="B19" s="7" t="s">
        <v>64</v>
      </c>
      <c r="C19" s="6" t="s">
        <v>191</v>
      </c>
      <c r="D19" s="80" t="s">
        <v>55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2"/>
    </row>
    <row r="20" spans="1:51" x14ac:dyDescent="0.25">
      <c r="A20" s="7" t="s">
        <v>65</v>
      </c>
      <c r="B20" s="7" t="s">
        <v>66</v>
      </c>
      <c r="C20" s="6" t="s">
        <v>52</v>
      </c>
      <c r="D20" s="80" t="s">
        <v>55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2"/>
    </row>
    <row r="21" spans="1:51" ht="51" x14ac:dyDescent="0.25">
      <c r="A21" s="7">
        <v>5</v>
      </c>
      <c r="B21" s="7" t="s">
        <v>67</v>
      </c>
      <c r="C21" s="6" t="s">
        <v>68</v>
      </c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2"/>
    </row>
    <row r="22" spans="1:51" x14ac:dyDescent="0.25">
      <c r="A22" s="7" t="s">
        <v>69</v>
      </c>
      <c r="B22" s="7" t="s">
        <v>61</v>
      </c>
      <c r="C22" s="6" t="s">
        <v>49</v>
      </c>
      <c r="D22" s="80" t="s">
        <v>55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2"/>
    </row>
    <row r="23" spans="1:51" x14ac:dyDescent="0.25">
      <c r="A23" s="7" t="s">
        <v>70</v>
      </c>
      <c r="B23" s="7" t="s">
        <v>63</v>
      </c>
      <c r="C23" s="6" t="s">
        <v>191</v>
      </c>
      <c r="D23" s="80" t="s">
        <v>55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2"/>
    </row>
    <row r="24" spans="1:51" x14ac:dyDescent="0.25">
      <c r="A24" s="7" t="s">
        <v>71</v>
      </c>
      <c r="B24" s="7" t="s">
        <v>65</v>
      </c>
      <c r="C24" s="31" t="s">
        <v>52</v>
      </c>
      <c r="D24" s="80" t="s">
        <v>55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2"/>
    </row>
    <row r="25" spans="1:51" x14ac:dyDescent="0.25">
      <c r="A25" s="26" t="s">
        <v>72</v>
      </c>
      <c r="B25" s="117" t="s">
        <v>73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9"/>
    </row>
    <row r="26" spans="1:51" ht="25.5" x14ac:dyDescent="0.25">
      <c r="A26" s="8" t="s">
        <v>74</v>
      </c>
      <c r="B26" s="8" t="s">
        <v>75</v>
      </c>
      <c r="C26" s="73" t="s">
        <v>76</v>
      </c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</row>
    <row r="27" spans="1:51" ht="25.5" x14ac:dyDescent="0.25">
      <c r="A27" s="8" t="s">
        <v>77</v>
      </c>
      <c r="B27" s="8" t="s">
        <v>74</v>
      </c>
      <c r="C27" s="73" t="s">
        <v>78</v>
      </c>
      <c r="D27" s="80" t="s">
        <v>55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2"/>
    </row>
    <row r="28" spans="1:51" ht="140.25" x14ac:dyDescent="0.25">
      <c r="A28" s="8" t="s">
        <v>79</v>
      </c>
      <c r="B28" s="8" t="s">
        <v>77</v>
      </c>
      <c r="C28" s="73" t="s">
        <v>247</v>
      </c>
      <c r="D28" s="80" t="s">
        <v>55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2"/>
    </row>
    <row r="29" spans="1:51" ht="76.5" x14ac:dyDescent="0.25">
      <c r="A29" s="8" t="s">
        <v>80</v>
      </c>
      <c r="B29" s="8" t="s">
        <v>79</v>
      </c>
      <c r="C29" s="73" t="s">
        <v>248</v>
      </c>
      <c r="D29" s="80" t="s">
        <v>55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</row>
    <row r="30" spans="1:51" ht="63.75" x14ac:dyDescent="0.25">
      <c r="A30" s="8" t="s">
        <v>81</v>
      </c>
      <c r="B30" s="8" t="s">
        <v>80</v>
      </c>
      <c r="C30" s="73" t="s">
        <v>82</v>
      </c>
      <c r="D30" s="80" t="s">
        <v>55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2"/>
    </row>
    <row r="31" spans="1:51" ht="38.25" x14ac:dyDescent="0.25">
      <c r="A31" s="27" t="s">
        <v>83</v>
      </c>
      <c r="B31" s="7" t="s">
        <v>81</v>
      </c>
      <c r="C31" s="73" t="s">
        <v>84</v>
      </c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2"/>
    </row>
    <row r="32" spans="1:51" x14ac:dyDescent="0.25">
      <c r="A32" s="7" t="s">
        <v>85</v>
      </c>
      <c r="B32" s="7" t="s">
        <v>86</v>
      </c>
      <c r="C32" s="74" t="s">
        <v>49</v>
      </c>
      <c r="D32" s="80" t="s">
        <v>55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2"/>
    </row>
    <row r="33" spans="1:51" x14ac:dyDescent="0.25">
      <c r="A33" s="7" t="s">
        <v>87</v>
      </c>
      <c r="B33" s="7" t="s">
        <v>88</v>
      </c>
      <c r="C33" s="75" t="s">
        <v>191</v>
      </c>
      <c r="D33" s="80" t="s">
        <v>55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2"/>
    </row>
    <row r="34" spans="1:51" x14ac:dyDescent="0.25">
      <c r="A34" s="28" t="s">
        <v>89</v>
      </c>
      <c r="B34" s="28" t="s">
        <v>90</v>
      </c>
      <c r="C34" s="76" t="s">
        <v>52</v>
      </c>
      <c r="D34" s="80" t="s">
        <v>55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2"/>
    </row>
    <row r="35" spans="1:51" ht="51" x14ac:dyDescent="0.25">
      <c r="A35" s="8" t="s">
        <v>91</v>
      </c>
      <c r="B35" s="8" t="s">
        <v>83</v>
      </c>
      <c r="C35" s="6" t="s">
        <v>92</v>
      </c>
      <c r="D35" s="80" t="s">
        <v>55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2"/>
    </row>
    <row r="36" spans="1:51" ht="66" customHeight="1" x14ac:dyDescent="0.25">
      <c r="A36" s="8" t="s">
        <v>93</v>
      </c>
      <c r="B36" s="8" t="s">
        <v>91</v>
      </c>
      <c r="C36" s="6" t="s">
        <v>94</v>
      </c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2"/>
    </row>
    <row r="37" spans="1:51" x14ac:dyDescent="0.25">
      <c r="A37" s="3" t="s">
        <v>95</v>
      </c>
      <c r="B37" s="99" t="s">
        <v>195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1"/>
    </row>
    <row r="38" spans="1:51" ht="25.5" x14ac:dyDescent="0.25">
      <c r="A38" s="8" t="s">
        <v>96</v>
      </c>
      <c r="B38" s="8" t="s">
        <v>93</v>
      </c>
      <c r="C38" s="29" t="s">
        <v>97</v>
      </c>
      <c r="D38" s="110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8"/>
    </row>
    <row r="39" spans="1:51" x14ac:dyDescent="0.25">
      <c r="A39" s="8" t="s">
        <v>98</v>
      </c>
      <c r="B39" s="8" t="s">
        <v>99</v>
      </c>
      <c r="C39" s="29" t="s">
        <v>100</v>
      </c>
      <c r="D39" s="80" t="s">
        <v>55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2"/>
    </row>
    <row r="40" spans="1:51" x14ac:dyDescent="0.25">
      <c r="A40" s="8" t="s">
        <v>101</v>
      </c>
      <c r="B40" s="8" t="s">
        <v>102</v>
      </c>
      <c r="C40" s="29" t="s">
        <v>103</v>
      </c>
      <c r="D40" s="5">
        <v>2.25</v>
      </c>
      <c r="E40" s="37">
        <f>SUM(I40:L40)</f>
        <v>0.25</v>
      </c>
      <c r="F40" s="37"/>
      <c r="G40" s="37"/>
      <c r="H40" s="37"/>
      <c r="I40" s="5"/>
      <c r="J40" s="5">
        <v>0.25</v>
      </c>
      <c r="K40" s="5"/>
      <c r="L40" s="5"/>
      <c r="M40" s="37">
        <f>D40+E40</f>
        <v>2.5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37">
        <f>SUM(N40:AS40)</f>
        <v>0</v>
      </c>
      <c r="AU40" s="50">
        <f>M40+AT40</f>
        <v>2.5</v>
      </c>
      <c r="AV40" s="11">
        <v>100</v>
      </c>
      <c r="AW40" s="5">
        <f>AU40*AV40</f>
        <v>250</v>
      </c>
      <c r="AX40" s="5">
        <f>(D40+N40)*AV40</f>
        <v>225</v>
      </c>
      <c r="AY40" s="5">
        <f>(E40+AT40-N40)*AV40</f>
        <v>25</v>
      </c>
    </row>
    <row r="41" spans="1:51" ht="25.5" customHeight="1" x14ac:dyDescent="0.25">
      <c r="A41" s="8" t="s">
        <v>104</v>
      </c>
      <c r="B41" s="8" t="s">
        <v>96</v>
      </c>
      <c r="C41" s="29" t="s">
        <v>105</v>
      </c>
      <c r="D41" s="130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2"/>
    </row>
    <row r="42" spans="1:51" x14ac:dyDescent="0.25">
      <c r="A42" s="8" t="s">
        <v>106</v>
      </c>
      <c r="B42" s="8" t="s">
        <v>98</v>
      </c>
      <c r="C42" s="29" t="s">
        <v>100</v>
      </c>
      <c r="D42" s="133" t="s">
        <v>55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5"/>
    </row>
    <row r="43" spans="1:51" x14ac:dyDescent="0.25">
      <c r="A43" s="8" t="s">
        <v>107</v>
      </c>
      <c r="B43" s="8" t="s">
        <v>101</v>
      </c>
      <c r="C43" s="29" t="s">
        <v>103</v>
      </c>
      <c r="D43" s="5">
        <v>2.25</v>
      </c>
      <c r="E43" s="37">
        <f>SUM(I43:L43)</f>
        <v>0.25</v>
      </c>
      <c r="F43" s="37"/>
      <c r="G43" s="37"/>
      <c r="H43" s="37"/>
      <c r="I43" s="5"/>
      <c r="J43" s="5">
        <v>0.25</v>
      </c>
      <c r="K43" s="5"/>
      <c r="L43" s="5"/>
      <c r="M43" s="37">
        <f>D43+E43</f>
        <v>2.5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37">
        <f>SUM(N43:AS43)</f>
        <v>0</v>
      </c>
      <c r="AU43" s="50">
        <f>M43+AT43</f>
        <v>2.5</v>
      </c>
      <c r="AV43" s="11">
        <v>0</v>
      </c>
      <c r="AW43" s="5">
        <f>AU43*AV43</f>
        <v>0</v>
      </c>
      <c r="AX43" s="5">
        <f>(D43+N43)*AV43</f>
        <v>0</v>
      </c>
      <c r="AY43" s="5">
        <f>(E43+AT43-N43)*AV43</f>
        <v>0</v>
      </c>
    </row>
    <row r="44" spans="1:51" ht="63.75" x14ac:dyDescent="0.25">
      <c r="A44" s="8" t="s">
        <v>108</v>
      </c>
      <c r="B44" s="8" t="s">
        <v>108</v>
      </c>
      <c r="C44" s="6" t="s">
        <v>109</v>
      </c>
      <c r="D44" s="133" t="s">
        <v>55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5"/>
    </row>
    <row r="45" spans="1:51" x14ac:dyDescent="0.25">
      <c r="A45" s="8" t="s">
        <v>110</v>
      </c>
      <c r="B45" s="8" t="s">
        <v>110</v>
      </c>
      <c r="C45" s="6" t="s">
        <v>111</v>
      </c>
      <c r="D45" s="5">
        <v>2.25</v>
      </c>
      <c r="E45" s="37">
        <f>SUM(I45:L45)</f>
        <v>0.25</v>
      </c>
      <c r="F45" s="37"/>
      <c r="G45" s="37"/>
      <c r="H45" s="37"/>
      <c r="I45" s="5"/>
      <c r="J45" s="5">
        <v>0.25</v>
      </c>
      <c r="K45" s="5"/>
      <c r="L45" s="5"/>
      <c r="M45" s="37">
        <f>D45+E45</f>
        <v>2.5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37">
        <f>SUM(N45:AS45)</f>
        <v>0</v>
      </c>
      <c r="AU45" s="50">
        <f>M45+AT45</f>
        <v>2.5</v>
      </c>
      <c r="AV45" s="11">
        <v>900</v>
      </c>
      <c r="AW45" s="5">
        <f>AU45*AV45</f>
        <v>2250</v>
      </c>
      <c r="AX45" s="5">
        <f>(D45+N45)*AV45</f>
        <v>2025</v>
      </c>
      <c r="AY45" s="5">
        <f>(E45+AT45-N45)*AV45</f>
        <v>225</v>
      </c>
    </row>
    <row r="46" spans="1:51" ht="63.75" x14ac:dyDescent="0.25">
      <c r="A46" s="8" t="s">
        <v>112</v>
      </c>
      <c r="B46" s="8" t="s">
        <v>112</v>
      </c>
      <c r="C46" s="6" t="s">
        <v>113</v>
      </c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2"/>
    </row>
    <row r="47" spans="1:51" ht="25.5" customHeight="1" x14ac:dyDescent="0.25">
      <c r="A47" s="8" t="s">
        <v>114</v>
      </c>
      <c r="B47" s="8" t="s">
        <v>114</v>
      </c>
      <c r="C47" s="6" t="s">
        <v>115</v>
      </c>
      <c r="D47" s="80" t="s">
        <v>55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2"/>
    </row>
    <row r="48" spans="1:51" x14ac:dyDescent="0.25">
      <c r="A48" s="19" t="s">
        <v>116</v>
      </c>
      <c r="B48" s="111" t="s">
        <v>117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</row>
    <row r="49" spans="1:51" ht="25.5" x14ac:dyDescent="0.25">
      <c r="A49" s="4" t="s">
        <v>118</v>
      </c>
      <c r="B49" s="4" t="s">
        <v>118</v>
      </c>
      <c r="C49" s="15" t="s">
        <v>119</v>
      </c>
      <c r="D49" s="80" t="s">
        <v>55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2"/>
    </row>
    <row r="50" spans="1:51" x14ac:dyDescent="0.25">
      <c r="A50" s="19" t="s">
        <v>120</v>
      </c>
      <c r="B50" s="114" t="s">
        <v>190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6"/>
    </row>
    <row r="51" spans="1:51" s="14" customFormat="1" ht="30.75" customHeight="1" x14ac:dyDescent="0.25">
      <c r="A51" s="27" t="s">
        <v>121</v>
      </c>
      <c r="B51" s="7"/>
      <c r="C51" s="15" t="s">
        <v>203</v>
      </c>
      <c r="D51" s="110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8"/>
    </row>
    <row r="52" spans="1:51" s="14" customFormat="1" ht="15" x14ac:dyDescent="0.25">
      <c r="A52" s="16" t="s">
        <v>122</v>
      </c>
      <c r="B52" s="7"/>
      <c r="C52" s="6" t="s">
        <v>204</v>
      </c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5"/>
    </row>
    <row r="53" spans="1:51" s="14" customFormat="1" ht="15" x14ac:dyDescent="0.25">
      <c r="A53" s="16" t="s">
        <v>166</v>
      </c>
      <c r="B53" s="7"/>
      <c r="C53" s="9" t="s">
        <v>205</v>
      </c>
      <c r="D53" s="36">
        <v>5.69</v>
      </c>
      <c r="E53" s="37">
        <f>SUM(I53:L53)</f>
        <v>0.01</v>
      </c>
      <c r="F53" s="37"/>
      <c r="G53" s="37"/>
      <c r="H53" s="37"/>
      <c r="I53" s="37"/>
      <c r="J53" s="37">
        <v>0.01</v>
      </c>
      <c r="K53" s="37"/>
      <c r="L53" s="37"/>
      <c r="M53" s="51">
        <f>SUM(D53:E53)</f>
        <v>5.7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51">
        <f>SUM(N53:AS53)</f>
        <v>0</v>
      </c>
      <c r="AU53" s="43">
        <f>M53+AT53</f>
        <v>5.7</v>
      </c>
      <c r="AV53" s="11">
        <v>41806</v>
      </c>
      <c r="AW53" s="45">
        <f>AU53*AV53</f>
        <v>238294.2</v>
      </c>
      <c r="AX53" s="5">
        <f>(D53+N53)*AV53</f>
        <v>237876.14</v>
      </c>
      <c r="AY53" s="5">
        <f>(E53+AT53-N53)*AV53</f>
        <v>418.06</v>
      </c>
    </row>
    <row r="54" spans="1:51" s="14" customFormat="1" ht="15" x14ac:dyDescent="0.25">
      <c r="A54" s="16" t="s">
        <v>167</v>
      </c>
      <c r="B54" s="7"/>
      <c r="C54" s="9" t="s">
        <v>206</v>
      </c>
      <c r="D54" s="36">
        <f>D53*40%</f>
        <v>2.2760000000000002</v>
      </c>
      <c r="E54" s="37">
        <f>SUM(I54:L54)</f>
        <v>4.0000000000000001E-3</v>
      </c>
      <c r="F54" s="37"/>
      <c r="G54" s="37"/>
      <c r="H54" s="37"/>
      <c r="I54" s="37"/>
      <c r="J54" s="37">
        <f>J53*40%</f>
        <v>4.0000000000000001E-3</v>
      </c>
      <c r="K54" s="37"/>
      <c r="L54" s="37"/>
      <c r="M54" s="51">
        <f>SUM(D54:E54)</f>
        <v>2.2800000000000002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51">
        <f>SUM(N54:AS54)</f>
        <v>0</v>
      </c>
      <c r="AU54" s="43">
        <f t="shared" ref="AU54:AU69" si="0">M54+AT54</f>
        <v>2.2800000000000002</v>
      </c>
      <c r="AV54" s="11">
        <v>6746</v>
      </c>
      <c r="AW54" s="45">
        <f>AU54*AV54</f>
        <v>15380.880000000001</v>
      </c>
      <c r="AX54" s="5">
        <f>(D54+N54)*AV54</f>
        <v>15353.896000000002</v>
      </c>
      <c r="AY54" s="5">
        <f>(E54+AT54-N54)*AV54</f>
        <v>26.984000000000002</v>
      </c>
    </row>
    <row r="55" spans="1:51" s="14" customFormat="1" ht="15" x14ac:dyDescent="0.25">
      <c r="A55" s="16" t="s">
        <v>123</v>
      </c>
      <c r="B55" s="7"/>
      <c r="C55" s="9" t="s">
        <v>168</v>
      </c>
      <c r="D55" s="36">
        <f>D53*60%</f>
        <v>3.4140000000000001</v>
      </c>
      <c r="E55" s="37">
        <f>SUM(I55:L55)</f>
        <v>6.0000000000000001E-3</v>
      </c>
      <c r="F55" s="37"/>
      <c r="G55" s="37"/>
      <c r="H55" s="37"/>
      <c r="I55" s="37"/>
      <c r="J55" s="37">
        <f>J53*60%</f>
        <v>6.0000000000000001E-3</v>
      </c>
      <c r="K55" s="37"/>
      <c r="L55" s="37"/>
      <c r="M55" s="51">
        <f>SUM(D55:E55)</f>
        <v>3.42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51">
        <f>SUM(N55:AS55)</f>
        <v>0</v>
      </c>
      <c r="AU55" s="43">
        <f t="shared" si="0"/>
        <v>3.42</v>
      </c>
      <c r="AV55" s="11">
        <v>14</v>
      </c>
      <c r="AW55" s="45">
        <f>AU55*AV55</f>
        <v>47.879999999999995</v>
      </c>
      <c r="AX55" s="5">
        <f>(D55+N55)*AV55</f>
        <v>47.795999999999999</v>
      </c>
      <c r="AY55" s="5">
        <f>(E55+AT55-N55)*AV55</f>
        <v>8.4000000000000005E-2</v>
      </c>
    </row>
    <row r="56" spans="1:51" s="14" customFormat="1" ht="15" x14ac:dyDescent="0.25">
      <c r="A56" s="16" t="s">
        <v>124</v>
      </c>
      <c r="B56" s="7"/>
      <c r="C56" s="6" t="s">
        <v>169</v>
      </c>
      <c r="D56" s="123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5"/>
    </row>
    <row r="57" spans="1:51" s="14" customFormat="1" ht="15" x14ac:dyDescent="0.25">
      <c r="A57" s="16" t="s">
        <v>170</v>
      </c>
      <c r="B57" s="7"/>
      <c r="C57" s="6" t="s">
        <v>171</v>
      </c>
      <c r="D57" s="37">
        <f>D53*10%</f>
        <v>0.56900000000000006</v>
      </c>
      <c r="E57" s="37">
        <f>SUM(I57:L57)</f>
        <v>1E-3</v>
      </c>
      <c r="F57" s="37"/>
      <c r="G57" s="37"/>
      <c r="H57" s="37"/>
      <c r="I57" s="37"/>
      <c r="J57" s="37">
        <f>J53*10%</f>
        <v>1E-3</v>
      </c>
      <c r="K57" s="37"/>
      <c r="L57" s="37"/>
      <c r="M57" s="51">
        <f>SUM(D57:E57)</f>
        <v>0.57000000000000006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51">
        <f t="shared" ref="AT57:AT67" si="1">SUM(N57:AS57)</f>
        <v>0</v>
      </c>
      <c r="AU57" s="43">
        <f t="shared" si="0"/>
        <v>0.57000000000000006</v>
      </c>
      <c r="AV57" s="11"/>
      <c r="AW57" s="45">
        <f t="shared" ref="AW57:AW67" si="2">AU57*AV57</f>
        <v>0</v>
      </c>
      <c r="AX57" s="5">
        <f>(D57+N57)*AV57</f>
        <v>0</v>
      </c>
      <c r="AY57" s="5">
        <f>(E57+AT57-N57)*AV57</f>
        <v>0</v>
      </c>
    </row>
    <row r="58" spans="1:51" s="14" customFormat="1" ht="15" x14ac:dyDescent="0.25">
      <c r="A58" s="16" t="s">
        <v>172</v>
      </c>
      <c r="B58" s="7"/>
      <c r="C58" s="6" t="s">
        <v>173</v>
      </c>
      <c r="D58" s="37">
        <f>D53*20%</f>
        <v>1.1380000000000001</v>
      </c>
      <c r="E58" s="37">
        <f>SUM(I58:L58)</f>
        <v>2E-3</v>
      </c>
      <c r="F58" s="37"/>
      <c r="G58" s="37"/>
      <c r="H58" s="37"/>
      <c r="I58" s="37"/>
      <c r="J58" s="37">
        <f>J53*20%</f>
        <v>2E-3</v>
      </c>
      <c r="K58" s="37"/>
      <c r="L58" s="37"/>
      <c r="M58" s="51">
        <f>SUM(D58:E58)</f>
        <v>1.1400000000000001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51">
        <f t="shared" si="1"/>
        <v>0</v>
      </c>
      <c r="AU58" s="43">
        <f t="shared" si="0"/>
        <v>1.1400000000000001</v>
      </c>
      <c r="AV58" s="11">
        <v>327872</v>
      </c>
      <c r="AW58" s="45">
        <f t="shared" si="2"/>
        <v>373774.08000000002</v>
      </c>
      <c r="AX58" s="5">
        <f>(D58+N58)*AV58</f>
        <v>373118.33600000007</v>
      </c>
      <c r="AY58" s="5">
        <f>(E58+AT58-N58)*AV58</f>
        <v>655.74400000000003</v>
      </c>
    </row>
    <row r="59" spans="1:51" s="14" customFormat="1" ht="15" x14ac:dyDescent="0.25">
      <c r="A59" s="16" t="s">
        <v>125</v>
      </c>
      <c r="B59" s="7"/>
      <c r="C59" s="6" t="s">
        <v>174</v>
      </c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5"/>
    </row>
    <row r="60" spans="1:51" s="14" customFormat="1" ht="15" x14ac:dyDescent="0.25">
      <c r="A60" s="16" t="s">
        <v>175</v>
      </c>
      <c r="B60" s="7"/>
      <c r="C60" s="6" t="s">
        <v>176</v>
      </c>
      <c r="D60" s="37">
        <f>D53*3%</f>
        <v>0.17070000000000002</v>
      </c>
      <c r="E60" s="37">
        <f t="shared" ref="E60:E67" si="3">SUM(I60:L60)</f>
        <v>2.9999999999999997E-4</v>
      </c>
      <c r="F60" s="37"/>
      <c r="G60" s="37"/>
      <c r="H60" s="37"/>
      <c r="I60" s="37"/>
      <c r="J60" s="37">
        <f>J53*3%</f>
        <v>2.9999999999999997E-4</v>
      </c>
      <c r="K60" s="37"/>
      <c r="L60" s="37"/>
      <c r="M60" s="51">
        <f>SUM(D60:E60)</f>
        <v>0.17100000000000001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51">
        <f t="shared" si="1"/>
        <v>0</v>
      </c>
      <c r="AU60" s="43">
        <f t="shared" si="0"/>
        <v>0.17100000000000001</v>
      </c>
      <c r="AV60" s="11"/>
      <c r="AW60" s="45">
        <f t="shared" si="2"/>
        <v>0</v>
      </c>
      <c r="AX60" s="5">
        <f>(D60+N60)*AV60</f>
        <v>0</v>
      </c>
      <c r="AY60" s="5">
        <f>(E60+AT60-N60)*AV60</f>
        <v>0</v>
      </c>
    </row>
    <row r="61" spans="1:51" s="14" customFormat="1" ht="15" x14ac:dyDescent="0.25">
      <c r="A61" s="16" t="s">
        <v>177</v>
      </c>
      <c r="B61" s="7"/>
      <c r="C61" s="6" t="s">
        <v>178</v>
      </c>
      <c r="D61" s="37">
        <f>D53*5%</f>
        <v>0.28450000000000003</v>
      </c>
      <c r="E61" s="37">
        <f t="shared" si="3"/>
        <v>5.0000000000000001E-4</v>
      </c>
      <c r="F61" s="37"/>
      <c r="G61" s="37"/>
      <c r="H61" s="37"/>
      <c r="I61" s="37"/>
      <c r="J61" s="37">
        <f>J53*5%</f>
        <v>5.0000000000000001E-4</v>
      </c>
      <c r="K61" s="37"/>
      <c r="L61" s="37"/>
      <c r="M61" s="51">
        <f>SUM(D61:E61)</f>
        <v>0.28500000000000003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51">
        <f t="shared" si="1"/>
        <v>0</v>
      </c>
      <c r="AU61" s="43">
        <f t="shared" si="0"/>
        <v>0.28500000000000003</v>
      </c>
      <c r="AV61" s="11">
        <f>13927+47</f>
        <v>13974</v>
      </c>
      <c r="AW61" s="45">
        <f t="shared" si="2"/>
        <v>3982.5900000000006</v>
      </c>
      <c r="AX61" s="5">
        <f>(D61+N61)*AV61</f>
        <v>3975.6030000000005</v>
      </c>
      <c r="AY61" s="5">
        <f>(E61+AT61-N61)*AV61</f>
        <v>6.9870000000000001</v>
      </c>
    </row>
    <row r="62" spans="1:51" s="14" customFormat="1" ht="15" x14ac:dyDescent="0.25">
      <c r="A62" s="16" t="s">
        <v>126</v>
      </c>
      <c r="B62" s="7"/>
      <c r="C62" s="6" t="s">
        <v>179</v>
      </c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5"/>
    </row>
    <row r="63" spans="1:51" s="14" customFormat="1" ht="15" x14ac:dyDescent="0.25">
      <c r="A63" s="16" t="s">
        <v>180</v>
      </c>
      <c r="B63" s="7"/>
      <c r="C63" s="30" t="s">
        <v>207</v>
      </c>
      <c r="D63" s="37">
        <f>D53*0.1%</f>
        <v>5.6900000000000006E-3</v>
      </c>
      <c r="E63" s="37">
        <f t="shared" si="3"/>
        <v>1.0000000000000001E-5</v>
      </c>
      <c r="F63" s="37"/>
      <c r="G63" s="37"/>
      <c r="H63" s="37"/>
      <c r="I63" s="37"/>
      <c r="J63" s="37">
        <f>J53*0.1%</f>
        <v>1.0000000000000001E-5</v>
      </c>
      <c r="K63" s="37"/>
      <c r="L63" s="37"/>
      <c r="M63" s="52">
        <f t="shared" ref="M63:M69" si="4">SUM(D63:E63)</f>
        <v>5.7000000000000002E-3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51">
        <f t="shared" si="1"/>
        <v>0</v>
      </c>
      <c r="AU63" s="53">
        <f t="shared" si="0"/>
        <v>5.7000000000000002E-3</v>
      </c>
      <c r="AV63" s="11">
        <v>20057870</v>
      </c>
      <c r="AW63" s="45">
        <f t="shared" si="2"/>
        <v>114329.85900000001</v>
      </c>
      <c r="AX63" s="5">
        <f t="shared" ref="AX63:AX69" si="5">(D63+N63)*AV63</f>
        <v>114129.28030000001</v>
      </c>
      <c r="AY63" s="5">
        <f t="shared" ref="AY63:AY69" si="6">(E63+AT63-N63)*AV63</f>
        <v>200.57870000000003</v>
      </c>
    </row>
    <row r="64" spans="1:51" s="14" customFormat="1" ht="15" x14ac:dyDescent="0.25">
      <c r="A64" s="16" t="s">
        <v>181</v>
      </c>
      <c r="B64" s="7"/>
      <c r="C64" s="6" t="s">
        <v>182</v>
      </c>
      <c r="D64" s="37">
        <f>D53*0.21%</f>
        <v>1.1949E-2</v>
      </c>
      <c r="E64" s="37">
        <f t="shared" si="3"/>
        <v>2.0000000000000002E-5</v>
      </c>
      <c r="F64" s="37"/>
      <c r="G64" s="37"/>
      <c r="H64" s="37"/>
      <c r="I64" s="37"/>
      <c r="J64" s="37">
        <f>J53*0.2%</f>
        <v>2.0000000000000002E-5</v>
      </c>
      <c r="K64" s="37"/>
      <c r="L64" s="37"/>
      <c r="M64" s="52">
        <f t="shared" si="4"/>
        <v>1.1968999999999999E-2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51">
        <f t="shared" si="1"/>
        <v>0</v>
      </c>
      <c r="AU64" s="53">
        <f t="shared" si="0"/>
        <v>1.1968999999999999E-2</v>
      </c>
      <c r="AV64" s="11"/>
      <c r="AW64" s="45">
        <f t="shared" si="2"/>
        <v>0</v>
      </c>
      <c r="AX64" s="5">
        <f t="shared" si="5"/>
        <v>0</v>
      </c>
      <c r="AY64" s="5">
        <f t="shared" si="6"/>
        <v>0</v>
      </c>
    </row>
    <row r="65" spans="1:52" s="14" customFormat="1" ht="15" x14ac:dyDescent="0.25">
      <c r="A65" s="16" t="s">
        <v>183</v>
      </c>
      <c r="B65" s="7"/>
      <c r="C65" s="6" t="s">
        <v>184</v>
      </c>
      <c r="D65" s="37">
        <f>D53*0.5%</f>
        <v>2.8450000000000003E-2</v>
      </c>
      <c r="E65" s="37">
        <f t="shared" si="3"/>
        <v>5.0000000000000002E-5</v>
      </c>
      <c r="F65" s="37"/>
      <c r="G65" s="37"/>
      <c r="H65" s="37"/>
      <c r="I65" s="37"/>
      <c r="J65" s="37">
        <f>J53*0.5%</f>
        <v>5.0000000000000002E-5</v>
      </c>
      <c r="K65" s="37"/>
      <c r="L65" s="37"/>
      <c r="M65" s="52">
        <f t="shared" si="4"/>
        <v>2.8500000000000004E-2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51">
        <f t="shared" si="1"/>
        <v>0</v>
      </c>
      <c r="AU65" s="53">
        <f t="shared" si="0"/>
        <v>2.8500000000000004E-2</v>
      </c>
      <c r="AV65" s="11"/>
      <c r="AW65" s="45">
        <f t="shared" si="2"/>
        <v>0</v>
      </c>
      <c r="AX65" s="5">
        <f t="shared" si="5"/>
        <v>0</v>
      </c>
      <c r="AY65" s="5">
        <f t="shared" si="6"/>
        <v>0</v>
      </c>
    </row>
    <row r="66" spans="1:52" s="14" customFormat="1" ht="15" x14ac:dyDescent="0.25">
      <c r="A66" s="16" t="s">
        <v>185</v>
      </c>
      <c r="B66" s="7"/>
      <c r="C66" s="6" t="s">
        <v>186</v>
      </c>
      <c r="D66" s="37">
        <f>D53*0.1%</f>
        <v>5.6900000000000006E-3</v>
      </c>
      <c r="E66" s="37">
        <f t="shared" si="3"/>
        <v>1.0000000000000001E-5</v>
      </c>
      <c r="F66" s="37"/>
      <c r="G66" s="37"/>
      <c r="H66" s="37"/>
      <c r="I66" s="37"/>
      <c r="J66" s="37">
        <f>J53*0.1%</f>
        <v>1.0000000000000001E-5</v>
      </c>
      <c r="K66" s="37"/>
      <c r="L66" s="37"/>
      <c r="M66" s="52">
        <f t="shared" si="4"/>
        <v>5.7000000000000002E-3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51">
        <f t="shared" si="1"/>
        <v>0</v>
      </c>
      <c r="AU66" s="53">
        <f t="shared" si="0"/>
        <v>5.7000000000000002E-3</v>
      </c>
      <c r="AV66" s="11"/>
      <c r="AW66" s="45">
        <f t="shared" si="2"/>
        <v>0</v>
      </c>
      <c r="AX66" s="5">
        <f t="shared" si="5"/>
        <v>0</v>
      </c>
      <c r="AY66" s="5">
        <f t="shared" si="6"/>
        <v>0</v>
      </c>
    </row>
    <row r="67" spans="1:52" s="14" customFormat="1" ht="15" x14ac:dyDescent="0.25">
      <c r="A67" s="16" t="s">
        <v>187</v>
      </c>
      <c r="B67" s="7"/>
      <c r="C67" s="6" t="s">
        <v>188</v>
      </c>
      <c r="D67" s="36">
        <f>D53*0.035%</f>
        <v>1.9915000000000002E-3</v>
      </c>
      <c r="E67" s="37">
        <f t="shared" si="3"/>
        <v>3.5000000000000004E-6</v>
      </c>
      <c r="F67" s="37"/>
      <c r="G67" s="37"/>
      <c r="H67" s="37"/>
      <c r="I67" s="37"/>
      <c r="J67" s="37">
        <f>J53*0.035%</f>
        <v>3.5000000000000004E-6</v>
      </c>
      <c r="K67" s="37"/>
      <c r="L67" s="37"/>
      <c r="M67" s="52">
        <f t="shared" si="4"/>
        <v>1.9950000000000002E-3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51">
        <f t="shared" si="1"/>
        <v>0</v>
      </c>
      <c r="AU67" s="53">
        <f t="shared" si="0"/>
        <v>1.9950000000000002E-3</v>
      </c>
      <c r="AV67" s="11"/>
      <c r="AW67" s="45">
        <f t="shared" si="2"/>
        <v>0</v>
      </c>
      <c r="AX67" s="5">
        <f t="shared" si="5"/>
        <v>0</v>
      </c>
      <c r="AY67" s="5">
        <f t="shared" si="6"/>
        <v>0</v>
      </c>
    </row>
    <row r="68" spans="1:52" s="14" customFormat="1" ht="51" x14ac:dyDescent="0.25">
      <c r="A68" s="16" t="s">
        <v>127</v>
      </c>
      <c r="B68" s="7"/>
      <c r="C68" s="31" t="s">
        <v>209</v>
      </c>
      <c r="D68" s="36">
        <f>8.5+0.71+2.05+0.17+0.32</f>
        <v>11.750000000000002</v>
      </c>
      <c r="E68" s="37">
        <f>SUM(I68:L68)</f>
        <v>0.02</v>
      </c>
      <c r="F68" s="37"/>
      <c r="G68" s="37"/>
      <c r="H68" s="37"/>
      <c r="I68" s="37"/>
      <c r="J68" s="37">
        <f>0.01+0.01</f>
        <v>0.02</v>
      </c>
      <c r="K68" s="37"/>
      <c r="L68" s="37"/>
      <c r="M68" s="39">
        <f t="shared" si="4"/>
        <v>11.770000000000001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51">
        <f>SUM(N68:AS68)</f>
        <v>0</v>
      </c>
      <c r="AU68" s="43">
        <f t="shared" si="0"/>
        <v>11.770000000000001</v>
      </c>
      <c r="AV68" s="11"/>
      <c r="AW68" s="45">
        <f>AU68*AV68</f>
        <v>0</v>
      </c>
      <c r="AX68" s="5">
        <f t="shared" si="5"/>
        <v>0</v>
      </c>
      <c r="AY68" s="5">
        <f t="shared" si="6"/>
        <v>0</v>
      </c>
    </row>
    <row r="69" spans="1:52" s="14" customFormat="1" ht="30" customHeight="1" x14ac:dyDescent="0.25">
      <c r="A69" s="16" t="s">
        <v>208</v>
      </c>
      <c r="B69" s="7"/>
      <c r="C69" s="31" t="s">
        <v>210</v>
      </c>
      <c r="D69" s="36">
        <f>8.5+0.71+2.05+0.17+0.32</f>
        <v>11.750000000000002</v>
      </c>
      <c r="E69" s="37">
        <f>SUM(I69:L69)</f>
        <v>0.02</v>
      </c>
      <c r="F69" s="37"/>
      <c r="G69" s="37"/>
      <c r="H69" s="37"/>
      <c r="I69" s="37"/>
      <c r="J69" s="37">
        <f>0.01+0.01</f>
        <v>0.02</v>
      </c>
      <c r="K69" s="37"/>
      <c r="L69" s="37"/>
      <c r="M69" s="39">
        <f t="shared" si="4"/>
        <v>11.770000000000001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51">
        <f>SUM(N69:AS69)</f>
        <v>0</v>
      </c>
      <c r="AU69" s="43">
        <f t="shared" si="0"/>
        <v>11.770000000000001</v>
      </c>
      <c r="AV69" s="11">
        <v>46454</v>
      </c>
      <c r="AW69" s="45">
        <f>AU69*AV69</f>
        <v>546763.58000000007</v>
      </c>
      <c r="AX69" s="5">
        <f t="shared" si="5"/>
        <v>545834.50000000012</v>
      </c>
      <c r="AY69" s="5">
        <f t="shared" si="6"/>
        <v>929.08</v>
      </c>
    </row>
    <row r="70" spans="1:52" s="13" customFormat="1" x14ac:dyDescent="0.25">
      <c r="A70" s="2" t="s">
        <v>128</v>
      </c>
      <c r="B70" s="117" t="s">
        <v>129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9"/>
      <c r="AZ70" s="12"/>
    </row>
    <row r="71" spans="1:52" ht="38.25" x14ac:dyDescent="0.25">
      <c r="A71" s="16" t="s">
        <v>130</v>
      </c>
      <c r="B71" s="17" t="s">
        <v>130</v>
      </c>
      <c r="C71" s="15" t="s">
        <v>131</v>
      </c>
      <c r="D71" s="80" t="s">
        <v>55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2"/>
    </row>
    <row r="72" spans="1:52" ht="19.5" customHeight="1" x14ac:dyDescent="0.25">
      <c r="A72" s="85" t="s">
        <v>132</v>
      </c>
      <c r="B72" s="87" t="s">
        <v>132</v>
      </c>
      <c r="C72" s="83" t="s">
        <v>249</v>
      </c>
      <c r="D72" s="39">
        <v>6.0419999999999998</v>
      </c>
      <c r="E72" s="39">
        <f>3.532+5.04</f>
        <v>8.5719999999999992</v>
      </c>
      <c r="F72" s="40"/>
      <c r="G72" s="40"/>
      <c r="H72" s="40"/>
      <c r="I72" s="41">
        <v>2.04</v>
      </c>
      <c r="J72" s="41">
        <v>9.8000000000000004E-2</v>
      </c>
      <c r="K72" s="41">
        <v>5.04</v>
      </c>
      <c r="L72" s="41">
        <f>0.09+1.304</f>
        <v>1.3940000000000001</v>
      </c>
      <c r="M72" s="39">
        <f>SUM(D72:E72)</f>
        <v>14.613999999999999</v>
      </c>
      <c r="N72" s="40">
        <v>1.6379999999999999</v>
      </c>
      <c r="O72" s="40">
        <v>1E-3</v>
      </c>
      <c r="P72" s="40">
        <v>3.0000000000000001E-3</v>
      </c>
      <c r="Q72" s="40">
        <v>1.2999999999999999E-2</v>
      </c>
      <c r="R72" s="40">
        <v>2E-3</v>
      </c>
      <c r="S72" s="42">
        <v>0.14000000000000001</v>
      </c>
      <c r="T72" s="40">
        <v>3.5999999999999997E-2</v>
      </c>
      <c r="U72" s="40">
        <v>6.0000000000000001E-3</v>
      </c>
      <c r="V72" s="40">
        <v>6.7000000000000004E-2</v>
      </c>
      <c r="W72" s="40">
        <v>7.0000000000000001E-3</v>
      </c>
      <c r="X72" s="40">
        <v>8.9999999999999993E-3</v>
      </c>
      <c r="Y72" s="40">
        <v>1.7999999999999999E-2</v>
      </c>
      <c r="Z72" s="40">
        <v>0.253</v>
      </c>
      <c r="AA72" s="40">
        <v>0.11799999999999999</v>
      </c>
      <c r="AB72" s="40">
        <v>3.4000000000000002E-2</v>
      </c>
      <c r="AC72" s="40">
        <v>3.5000000000000003E-2</v>
      </c>
      <c r="AD72" s="40">
        <v>1.0999999999999999E-2</v>
      </c>
      <c r="AE72" s="40">
        <f>0.263+0.01</f>
        <v>0.27300000000000002</v>
      </c>
      <c r="AF72" s="40">
        <v>3.3000000000000002E-2</v>
      </c>
      <c r="AG72" s="40">
        <v>8.0000000000000002E-3</v>
      </c>
      <c r="AH72" s="40">
        <v>5.8000000000000003E-2</v>
      </c>
      <c r="AI72" s="40">
        <v>1.0999999999999999E-2</v>
      </c>
      <c r="AJ72" s="40"/>
      <c r="AK72" s="40">
        <v>0.12</v>
      </c>
      <c r="AL72" s="40"/>
      <c r="AM72" s="40"/>
      <c r="AN72" s="40">
        <v>2.9000000000000001E-2</v>
      </c>
      <c r="AO72" s="40">
        <v>1.6E-2</v>
      </c>
      <c r="AP72" s="40">
        <v>2.5000000000000001E-2</v>
      </c>
      <c r="AQ72" s="40">
        <v>6.0000000000000001E-3</v>
      </c>
      <c r="AR72" s="40">
        <v>4.0000000000000001E-3</v>
      </c>
      <c r="AS72" s="40">
        <v>8.0000000000000002E-3</v>
      </c>
      <c r="AT72" s="39">
        <f>SUM(N72:AS72)</f>
        <v>2.9819999999999993</v>
      </c>
      <c r="AU72" s="43">
        <f>M72+AT72</f>
        <v>17.595999999999997</v>
      </c>
      <c r="AV72" s="44">
        <v>0</v>
      </c>
      <c r="AW72" s="45">
        <f>AU72*AV72</f>
        <v>0</v>
      </c>
      <c r="AX72" s="45">
        <f>AV72*(D72+1.638)</f>
        <v>0</v>
      </c>
      <c r="AY72" s="5">
        <f>(E72+AT72-N72)*AV72</f>
        <v>0</v>
      </c>
    </row>
    <row r="73" spans="1:52" x14ac:dyDescent="0.25">
      <c r="A73" s="86"/>
      <c r="B73" s="88"/>
      <c r="C73" s="84"/>
      <c r="D73" s="120" t="s">
        <v>250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2"/>
    </row>
    <row r="74" spans="1:52" s="13" customFormat="1" ht="15" customHeight="1" x14ac:dyDescent="0.25">
      <c r="A74" s="19" t="s">
        <v>133</v>
      </c>
      <c r="B74" s="99" t="s">
        <v>134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1"/>
      <c r="AZ74" s="12"/>
    </row>
    <row r="75" spans="1:52" ht="42" customHeight="1" x14ac:dyDescent="0.25">
      <c r="A75" s="8" t="s">
        <v>135</v>
      </c>
      <c r="B75" s="8" t="s">
        <v>135</v>
      </c>
      <c r="C75" s="78" t="s">
        <v>252</v>
      </c>
      <c r="D75" s="81" t="s">
        <v>55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2"/>
    </row>
    <row r="76" spans="1:52" ht="21" customHeight="1" x14ac:dyDescent="0.25">
      <c r="A76" s="89" t="s">
        <v>138</v>
      </c>
      <c r="B76" s="89"/>
      <c r="C76" s="91" t="s">
        <v>253</v>
      </c>
      <c r="D76" s="81" t="s">
        <v>254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2"/>
    </row>
    <row r="77" spans="1:52" ht="21" customHeight="1" x14ac:dyDescent="0.25">
      <c r="A77" s="90"/>
      <c r="B77" s="90"/>
      <c r="C77" s="92"/>
      <c r="D77" s="80" t="s">
        <v>250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2"/>
    </row>
    <row r="78" spans="1:52" s="13" customFormat="1" ht="15" customHeight="1" x14ac:dyDescent="0.25">
      <c r="A78" s="19" t="s">
        <v>136</v>
      </c>
      <c r="B78" s="99" t="s">
        <v>137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1"/>
      <c r="AZ78" s="12"/>
    </row>
    <row r="79" spans="1:52" ht="51" x14ac:dyDescent="0.25">
      <c r="A79" s="8" t="s">
        <v>140</v>
      </c>
      <c r="B79" s="8" t="s">
        <v>138</v>
      </c>
      <c r="C79" s="70" t="s">
        <v>139</v>
      </c>
      <c r="D79" s="80" t="s">
        <v>55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2"/>
    </row>
    <row r="80" spans="1:52" ht="25.5" x14ac:dyDescent="0.25">
      <c r="A80" s="8" t="s">
        <v>142</v>
      </c>
      <c r="B80" s="8" t="s">
        <v>140</v>
      </c>
      <c r="C80" s="70" t="s">
        <v>141</v>
      </c>
      <c r="D80" s="80" t="s">
        <v>55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2"/>
    </row>
    <row r="81" spans="1:51" ht="25.5" x14ac:dyDescent="0.25">
      <c r="A81" s="8" t="s">
        <v>144</v>
      </c>
      <c r="B81" s="8" t="s">
        <v>142</v>
      </c>
      <c r="C81" s="6" t="s">
        <v>143</v>
      </c>
      <c r="D81" s="80" t="s">
        <v>55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2"/>
    </row>
    <row r="82" spans="1:51" ht="16.5" customHeight="1" x14ac:dyDescent="0.25">
      <c r="A82" s="8" t="s">
        <v>145</v>
      </c>
      <c r="B82" s="8" t="s">
        <v>144</v>
      </c>
      <c r="C82" s="6" t="s">
        <v>244</v>
      </c>
      <c r="D82" s="80" t="s">
        <v>55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2"/>
    </row>
    <row r="83" spans="1:51" x14ac:dyDescent="0.25">
      <c r="A83" s="1" t="s">
        <v>198</v>
      </c>
      <c r="B83" s="8" t="s">
        <v>145</v>
      </c>
      <c r="C83" s="6" t="s">
        <v>243</v>
      </c>
      <c r="D83" s="80" t="s">
        <v>55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2"/>
    </row>
    <row r="84" spans="1:51" s="21" customFormat="1" ht="25.5" x14ac:dyDescent="0.25">
      <c r="A84" s="20" t="s">
        <v>192</v>
      </c>
      <c r="B84" s="63" t="s">
        <v>193</v>
      </c>
      <c r="C84" s="108" t="s">
        <v>196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</row>
    <row r="85" spans="1:51" s="21" customFormat="1" ht="38.25" x14ac:dyDescent="0.25">
      <c r="A85" s="17" t="s">
        <v>199</v>
      </c>
      <c r="B85" s="17" t="s">
        <v>47</v>
      </c>
      <c r="C85" s="71" t="s">
        <v>197</v>
      </c>
      <c r="D85" s="109" t="s">
        <v>55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</row>
    <row r="86" spans="1:51" s="21" customFormat="1" ht="25.5" x14ac:dyDescent="0.25">
      <c r="A86" s="17" t="s">
        <v>251</v>
      </c>
      <c r="B86" s="17" t="s">
        <v>53</v>
      </c>
      <c r="C86" s="71" t="s">
        <v>211</v>
      </c>
      <c r="D86" s="109" t="s">
        <v>55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</row>
    <row r="87" spans="1:51" x14ac:dyDescent="0.25">
      <c r="A87" s="102" t="s">
        <v>146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4"/>
    </row>
    <row r="88" spans="1:51" x14ac:dyDescent="0.25">
      <c r="A88" s="105" t="s">
        <v>147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7"/>
    </row>
    <row r="89" spans="1:51" s="21" customFormat="1" ht="25.5" x14ac:dyDescent="0.25">
      <c r="A89" s="162" t="s">
        <v>47</v>
      </c>
      <c r="B89" s="18"/>
      <c r="C89" s="15" t="s">
        <v>222</v>
      </c>
      <c r="D89" s="163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5"/>
    </row>
    <row r="90" spans="1:51" s="21" customFormat="1" ht="51" x14ac:dyDescent="0.25">
      <c r="A90" s="162" t="s">
        <v>48</v>
      </c>
      <c r="B90" s="22"/>
      <c r="C90" s="79" t="s">
        <v>223</v>
      </c>
      <c r="D90" s="166">
        <v>8.1300000000000008</v>
      </c>
      <c r="E90" s="57">
        <f>SUM(I90:L90)</f>
        <v>0.23</v>
      </c>
      <c r="F90" s="57"/>
      <c r="G90" s="57"/>
      <c r="H90" s="57"/>
      <c r="I90" s="57">
        <v>0.04</v>
      </c>
      <c r="J90" s="57">
        <v>7.0000000000000007E-2</v>
      </c>
      <c r="K90" s="57">
        <v>0.08</v>
      </c>
      <c r="L90" s="57">
        <v>0.04</v>
      </c>
      <c r="M90" s="57">
        <f>D90+E90</f>
        <v>8.3600000000000012</v>
      </c>
      <c r="N90" s="57">
        <v>4.6449999999999996</v>
      </c>
      <c r="O90" s="57">
        <v>0.01</v>
      </c>
      <c r="P90" s="57">
        <v>0.03</v>
      </c>
      <c r="Q90" s="57">
        <v>2.1999999999999999E-2</v>
      </c>
      <c r="R90" s="57">
        <v>2.9000000000000001E-2</v>
      </c>
      <c r="S90" s="57">
        <f>3.95+0.06</f>
        <v>4.01</v>
      </c>
      <c r="T90" s="57">
        <f>0.068+0.165</f>
        <v>0.23300000000000001</v>
      </c>
      <c r="U90" s="57">
        <f>0.009+0.031</f>
        <v>0.04</v>
      </c>
      <c r="V90" s="57">
        <f>0.181+0.454</f>
        <v>0.63500000000000001</v>
      </c>
      <c r="W90" s="57">
        <f>0.009+0.035</f>
        <v>4.4000000000000004E-2</v>
      </c>
      <c r="X90" s="57">
        <v>3.0000000000000001E-3</v>
      </c>
      <c r="Y90" s="57">
        <v>2E-3</v>
      </c>
      <c r="Z90" s="57">
        <f>0.003+0.081</f>
        <v>8.4000000000000005E-2</v>
      </c>
      <c r="AA90" s="57">
        <f>0.009+0.001</f>
        <v>9.9999999999999985E-3</v>
      </c>
      <c r="AB90" s="57">
        <f>0.07+0.012</f>
        <v>8.2000000000000003E-2</v>
      </c>
      <c r="AC90" s="57">
        <f>0.048+0.361+0.01</f>
        <v>0.41899999999999998</v>
      </c>
      <c r="AD90" s="57">
        <v>4.0000000000000001E-3</v>
      </c>
      <c r="AE90" s="57">
        <f>0.11+0.045+0.001</f>
        <v>0.156</v>
      </c>
      <c r="AF90" s="57"/>
      <c r="AG90" s="57"/>
      <c r="AH90" s="57">
        <v>0.52</v>
      </c>
      <c r="AI90" s="57"/>
      <c r="AJ90" s="57">
        <v>0.03</v>
      </c>
      <c r="AK90" s="57"/>
      <c r="AL90" s="57">
        <v>1.2E-2</v>
      </c>
      <c r="AM90" s="57">
        <v>1.2E-2</v>
      </c>
      <c r="AN90" s="57"/>
      <c r="AO90" s="57">
        <v>8.9999999999999993E-3</v>
      </c>
      <c r="AP90" s="57">
        <v>3.0000000000000001E-3</v>
      </c>
      <c r="AQ90" s="57">
        <v>2.7E-2</v>
      </c>
      <c r="AR90" s="57">
        <f>0.016</f>
        <v>1.6E-2</v>
      </c>
      <c r="AS90" s="57">
        <v>3.0000000000000001E-3</v>
      </c>
      <c r="AT90" s="57">
        <f>SUM(N90:AS90)</f>
        <v>11.09</v>
      </c>
      <c r="AU90" s="167">
        <f>M90+AT90</f>
        <v>19.450000000000003</v>
      </c>
      <c r="AV90" s="35">
        <v>3000</v>
      </c>
      <c r="AW90" s="56">
        <f>AU90*AV90</f>
        <v>58350.000000000007</v>
      </c>
      <c r="AX90" s="56">
        <f>(D90+N90)*AV90</f>
        <v>38325</v>
      </c>
      <c r="AY90" s="56">
        <f>(E90+AT90-N90)*AV90</f>
        <v>20025.000000000004</v>
      </c>
    </row>
    <row r="91" spans="1:51" s="21" customFormat="1" ht="51" x14ac:dyDescent="0.25">
      <c r="A91" s="162" t="s">
        <v>50</v>
      </c>
      <c r="B91" s="23"/>
      <c r="C91" s="15" t="s">
        <v>224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5"/>
    </row>
    <row r="92" spans="1:51" s="21" customFormat="1" x14ac:dyDescent="0.25">
      <c r="A92" s="162" t="s">
        <v>148</v>
      </c>
      <c r="B92" s="23"/>
      <c r="C92" s="15" t="s">
        <v>225</v>
      </c>
      <c r="D92" s="166">
        <v>8.1300000000000008</v>
      </c>
      <c r="E92" s="57">
        <f>SUM(I92:L92)</f>
        <v>0.23</v>
      </c>
      <c r="F92" s="57"/>
      <c r="G92" s="57"/>
      <c r="H92" s="57"/>
      <c r="I92" s="57">
        <v>0.04</v>
      </c>
      <c r="J92" s="57">
        <v>7.0000000000000007E-2</v>
      </c>
      <c r="K92" s="57">
        <v>0.08</v>
      </c>
      <c r="L92" s="57">
        <v>0.04</v>
      </c>
      <c r="M92" s="57">
        <f>D92+E92</f>
        <v>8.3600000000000012</v>
      </c>
      <c r="N92" s="57">
        <v>4.6449999999999996</v>
      </c>
      <c r="O92" s="57">
        <v>0.01</v>
      </c>
      <c r="P92" s="57">
        <v>0.03</v>
      </c>
      <c r="Q92" s="57">
        <v>2.1999999999999999E-2</v>
      </c>
      <c r="R92" s="57">
        <v>2.9000000000000001E-2</v>
      </c>
      <c r="S92" s="57">
        <v>4.01</v>
      </c>
      <c r="T92" s="57">
        <v>0.23300000000000001</v>
      </c>
      <c r="U92" s="57">
        <v>0.04</v>
      </c>
      <c r="V92" s="57">
        <v>0.63500000000000001</v>
      </c>
      <c r="W92" s="57">
        <v>4.4000000000000004E-2</v>
      </c>
      <c r="X92" s="57">
        <v>3.0000000000000001E-3</v>
      </c>
      <c r="Y92" s="57">
        <v>2E-3</v>
      </c>
      <c r="Z92" s="57">
        <v>8.4000000000000005E-2</v>
      </c>
      <c r="AA92" s="57">
        <v>9.9999999999999985E-3</v>
      </c>
      <c r="AB92" s="57">
        <v>8.2000000000000003E-2</v>
      </c>
      <c r="AC92" s="57">
        <v>0.41899999999999998</v>
      </c>
      <c r="AD92" s="57">
        <v>4.0000000000000001E-3</v>
      </c>
      <c r="AE92" s="57">
        <v>0.156</v>
      </c>
      <c r="AF92" s="57"/>
      <c r="AG92" s="57"/>
      <c r="AH92" s="57">
        <v>0.52</v>
      </c>
      <c r="AI92" s="57"/>
      <c r="AJ92" s="57">
        <v>0.03</v>
      </c>
      <c r="AK92" s="57"/>
      <c r="AL92" s="57">
        <v>1.2E-2</v>
      </c>
      <c r="AM92" s="57">
        <v>1.2E-2</v>
      </c>
      <c r="AN92" s="57"/>
      <c r="AO92" s="57">
        <v>8.9999999999999993E-3</v>
      </c>
      <c r="AP92" s="57">
        <v>3.0000000000000001E-3</v>
      </c>
      <c r="AQ92" s="57">
        <v>2.7E-2</v>
      </c>
      <c r="AR92" s="57">
        <v>1.6E-2</v>
      </c>
      <c r="AS92" s="57">
        <v>3.0000000000000001E-3</v>
      </c>
      <c r="AT92" s="57">
        <f>SUM(N92:AS92)</f>
        <v>11.09</v>
      </c>
      <c r="AU92" s="167">
        <f>M92+AT92</f>
        <v>19.450000000000003</v>
      </c>
      <c r="AV92" s="35">
        <v>15000</v>
      </c>
      <c r="AW92" s="56">
        <f>AU92*AV92</f>
        <v>291750.00000000006</v>
      </c>
      <c r="AX92" s="56">
        <f>(D92+N92)*AV92</f>
        <v>191625</v>
      </c>
      <c r="AY92" s="56">
        <f>(E92+AT92-N92)*AV92</f>
        <v>100125.00000000001</v>
      </c>
    </row>
    <row r="93" spans="1:51" s="21" customFormat="1" x14ac:dyDescent="0.25">
      <c r="A93" s="162" t="s">
        <v>149</v>
      </c>
      <c r="B93" s="23"/>
      <c r="C93" s="15" t="s">
        <v>212</v>
      </c>
      <c r="D93" s="166">
        <v>2.4390000000000001</v>
      </c>
      <c r="E93" s="57">
        <f>SUM(I93:L93)</f>
        <v>6.9000000000000006E-2</v>
      </c>
      <c r="F93" s="57"/>
      <c r="G93" s="57"/>
      <c r="H93" s="57"/>
      <c r="I93" s="57">
        <v>1.2E-2</v>
      </c>
      <c r="J93" s="57">
        <v>2.1000000000000001E-2</v>
      </c>
      <c r="K93" s="57">
        <v>2.4E-2</v>
      </c>
      <c r="L93" s="57">
        <v>1.2E-2</v>
      </c>
      <c r="M93" s="57">
        <f>D93+E93</f>
        <v>2.508</v>
      </c>
      <c r="N93" s="57">
        <v>1.3939999999999999</v>
      </c>
      <c r="O93" s="57">
        <v>3.0000000000000001E-3</v>
      </c>
      <c r="P93" s="57">
        <v>8.9999999999999993E-3</v>
      </c>
      <c r="Q93" s="57">
        <v>7.0000000000000001E-3</v>
      </c>
      <c r="R93" s="57">
        <v>8.9999999999999993E-3</v>
      </c>
      <c r="S93" s="57">
        <v>1.2030000000000001</v>
      </c>
      <c r="T93" s="57">
        <v>7.0000000000000007E-2</v>
      </c>
      <c r="U93" s="57">
        <v>1.2E-2</v>
      </c>
      <c r="V93" s="57">
        <v>0.191</v>
      </c>
      <c r="W93" s="57">
        <v>1.2999999999999999E-2</v>
      </c>
      <c r="X93" s="57">
        <v>1E-3</v>
      </c>
      <c r="Y93" s="57">
        <v>1E-3</v>
      </c>
      <c r="Z93" s="57">
        <v>2.5000000000000001E-2</v>
      </c>
      <c r="AA93" s="57">
        <v>3.0000000000000001E-3</v>
      </c>
      <c r="AB93" s="57">
        <v>2.5000000000000001E-2</v>
      </c>
      <c r="AC93" s="57">
        <v>0.126</v>
      </c>
      <c r="AD93" s="57">
        <v>1E-3</v>
      </c>
      <c r="AE93" s="57">
        <v>4.7E-2</v>
      </c>
      <c r="AF93" s="57"/>
      <c r="AG93" s="57"/>
      <c r="AH93" s="57">
        <v>0.156</v>
      </c>
      <c r="AI93" s="57"/>
      <c r="AJ93" s="57">
        <v>8.9999999999999993E-3</v>
      </c>
      <c r="AK93" s="57"/>
      <c r="AL93" s="57">
        <v>4.0000000000000001E-3</v>
      </c>
      <c r="AM93" s="57">
        <v>4.0000000000000001E-3</v>
      </c>
      <c r="AN93" s="57"/>
      <c r="AO93" s="57">
        <v>3.0000000000000001E-3</v>
      </c>
      <c r="AP93" s="57">
        <v>1E-3</v>
      </c>
      <c r="AQ93" s="57">
        <v>8.0000000000000002E-3</v>
      </c>
      <c r="AR93" s="57">
        <v>5.0000000000000001E-3</v>
      </c>
      <c r="AS93" s="57">
        <v>1E-3</v>
      </c>
      <c r="AT93" s="57">
        <f>SUM(N93:AS93)</f>
        <v>3.3309999999999986</v>
      </c>
      <c r="AU93" s="168">
        <f>M93+AT93</f>
        <v>5.8389999999999986</v>
      </c>
      <c r="AV93" s="35">
        <v>300</v>
      </c>
      <c r="AW93" s="56">
        <f>AU93*AV93</f>
        <v>1751.6999999999996</v>
      </c>
      <c r="AX93" s="56">
        <f>(D93+N93)*AV93</f>
        <v>1149.9000000000001</v>
      </c>
      <c r="AY93" s="56">
        <f>(E93+AT93-N93)*AV93</f>
        <v>601.7999999999995</v>
      </c>
    </row>
    <row r="94" spans="1:51" s="21" customFormat="1" ht="51" x14ac:dyDescent="0.25">
      <c r="A94" s="162" t="s">
        <v>51</v>
      </c>
      <c r="B94" s="23"/>
      <c r="C94" s="15" t="s">
        <v>226</v>
      </c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5"/>
    </row>
    <row r="95" spans="1:51" s="21" customFormat="1" x14ac:dyDescent="0.25">
      <c r="A95" s="162" t="s">
        <v>150</v>
      </c>
      <c r="B95" s="23"/>
      <c r="C95" s="15" t="s">
        <v>225</v>
      </c>
      <c r="D95" s="166">
        <v>8.1300000000000008</v>
      </c>
      <c r="E95" s="57">
        <f>SUM(I95:L95)</f>
        <v>0.23</v>
      </c>
      <c r="F95" s="57"/>
      <c r="G95" s="57"/>
      <c r="H95" s="57"/>
      <c r="I95" s="57">
        <v>0.04</v>
      </c>
      <c r="J95" s="57">
        <v>7.0000000000000007E-2</v>
      </c>
      <c r="K95" s="57">
        <v>0.08</v>
      </c>
      <c r="L95" s="57">
        <v>0.04</v>
      </c>
      <c r="M95" s="57">
        <f>D95+E95</f>
        <v>8.3600000000000012</v>
      </c>
      <c r="N95" s="57">
        <v>4.6449999999999996</v>
      </c>
      <c r="O95" s="57">
        <v>0.01</v>
      </c>
      <c r="P95" s="57">
        <v>0.03</v>
      </c>
      <c r="Q95" s="57">
        <v>2.1999999999999999E-2</v>
      </c>
      <c r="R95" s="57">
        <v>2.9000000000000001E-2</v>
      </c>
      <c r="S95" s="57">
        <v>4.01</v>
      </c>
      <c r="T95" s="57">
        <v>0.23300000000000001</v>
      </c>
      <c r="U95" s="57">
        <v>0.04</v>
      </c>
      <c r="V95" s="57">
        <v>0.63500000000000001</v>
      </c>
      <c r="W95" s="57">
        <v>4.4000000000000004E-2</v>
      </c>
      <c r="X95" s="57">
        <v>3.0000000000000001E-3</v>
      </c>
      <c r="Y95" s="57">
        <v>2E-3</v>
      </c>
      <c r="Z95" s="57">
        <v>8.4000000000000005E-2</v>
      </c>
      <c r="AA95" s="57">
        <v>9.9999999999999985E-3</v>
      </c>
      <c r="AB95" s="57">
        <v>8.2000000000000003E-2</v>
      </c>
      <c r="AC95" s="57">
        <v>0.41899999999999998</v>
      </c>
      <c r="AD95" s="57">
        <v>4.0000000000000001E-3</v>
      </c>
      <c r="AE95" s="57">
        <v>0.156</v>
      </c>
      <c r="AF95" s="57"/>
      <c r="AG95" s="57"/>
      <c r="AH95" s="57">
        <v>0.52</v>
      </c>
      <c r="AI95" s="57"/>
      <c r="AJ95" s="57">
        <v>0.03</v>
      </c>
      <c r="AK95" s="57"/>
      <c r="AL95" s="57">
        <v>1.2E-2</v>
      </c>
      <c r="AM95" s="57">
        <v>1.2E-2</v>
      </c>
      <c r="AN95" s="57"/>
      <c r="AO95" s="57">
        <v>8.9999999999999993E-3</v>
      </c>
      <c r="AP95" s="57">
        <v>3.0000000000000001E-3</v>
      </c>
      <c r="AQ95" s="57">
        <v>2.7E-2</v>
      </c>
      <c r="AR95" s="57">
        <v>1.6E-2</v>
      </c>
      <c r="AS95" s="57">
        <v>3.0000000000000001E-3</v>
      </c>
      <c r="AT95" s="57">
        <f>SUM(N95:AS95)</f>
        <v>11.09</v>
      </c>
      <c r="AU95" s="168">
        <f>M95+AT95</f>
        <v>19.450000000000003</v>
      </c>
      <c r="AV95" s="35">
        <v>30000</v>
      </c>
      <c r="AW95" s="56">
        <f>AU95*AV95</f>
        <v>583500.00000000012</v>
      </c>
      <c r="AX95" s="56">
        <f>(D95+N95)*AV95</f>
        <v>383250</v>
      </c>
      <c r="AY95" s="56">
        <f>(E95+AT95-N95)*AV95</f>
        <v>200250.00000000003</v>
      </c>
    </row>
    <row r="96" spans="1:51" s="21" customFormat="1" x14ac:dyDescent="0.25">
      <c r="A96" s="162" t="s">
        <v>151</v>
      </c>
      <c r="B96" s="23"/>
      <c r="C96" s="15" t="s">
        <v>212</v>
      </c>
      <c r="D96" s="166">
        <v>1.4910000000000001</v>
      </c>
      <c r="E96" s="57">
        <f>SUM(I96:L96)</f>
        <v>4.2000000000000003E-2</v>
      </c>
      <c r="F96" s="57"/>
      <c r="G96" s="57"/>
      <c r="H96" s="57"/>
      <c r="I96" s="57">
        <v>7.0000000000000001E-3</v>
      </c>
      <c r="J96" s="57">
        <v>1.2999999999999999E-2</v>
      </c>
      <c r="K96" s="57">
        <v>1.4999999999999999E-2</v>
      </c>
      <c r="L96" s="57">
        <v>7.0000000000000001E-3</v>
      </c>
      <c r="M96" s="57">
        <f>D96+E96</f>
        <v>1.5330000000000001</v>
      </c>
      <c r="N96" s="57">
        <v>0.85199999999999998</v>
      </c>
      <c r="O96" s="57">
        <v>2E-3</v>
      </c>
      <c r="P96" s="57">
        <v>6.0000000000000001E-3</v>
      </c>
      <c r="Q96" s="57">
        <v>4.0000000000000001E-3</v>
      </c>
      <c r="R96" s="57">
        <v>5.0000000000000001E-3</v>
      </c>
      <c r="S96" s="57">
        <v>0.73499999999999999</v>
      </c>
      <c r="T96" s="57">
        <v>4.2999999999999997E-2</v>
      </c>
      <c r="U96" s="57">
        <v>7.0000000000000001E-3</v>
      </c>
      <c r="V96" s="57">
        <v>0.11600000000000001</v>
      </c>
      <c r="W96" s="57">
        <v>8.0000000000000002E-3</v>
      </c>
      <c r="X96" s="57">
        <v>1E-3</v>
      </c>
      <c r="Y96" s="57">
        <v>4.0000000000000002E-4</v>
      </c>
      <c r="Z96" s="57">
        <v>1.4999999999999999E-2</v>
      </c>
      <c r="AA96" s="57">
        <v>2E-3</v>
      </c>
      <c r="AB96" s="57">
        <v>1.4999999999999999E-2</v>
      </c>
      <c r="AC96" s="57">
        <v>7.6999999999999999E-2</v>
      </c>
      <c r="AD96" s="57">
        <v>1E-3</v>
      </c>
      <c r="AE96" s="57">
        <v>2.9000000000000001E-2</v>
      </c>
      <c r="AF96" s="57"/>
      <c r="AG96" s="57"/>
      <c r="AH96" s="57">
        <v>9.5000000000000001E-2</v>
      </c>
      <c r="AI96" s="57"/>
      <c r="AJ96" s="57">
        <v>6.0000000000000001E-3</v>
      </c>
      <c r="AK96" s="57"/>
      <c r="AL96" s="57">
        <v>2E-3</v>
      </c>
      <c r="AM96" s="57">
        <v>2E-3</v>
      </c>
      <c r="AN96" s="57"/>
      <c r="AO96" s="57">
        <v>2E-3</v>
      </c>
      <c r="AP96" s="57">
        <v>1E-3</v>
      </c>
      <c r="AQ96" s="57">
        <v>5.0000000000000001E-3</v>
      </c>
      <c r="AR96" s="57">
        <v>3.0000000000000001E-3</v>
      </c>
      <c r="AS96" s="57">
        <v>1E-3</v>
      </c>
      <c r="AT96" s="57">
        <f>SUM(N96:AS96)</f>
        <v>2.0353999999999983</v>
      </c>
      <c r="AU96" s="168">
        <f>M96+AT96</f>
        <v>3.5683999999999987</v>
      </c>
      <c r="AV96" s="35">
        <v>5000</v>
      </c>
      <c r="AW96" s="56">
        <f>AU96*AV96</f>
        <v>17841.999999999993</v>
      </c>
      <c r="AX96" s="56">
        <f>(D96+N96)*AV96</f>
        <v>11715</v>
      </c>
      <c r="AY96" s="56">
        <f>(E96+AT96-N96)*AV96</f>
        <v>6126.9999999999909</v>
      </c>
    </row>
    <row r="97" spans="1:51" s="21" customFormat="1" ht="51" x14ac:dyDescent="0.25">
      <c r="A97" s="162" t="s">
        <v>152</v>
      </c>
      <c r="B97" s="23"/>
      <c r="C97" s="79" t="s">
        <v>227</v>
      </c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5"/>
    </row>
    <row r="98" spans="1:51" s="21" customFormat="1" x14ac:dyDescent="0.25">
      <c r="A98" s="162" t="s">
        <v>153</v>
      </c>
      <c r="B98" s="23"/>
      <c r="C98" s="15" t="s">
        <v>228</v>
      </c>
      <c r="D98" s="169">
        <v>8.1300000000000008</v>
      </c>
      <c r="E98" s="57">
        <f>SUM(I98:L98)</f>
        <v>0.23</v>
      </c>
      <c r="F98" s="57"/>
      <c r="G98" s="57"/>
      <c r="H98" s="57"/>
      <c r="I98" s="57">
        <v>0.04</v>
      </c>
      <c r="J98" s="57">
        <v>7.0000000000000007E-2</v>
      </c>
      <c r="K98" s="57">
        <v>0.08</v>
      </c>
      <c r="L98" s="57">
        <v>0.04</v>
      </c>
      <c r="M98" s="57">
        <f>D109+E98</f>
        <v>8.3600000000000012</v>
      </c>
      <c r="N98" s="57">
        <v>4.6449999999999996</v>
      </c>
      <c r="O98" s="57">
        <v>0.01</v>
      </c>
      <c r="P98" s="57">
        <v>0.03</v>
      </c>
      <c r="Q98" s="57">
        <v>2.1999999999999999E-2</v>
      </c>
      <c r="R98" s="57">
        <v>2.9000000000000001E-2</v>
      </c>
      <c r="S98" s="57">
        <v>4.01</v>
      </c>
      <c r="T98" s="57">
        <v>0.23300000000000001</v>
      </c>
      <c r="U98" s="57">
        <v>0.04</v>
      </c>
      <c r="V98" s="57">
        <v>0.63500000000000001</v>
      </c>
      <c r="W98" s="57">
        <v>4.4000000000000004E-2</v>
      </c>
      <c r="X98" s="57">
        <v>3.0000000000000001E-3</v>
      </c>
      <c r="Y98" s="57">
        <v>2E-3</v>
      </c>
      <c r="Z98" s="57">
        <v>8.4000000000000005E-2</v>
      </c>
      <c r="AA98" s="57">
        <v>9.9999999999999985E-3</v>
      </c>
      <c r="AB98" s="57">
        <v>8.2000000000000003E-2</v>
      </c>
      <c r="AC98" s="57">
        <v>0.41899999999999998</v>
      </c>
      <c r="AD98" s="57">
        <v>4.0000000000000001E-3</v>
      </c>
      <c r="AE98" s="57">
        <v>0.156</v>
      </c>
      <c r="AF98" s="57"/>
      <c r="AG98" s="57"/>
      <c r="AH98" s="57">
        <v>0.52</v>
      </c>
      <c r="AI98" s="57"/>
      <c r="AJ98" s="57">
        <v>0.03</v>
      </c>
      <c r="AK98" s="57"/>
      <c r="AL98" s="57">
        <v>1.2E-2</v>
      </c>
      <c r="AM98" s="57">
        <v>1.2E-2</v>
      </c>
      <c r="AN98" s="57"/>
      <c r="AO98" s="57">
        <v>8.9999999999999993E-3</v>
      </c>
      <c r="AP98" s="57">
        <v>3.0000000000000001E-3</v>
      </c>
      <c r="AQ98" s="57">
        <v>2.7E-2</v>
      </c>
      <c r="AR98" s="57">
        <v>1.6E-2</v>
      </c>
      <c r="AS98" s="57">
        <v>3.0000000000000001E-3</v>
      </c>
      <c r="AT98" s="57">
        <f>SUM(N98:AS98)</f>
        <v>11.09</v>
      </c>
      <c r="AU98" s="168">
        <f>M98+AT98</f>
        <v>19.450000000000003</v>
      </c>
      <c r="AV98" s="35">
        <v>2500</v>
      </c>
      <c r="AW98" s="56">
        <f>AU98*AV98</f>
        <v>48625.000000000007</v>
      </c>
      <c r="AX98" s="56">
        <f>(D98+N98)*AV98</f>
        <v>31937.5</v>
      </c>
      <c r="AY98" s="56">
        <f>(E98+AT98-N98)*AV98</f>
        <v>16687.5</v>
      </c>
    </row>
    <row r="99" spans="1:51" s="21" customFormat="1" x14ac:dyDescent="0.25">
      <c r="A99" s="162" t="s">
        <v>154</v>
      </c>
      <c r="B99" s="23"/>
      <c r="C99" s="15" t="s">
        <v>213</v>
      </c>
      <c r="D99" s="166">
        <v>2.4390000000000001</v>
      </c>
      <c r="E99" s="57">
        <f>SUM(I99:L99)</f>
        <v>6.9000000000000006E-2</v>
      </c>
      <c r="F99" s="57"/>
      <c r="G99" s="57"/>
      <c r="H99" s="57"/>
      <c r="I99" s="57">
        <v>1.2E-2</v>
      </c>
      <c r="J99" s="57">
        <v>2.1000000000000001E-2</v>
      </c>
      <c r="K99" s="57">
        <v>2.4E-2</v>
      </c>
      <c r="L99" s="57">
        <v>1.2E-2</v>
      </c>
      <c r="M99" s="57">
        <f>D99+E99</f>
        <v>2.508</v>
      </c>
      <c r="N99" s="57">
        <v>1.3939999999999999</v>
      </c>
      <c r="O99" s="57">
        <v>3.0000000000000001E-3</v>
      </c>
      <c r="P99" s="57">
        <v>8.9999999999999993E-3</v>
      </c>
      <c r="Q99" s="57">
        <v>7.0000000000000001E-3</v>
      </c>
      <c r="R99" s="57">
        <v>8.9999999999999993E-3</v>
      </c>
      <c r="S99" s="57">
        <v>1.2030000000000001</v>
      </c>
      <c r="T99" s="57">
        <v>7.0000000000000007E-2</v>
      </c>
      <c r="U99" s="57">
        <v>1.2E-2</v>
      </c>
      <c r="V99" s="57">
        <v>0.191</v>
      </c>
      <c r="W99" s="57">
        <v>1.2999999999999999E-2</v>
      </c>
      <c r="X99" s="57">
        <v>1E-3</v>
      </c>
      <c r="Y99" s="57">
        <v>1E-3</v>
      </c>
      <c r="Z99" s="57">
        <v>2.5000000000000001E-2</v>
      </c>
      <c r="AA99" s="57">
        <v>3.0000000000000001E-3</v>
      </c>
      <c r="AB99" s="57">
        <v>2.5000000000000001E-2</v>
      </c>
      <c r="AC99" s="57">
        <v>0.126</v>
      </c>
      <c r="AD99" s="57">
        <v>1E-3</v>
      </c>
      <c r="AE99" s="57">
        <v>4.7E-2</v>
      </c>
      <c r="AF99" s="57"/>
      <c r="AG99" s="57"/>
      <c r="AH99" s="57">
        <v>0.156</v>
      </c>
      <c r="AI99" s="57"/>
      <c r="AJ99" s="57">
        <v>8.9999999999999993E-3</v>
      </c>
      <c r="AK99" s="57"/>
      <c r="AL99" s="57">
        <v>4.0000000000000001E-3</v>
      </c>
      <c r="AM99" s="57">
        <v>4.0000000000000001E-3</v>
      </c>
      <c r="AN99" s="57"/>
      <c r="AO99" s="57">
        <v>3.0000000000000001E-3</v>
      </c>
      <c r="AP99" s="57">
        <v>1E-3</v>
      </c>
      <c r="AQ99" s="57">
        <v>8.0000000000000002E-3</v>
      </c>
      <c r="AR99" s="57">
        <v>5.0000000000000001E-3</v>
      </c>
      <c r="AS99" s="57">
        <v>1E-3</v>
      </c>
      <c r="AT99" s="57">
        <v>3.3309999999999986</v>
      </c>
      <c r="AU99" s="168">
        <f>M99+AT99</f>
        <v>5.8389999999999986</v>
      </c>
      <c r="AV99" s="35">
        <v>510</v>
      </c>
      <c r="AW99" s="56">
        <f>AU99*AV99</f>
        <v>2977.8899999999994</v>
      </c>
      <c r="AX99" s="56">
        <f>(D99+N99)*AV99</f>
        <v>1954.8300000000002</v>
      </c>
      <c r="AY99" s="56">
        <f>(E99+AT99-N99)*AV99</f>
        <v>1023.0599999999993</v>
      </c>
    </row>
    <row r="100" spans="1:51" s="21" customFormat="1" ht="25.5" x14ac:dyDescent="0.2">
      <c r="A100" s="162" t="s">
        <v>155</v>
      </c>
      <c r="B100" s="23"/>
      <c r="C100" s="68" t="s">
        <v>236</v>
      </c>
      <c r="D100" s="166">
        <v>49.593000000000004</v>
      </c>
      <c r="E100" s="57">
        <f>SUM(I100:L100)</f>
        <v>1.4330000000000001</v>
      </c>
      <c r="F100" s="57"/>
      <c r="G100" s="57"/>
      <c r="H100" s="57"/>
      <c r="I100" s="57">
        <v>0.24399999999999999</v>
      </c>
      <c r="J100" s="57">
        <v>0.42699999999999999</v>
      </c>
      <c r="K100" s="57">
        <v>0.48799999999999999</v>
      </c>
      <c r="L100" s="57">
        <v>0.27400000000000002</v>
      </c>
      <c r="M100" s="57">
        <f>D100+E100</f>
        <v>51.026000000000003</v>
      </c>
      <c r="N100" s="57">
        <v>28.343</v>
      </c>
      <c r="O100" s="57">
        <v>6.0999999999999999E-2</v>
      </c>
      <c r="P100" s="57">
        <v>0.183</v>
      </c>
      <c r="Q100" s="57">
        <v>0.14099999999999999</v>
      </c>
      <c r="R100" s="57">
        <v>0.182</v>
      </c>
      <c r="S100" s="57">
        <v>24.460999999999999</v>
      </c>
      <c r="T100" s="57">
        <v>1.423</v>
      </c>
      <c r="U100" s="57">
        <v>0.24399999999999999</v>
      </c>
      <c r="V100" s="57">
        <v>3.8820000000000001</v>
      </c>
      <c r="W100" s="57">
        <v>0.26500000000000001</v>
      </c>
      <c r="X100" s="57">
        <v>0.02</v>
      </c>
      <c r="Y100" s="57">
        <v>1.9E-2</v>
      </c>
      <c r="Z100" s="57">
        <v>0.50900000000000001</v>
      </c>
      <c r="AA100" s="57">
        <v>6.0999999999999999E-2</v>
      </c>
      <c r="AB100" s="57">
        <v>0.50700000000000001</v>
      </c>
      <c r="AC100" s="57">
        <v>2.5609999999999999</v>
      </c>
      <c r="AD100" s="57">
        <v>2.1000000000000001E-2</v>
      </c>
      <c r="AE100" s="57">
        <v>0.95499999999999996</v>
      </c>
      <c r="AF100" s="57"/>
      <c r="AG100" s="57"/>
      <c r="AH100" s="57">
        <v>3.1720000000000002</v>
      </c>
      <c r="AI100" s="57"/>
      <c r="AJ100" s="57">
        <v>0.183</v>
      </c>
      <c r="AK100" s="57"/>
      <c r="AL100" s="57">
        <v>0.08</v>
      </c>
      <c r="AM100" s="57">
        <v>0.08</v>
      </c>
      <c r="AN100" s="57"/>
      <c r="AO100" s="57">
        <v>0.06</v>
      </c>
      <c r="AP100" s="57">
        <v>0.02</v>
      </c>
      <c r="AQ100" s="57">
        <v>0.16300000000000001</v>
      </c>
      <c r="AR100" s="57">
        <v>0.10100000000000001</v>
      </c>
      <c r="AS100" s="57">
        <v>2E-3</v>
      </c>
      <c r="AT100" s="57">
        <f>SUM(N100:AS100)</f>
        <v>67.698999999999984</v>
      </c>
      <c r="AU100" s="168">
        <f>M100+AT100</f>
        <v>118.72499999999999</v>
      </c>
      <c r="AV100" s="35">
        <v>0</v>
      </c>
      <c r="AW100" s="56">
        <f>AU100*AV100</f>
        <v>0</v>
      </c>
      <c r="AX100" s="56">
        <f>(D100+N100)*AV100</f>
        <v>0</v>
      </c>
      <c r="AY100" s="56">
        <f>(E100+AT100-N100)*AV100</f>
        <v>0</v>
      </c>
    </row>
    <row r="101" spans="1:51" s="21" customFormat="1" x14ac:dyDescent="0.25">
      <c r="A101" s="162" t="s">
        <v>156</v>
      </c>
      <c r="B101" s="23"/>
      <c r="C101" s="15" t="s">
        <v>229</v>
      </c>
      <c r="D101" s="166">
        <v>8.1300000000000008</v>
      </c>
      <c r="E101" s="57">
        <f>SUM(I101:L101)</f>
        <v>0.23</v>
      </c>
      <c r="F101" s="57"/>
      <c r="G101" s="57"/>
      <c r="H101" s="57"/>
      <c r="I101" s="57">
        <v>0.04</v>
      </c>
      <c r="J101" s="57">
        <v>7.0000000000000007E-2</v>
      </c>
      <c r="K101" s="57">
        <v>0.08</v>
      </c>
      <c r="L101" s="57">
        <v>0.04</v>
      </c>
      <c r="M101" s="57">
        <f>D101+E101</f>
        <v>8.3600000000000012</v>
      </c>
      <c r="N101" s="57">
        <v>4.6449999999999996</v>
      </c>
      <c r="O101" s="57">
        <v>0.01</v>
      </c>
      <c r="P101" s="57">
        <v>0.03</v>
      </c>
      <c r="Q101" s="57">
        <v>2.1999999999999999E-2</v>
      </c>
      <c r="R101" s="57">
        <v>2.9000000000000001E-2</v>
      </c>
      <c r="S101" s="57">
        <v>4.01</v>
      </c>
      <c r="T101" s="57">
        <v>0.23300000000000001</v>
      </c>
      <c r="U101" s="57">
        <v>0.04</v>
      </c>
      <c r="V101" s="57">
        <v>0.63500000000000001</v>
      </c>
      <c r="W101" s="57">
        <v>4.4000000000000004E-2</v>
      </c>
      <c r="X101" s="57">
        <v>3.0000000000000001E-3</v>
      </c>
      <c r="Y101" s="57">
        <v>2E-3</v>
      </c>
      <c r="Z101" s="57">
        <v>8.4000000000000005E-2</v>
      </c>
      <c r="AA101" s="57">
        <v>9.9999999999999985E-3</v>
      </c>
      <c r="AB101" s="57">
        <v>8.2000000000000003E-2</v>
      </c>
      <c r="AC101" s="57">
        <v>0.41899999999999998</v>
      </c>
      <c r="AD101" s="57">
        <v>4.0000000000000001E-3</v>
      </c>
      <c r="AE101" s="57">
        <v>0.156</v>
      </c>
      <c r="AF101" s="57"/>
      <c r="AG101" s="57"/>
      <c r="AH101" s="57">
        <v>0.52</v>
      </c>
      <c r="AI101" s="57"/>
      <c r="AJ101" s="57">
        <v>0.03</v>
      </c>
      <c r="AK101" s="57"/>
      <c r="AL101" s="57">
        <v>1.2E-2</v>
      </c>
      <c r="AM101" s="57">
        <v>1.2E-2</v>
      </c>
      <c r="AN101" s="57"/>
      <c r="AO101" s="57">
        <v>8.9999999999999993E-3</v>
      </c>
      <c r="AP101" s="57">
        <v>3.0000000000000001E-3</v>
      </c>
      <c r="AQ101" s="57">
        <v>2.7E-2</v>
      </c>
      <c r="AR101" s="57">
        <v>1.6E-2</v>
      </c>
      <c r="AS101" s="57">
        <v>3.0000000000000001E-3</v>
      </c>
      <c r="AT101" s="57">
        <f>SUM(N101:AS101)</f>
        <v>11.09</v>
      </c>
      <c r="AU101" s="168">
        <f>M101+AT101</f>
        <v>19.450000000000003</v>
      </c>
      <c r="AV101" s="35">
        <v>1225</v>
      </c>
      <c r="AW101" s="56">
        <f>AU101*AV101</f>
        <v>23826.250000000004</v>
      </c>
      <c r="AX101" s="56">
        <f>(D101+N101)*AV101</f>
        <v>15649.375</v>
      </c>
      <c r="AY101" s="56">
        <f>(E101+AT101-N101)*AV101</f>
        <v>8176.8750000000009</v>
      </c>
    </row>
    <row r="102" spans="1:51" s="21" customFormat="1" ht="30" customHeight="1" x14ac:dyDescent="0.25">
      <c r="A102" s="162" t="s">
        <v>53</v>
      </c>
      <c r="B102" s="23"/>
      <c r="C102" s="15" t="s">
        <v>230</v>
      </c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5"/>
    </row>
    <row r="103" spans="1:51" s="21" customFormat="1" x14ac:dyDescent="0.25">
      <c r="A103" s="162" t="s">
        <v>54</v>
      </c>
      <c r="B103" s="23"/>
      <c r="C103" s="15" t="s">
        <v>231</v>
      </c>
      <c r="D103" s="166">
        <v>8.1300000000000008</v>
      </c>
      <c r="E103" s="57">
        <v>0.23</v>
      </c>
      <c r="F103" s="57"/>
      <c r="G103" s="57"/>
      <c r="H103" s="57"/>
      <c r="I103" s="57">
        <v>0.04</v>
      </c>
      <c r="J103" s="57">
        <v>7.0000000000000007E-2</v>
      </c>
      <c r="K103" s="57">
        <v>0.08</v>
      </c>
      <c r="L103" s="57">
        <v>0.04</v>
      </c>
      <c r="M103" s="57">
        <f>D103+E103</f>
        <v>8.3600000000000012</v>
      </c>
      <c r="N103" s="57">
        <v>4.6449999999999996</v>
      </c>
      <c r="O103" s="57">
        <v>0.01</v>
      </c>
      <c r="P103" s="57">
        <v>0.03</v>
      </c>
      <c r="Q103" s="57">
        <v>2.1999999999999999E-2</v>
      </c>
      <c r="R103" s="57">
        <v>2.9000000000000001E-2</v>
      </c>
      <c r="S103" s="57">
        <v>4.01</v>
      </c>
      <c r="T103" s="57">
        <v>0.23300000000000001</v>
      </c>
      <c r="U103" s="57">
        <v>0.04</v>
      </c>
      <c r="V103" s="57">
        <v>0.63500000000000001</v>
      </c>
      <c r="W103" s="57">
        <v>4.4000000000000004E-2</v>
      </c>
      <c r="X103" s="57">
        <v>3.0000000000000001E-3</v>
      </c>
      <c r="Y103" s="57">
        <v>2E-3</v>
      </c>
      <c r="Z103" s="57">
        <v>8.4000000000000005E-2</v>
      </c>
      <c r="AA103" s="57">
        <v>9.9999999999999985E-3</v>
      </c>
      <c r="AB103" s="57">
        <v>8.2000000000000003E-2</v>
      </c>
      <c r="AC103" s="57">
        <v>0.41899999999999998</v>
      </c>
      <c r="AD103" s="57">
        <v>4.0000000000000001E-3</v>
      </c>
      <c r="AE103" s="57">
        <v>0.156</v>
      </c>
      <c r="AF103" s="57"/>
      <c r="AG103" s="57"/>
      <c r="AH103" s="57">
        <v>0.52</v>
      </c>
      <c r="AI103" s="57"/>
      <c r="AJ103" s="57">
        <v>0.03</v>
      </c>
      <c r="AK103" s="57"/>
      <c r="AL103" s="57">
        <v>1.2E-2</v>
      </c>
      <c r="AM103" s="57">
        <v>1.2E-2</v>
      </c>
      <c r="AN103" s="57"/>
      <c r="AO103" s="57">
        <v>8.9999999999999993E-3</v>
      </c>
      <c r="AP103" s="57">
        <v>3.0000000000000001E-3</v>
      </c>
      <c r="AQ103" s="57">
        <v>2.7E-2</v>
      </c>
      <c r="AR103" s="57">
        <v>1.6E-2</v>
      </c>
      <c r="AS103" s="57">
        <v>3.0000000000000001E-3</v>
      </c>
      <c r="AT103" s="57">
        <f>SUM(N103:AS103)</f>
        <v>11.09</v>
      </c>
      <c r="AU103" s="168">
        <f>M103+AT103</f>
        <v>19.450000000000003</v>
      </c>
      <c r="AV103" s="35">
        <v>3400</v>
      </c>
      <c r="AW103" s="56">
        <f>AU103*AV103</f>
        <v>66130.000000000015</v>
      </c>
      <c r="AX103" s="56">
        <f>(D103+N103)*AV103</f>
        <v>43435</v>
      </c>
      <c r="AY103" s="56">
        <f>(E103+AT103-N103)*AV103</f>
        <v>22695.000000000004</v>
      </c>
    </row>
    <row r="104" spans="1:51" s="21" customFormat="1" x14ac:dyDescent="0.25">
      <c r="A104" s="162" t="s">
        <v>56</v>
      </c>
      <c r="B104" s="23"/>
      <c r="C104" s="15" t="s">
        <v>232</v>
      </c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5"/>
    </row>
    <row r="105" spans="1:51" s="21" customFormat="1" x14ac:dyDescent="0.25">
      <c r="A105" s="162" t="s">
        <v>157</v>
      </c>
      <c r="B105" s="23"/>
      <c r="C105" s="15" t="s">
        <v>225</v>
      </c>
      <c r="D105" s="166">
        <v>8.1300000000000008</v>
      </c>
      <c r="E105" s="57">
        <f>SUM(I105:L105)</f>
        <v>0.23</v>
      </c>
      <c r="F105" s="57"/>
      <c r="G105" s="57"/>
      <c r="H105" s="57"/>
      <c r="I105" s="57">
        <v>0.04</v>
      </c>
      <c r="J105" s="57">
        <v>7.0000000000000007E-2</v>
      </c>
      <c r="K105" s="57">
        <v>0.08</v>
      </c>
      <c r="L105" s="57">
        <v>0.04</v>
      </c>
      <c r="M105" s="57">
        <f>D105+E105</f>
        <v>8.3600000000000012</v>
      </c>
      <c r="N105" s="57">
        <v>4.6449999999999996</v>
      </c>
      <c r="O105" s="57">
        <v>0.01</v>
      </c>
      <c r="P105" s="57">
        <v>0.03</v>
      </c>
      <c r="Q105" s="57">
        <v>2.1999999999999999E-2</v>
      </c>
      <c r="R105" s="57">
        <v>2.9000000000000001E-2</v>
      </c>
      <c r="S105" s="57">
        <v>4.01</v>
      </c>
      <c r="T105" s="57">
        <v>0.23300000000000001</v>
      </c>
      <c r="U105" s="57">
        <v>0.04</v>
      </c>
      <c r="V105" s="57">
        <v>0.63500000000000001</v>
      </c>
      <c r="W105" s="57">
        <v>4.4000000000000004E-2</v>
      </c>
      <c r="X105" s="57">
        <v>3.0000000000000001E-3</v>
      </c>
      <c r="Y105" s="57">
        <v>2E-3</v>
      </c>
      <c r="Z105" s="57">
        <v>8.4000000000000005E-2</v>
      </c>
      <c r="AA105" s="57">
        <v>9.9999999999999985E-3</v>
      </c>
      <c r="AB105" s="57">
        <v>8.2000000000000003E-2</v>
      </c>
      <c r="AC105" s="57">
        <v>0.41899999999999998</v>
      </c>
      <c r="AD105" s="57">
        <v>4.0000000000000001E-3</v>
      </c>
      <c r="AE105" s="57">
        <v>0.156</v>
      </c>
      <c r="AF105" s="57"/>
      <c r="AG105" s="57"/>
      <c r="AH105" s="57">
        <v>0.52</v>
      </c>
      <c r="AI105" s="57"/>
      <c r="AJ105" s="57">
        <v>0.03</v>
      </c>
      <c r="AK105" s="57"/>
      <c r="AL105" s="57">
        <v>1.2E-2</v>
      </c>
      <c r="AM105" s="57">
        <v>1.2E-2</v>
      </c>
      <c r="AN105" s="57"/>
      <c r="AO105" s="57">
        <v>8.9999999999999993E-3</v>
      </c>
      <c r="AP105" s="57">
        <v>3.0000000000000001E-3</v>
      </c>
      <c r="AQ105" s="57">
        <v>2.7E-2</v>
      </c>
      <c r="AR105" s="57">
        <v>1.6E-2</v>
      </c>
      <c r="AS105" s="57">
        <v>3.0000000000000001E-3</v>
      </c>
      <c r="AT105" s="57">
        <f>SUM(N105:AS105)</f>
        <v>11.09</v>
      </c>
      <c r="AU105" s="168">
        <f>M105+AT105</f>
        <v>19.450000000000003</v>
      </c>
      <c r="AV105" s="35">
        <v>3000</v>
      </c>
      <c r="AW105" s="56">
        <f>AU105*AV105</f>
        <v>58350.000000000007</v>
      </c>
      <c r="AX105" s="56">
        <f>(D105+N105)*AV105</f>
        <v>38325</v>
      </c>
      <c r="AY105" s="56">
        <f>(E105+AT105-N105)*AV105</f>
        <v>20025.000000000004</v>
      </c>
    </row>
    <row r="106" spans="1:51" s="21" customFormat="1" x14ac:dyDescent="0.25">
      <c r="A106" s="162" t="s">
        <v>158</v>
      </c>
      <c r="B106" s="23"/>
      <c r="C106" s="15" t="s">
        <v>212</v>
      </c>
      <c r="D106" s="166">
        <v>0.81299999999999994</v>
      </c>
      <c r="E106" s="57">
        <f>SUM(I106:L106)</f>
        <v>2.3E-2</v>
      </c>
      <c r="F106" s="57"/>
      <c r="G106" s="57"/>
      <c r="H106" s="57"/>
      <c r="I106" s="57">
        <v>4.0000000000000001E-3</v>
      </c>
      <c r="J106" s="57">
        <v>7.0000000000000001E-3</v>
      </c>
      <c r="K106" s="57">
        <v>8.0000000000000002E-3</v>
      </c>
      <c r="L106" s="57">
        <v>4.0000000000000001E-3</v>
      </c>
      <c r="M106" s="57">
        <f>D106+E106</f>
        <v>0.83599999999999997</v>
      </c>
      <c r="N106" s="57">
        <v>0.46500000000000002</v>
      </c>
      <c r="O106" s="57">
        <v>1E-3</v>
      </c>
      <c r="P106" s="57">
        <v>3.0000000000000001E-3</v>
      </c>
      <c r="Q106" s="57">
        <v>2E-3</v>
      </c>
      <c r="R106" s="57">
        <v>3.0000000000000001E-3</v>
      </c>
      <c r="S106" s="57">
        <v>0.40100000000000002</v>
      </c>
      <c r="T106" s="57">
        <v>2.3E-2</v>
      </c>
      <c r="U106" s="57">
        <v>4.0000000000000001E-3</v>
      </c>
      <c r="V106" s="57">
        <v>6.4000000000000001E-2</v>
      </c>
      <c r="W106" s="57">
        <v>4.0000000000000001E-3</v>
      </c>
      <c r="X106" s="57">
        <v>2.9999999999999997E-4</v>
      </c>
      <c r="Y106" s="57">
        <v>2.0000000000000001E-4</v>
      </c>
      <c r="Z106" s="57">
        <v>8.0000000000000002E-3</v>
      </c>
      <c r="AA106" s="57">
        <v>1E-3</v>
      </c>
      <c r="AB106" s="57">
        <v>8.0000000000000002E-3</v>
      </c>
      <c r="AC106" s="57">
        <v>4.2000000000000003E-2</v>
      </c>
      <c r="AD106" s="57">
        <v>4.0000000000000002E-4</v>
      </c>
      <c r="AE106" s="57">
        <v>1.6E-2</v>
      </c>
      <c r="AF106" s="57"/>
      <c r="AG106" s="57"/>
      <c r="AH106" s="57">
        <v>5.1999999999999998E-2</v>
      </c>
      <c r="AI106" s="57"/>
      <c r="AJ106" s="57">
        <v>3.0000000000000001E-3</v>
      </c>
      <c r="AK106" s="57"/>
      <c r="AL106" s="57">
        <v>1E-3</v>
      </c>
      <c r="AM106" s="57">
        <v>1E-3</v>
      </c>
      <c r="AN106" s="57"/>
      <c r="AO106" s="57">
        <v>8.9999999999999998E-4</v>
      </c>
      <c r="AP106" s="57">
        <v>2.9999999999999997E-4</v>
      </c>
      <c r="AQ106" s="57">
        <v>3.0000000000000001E-3</v>
      </c>
      <c r="AR106" s="57">
        <v>2E-3</v>
      </c>
      <c r="AS106" s="57">
        <v>2.9999999999999997E-4</v>
      </c>
      <c r="AT106" s="57">
        <f>SUM(N106:AS106)</f>
        <v>1.1093999999999993</v>
      </c>
      <c r="AU106" s="168">
        <f>M106+AT106</f>
        <v>1.9453999999999994</v>
      </c>
      <c r="AV106" s="35">
        <v>5820</v>
      </c>
      <c r="AW106" s="56">
        <f>AU106*AV106</f>
        <v>11322.227999999996</v>
      </c>
      <c r="AX106" s="56">
        <f>(D106+N106)*AV106</f>
        <v>7437.96</v>
      </c>
      <c r="AY106" s="56">
        <f>(E106+AT106-N106)*AV106</f>
        <v>3884.2679999999946</v>
      </c>
    </row>
    <row r="107" spans="1:51" s="21" customFormat="1" ht="25.5" x14ac:dyDescent="0.25">
      <c r="A107" s="162" t="s">
        <v>159</v>
      </c>
      <c r="B107" s="23"/>
      <c r="C107" s="15" t="s">
        <v>235</v>
      </c>
      <c r="D107" s="170">
        <f>52.845+0.104</f>
        <v>52.948999999999998</v>
      </c>
      <c r="E107" s="57">
        <f>SUM(I107:L107)</f>
        <v>1.4979</v>
      </c>
      <c r="F107" s="57"/>
      <c r="G107" s="57"/>
      <c r="H107" s="57"/>
      <c r="I107" s="57">
        <v>0.26050000000000001</v>
      </c>
      <c r="J107" s="57">
        <v>0.45590000000000003</v>
      </c>
      <c r="K107" s="57">
        <v>0.52100000000000002</v>
      </c>
      <c r="L107" s="57">
        <v>0.26050000000000001</v>
      </c>
      <c r="M107" s="56">
        <f>D107+E107</f>
        <v>54.446899999999999</v>
      </c>
      <c r="N107" s="57">
        <f>30.22+0.0597</f>
        <v>30.279699999999998</v>
      </c>
      <c r="O107" s="57">
        <f>0.065+0.0001</f>
        <v>6.5100000000000005E-2</v>
      </c>
      <c r="P107" s="57">
        <f>0.195+0.0004</f>
        <v>0.19540000000000002</v>
      </c>
      <c r="Q107" s="57">
        <f>0.132+0.0003</f>
        <v>0.1323</v>
      </c>
      <c r="R107" s="57">
        <f>0.194+0.0004</f>
        <v>0.19440000000000002</v>
      </c>
      <c r="S107" s="57">
        <f>26.065+0.052</f>
        <v>26.117000000000001</v>
      </c>
      <c r="T107" s="57">
        <f>1.498+0.003</f>
        <v>1.5009999999999999</v>
      </c>
      <c r="U107" s="57">
        <f>0.26+0.0005</f>
        <v>0.26050000000000001</v>
      </c>
      <c r="V107" s="57">
        <f>4.155+0.008</f>
        <v>4.1630000000000003</v>
      </c>
      <c r="W107" s="57">
        <f>0.264+0.0005</f>
        <v>0.26450000000000001</v>
      </c>
      <c r="X107" s="57">
        <v>0.02</v>
      </c>
      <c r="Y107" s="57">
        <v>1.2999999999999999E-2</v>
      </c>
      <c r="Z107" s="57">
        <f>0.524+0.001</f>
        <v>0.52500000000000002</v>
      </c>
      <c r="AA107" s="57">
        <f>0.065+0.0001</f>
        <v>6.5100000000000005E-2</v>
      </c>
      <c r="AB107" s="57">
        <f>0.522+0.001</f>
        <v>0.52300000000000002</v>
      </c>
      <c r="AC107" s="57">
        <f>2.729+0.005</f>
        <v>2.734</v>
      </c>
      <c r="AD107" s="57">
        <v>2.5999999999999999E-2</v>
      </c>
      <c r="AE107" s="57">
        <f>1.036+0.002</f>
        <v>1.038</v>
      </c>
      <c r="AF107" s="57"/>
      <c r="AG107" s="57"/>
      <c r="AH107" s="57">
        <f>3.38+0.007</f>
        <v>3.387</v>
      </c>
      <c r="AI107" s="57"/>
      <c r="AJ107" s="57">
        <f>0.195+0.0004</f>
        <v>0.19540000000000002</v>
      </c>
      <c r="AK107" s="57"/>
      <c r="AL107" s="57">
        <f>0.067+0.0001</f>
        <v>6.7100000000000007E-2</v>
      </c>
      <c r="AM107" s="57">
        <f>0.067+0.0001</f>
        <v>6.7100000000000007E-2</v>
      </c>
      <c r="AN107" s="57"/>
      <c r="AO107" s="57">
        <v>5.8999999999999997E-2</v>
      </c>
      <c r="AP107" s="57">
        <v>0.02</v>
      </c>
      <c r="AQ107" s="57">
        <v>0.192</v>
      </c>
      <c r="AR107" s="57">
        <v>0.126</v>
      </c>
      <c r="AS107" s="57">
        <v>0.02</v>
      </c>
      <c r="AT107" s="57">
        <f>SUM(N107:AS107)</f>
        <v>72.250599999999977</v>
      </c>
      <c r="AU107" s="168">
        <f>M109+AT107</f>
        <v>126.69749999999998</v>
      </c>
      <c r="AV107" s="35">
        <v>30</v>
      </c>
      <c r="AW107" s="56">
        <f>AU107*AV107</f>
        <v>3800.9249999999993</v>
      </c>
      <c r="AX107" s="56">
        <f>(D107+N107)*AV107</f>
        <v>2496.8609999999999</v>
      </c>
      <c r="AY107" s="56">
        <f>(E107+AT107-N107)*AV107</f>
        <v>1304.0639999999994</v>
      </c>
    </row>
    <row r="108" spans="1:51" s="21" customFormat="1" ht="25.5" x14ac:dyDescent="0.25">
      <c r="A108" s="162" t="s">
        <v>58</v>
      </c>
      <c r="B108" s="23"/>
      <c r="C108" s="15" t="s">
        <v>233</v>
      </c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5"/>
    </row>
    <row r="109" spans="1:51" s="21" customFormat="1" x14ac:dyDescent="0.25">
      <c r="A109" s="162" t="s">
        <v>62</v>
      </c>
      <c r="B109" s="23"/>
      <c r="C109" s="69" t="s">
        <v>225</v>
      </c>
      <c r="D109" s="166">
        <v>8.1300000000000008</v>
      </c>
      <c r="E109" s="57">
        <f>SUM(I109:L109)</f>
        <v>0.23</v>
      </c>
      <c r="F109" s="57"/>
      <c r="G109" s="57"/>
      <c r="H109" s="57"/>
      <c r="I109" s="57">
        <v>0.04</v>
      </c>
      <c r="J109" s="57">
        <v>7.0000000000000007E-2</v>
      </c>
      <c r="K109" s="57">
        <v>0.08</v>
      </c>
      <c r="L109" s="57">
        <v>0.04</v>
      </c>
      <c r="M109" s="57">
        <f>D107+E107</f>
        <v>54.446899999999999</v>
      </c>
      <c r="N109" s="57">
        <v>4.6449999999999996</v>
      </c>
      <c r="O109" s="57">
        <v>0.01</v>
      </c>
      <c r="P109" s="57">
        <v>0.03</v>
      </c>
      <c r="Q109" s="57">
        <v>2.1999999999999999E-2</v>
      </c>
      <c r="R109" s="57">
        <v>2.9000000000000001E-2</v>
      </c>
      <c r="S109" s="57">
        <v>4.01</v>
      </c>
      <c r="T109" s="57">
        <v>0.23300000000000001</v>
      </c>
      <c r="U109" s="57">
        <v>0.04</v>
      </c>
      <c r="V109" s="57">
        <v>0.63500000000000001</v>
      </c>
      <c r="W109" s="57">
        <v>4.4000000000000004E-2</v>
      </c>
      <c r="X109" s="57">
        <v>3.0000000000000001E-3</v>
      </c>
      <c r="Y109" s="57">
        <v>2E-3</v>
      </c>
      <c r="Z109" s="57">
        <v>8.4000000000000005E-2</v>
      </c>
      <c r="AA109" s="57">
        <v>9.9999999999999985E-3</v>
      </c>
      <c r="AB109" s="57">
        <v>8.2000000000000003E-2</v>
      </c>
      <c r="AC109" s="57">
        <v>0.41899999999999998</v>
      </c>
      <c r="AD109" s="57">
        <v>4.0000000000000001E-3</v>
      </c>
      <c r="AE109" s="57">
        <v>0.156</v>
      </c>
      <c r="AF109" s="57"/>
      <c r="AG109" s="57"/>
      <c r="AH109" s="57">
        <v>0.52</v>
      </c>
      <c r="AI109" s="57"/>
      <c r="AJ109" s="57">
        <v>0.03</v>
      </c>
      <c r="AK109" s="57"/>
      <c r="AL109" s="57">
        <v>1.2E-2</v>
      </c>
      <c r="AM109" s="57">
        <v>1.2E-2</v>
      </c>
      <c r="AN109" s="57"/>
      <c r="AO109" s="57">
        <v>8.9999999999999993E-3</v>
      </c>
      <c r="AP109" s="57">
        <v>3.0000000000000001E-3</v>
      </c>
      <c r="AQ109" s="57">
        <v>2.7E-2</v>
      </c>
      <c r="AR109" s="57">
        <v>1.6E-2</v>
      </c>
      <c r="AS109" s="57">
        <v>3.0000000000000001E-3</v>
      </c>
      <c r="AT109" s="57">
        <f>SUM(N109:AS109)</f>
        <v>11.09</v>
      </c>
      <c r="AU109" s="168">
        <f>M111+AT109</f>
        <v>19.450000000000003</v>
      </c>
      <c r="AV109" s="35">
        <v>30</v>
      </c>
      <c r="AW109" s="56">
        <f>AU109*AV109</f>
        <v>583.50000000000011</v>
      </c>
      <c r="AX109" s="56">
        <f>(D109+N109)*AV109</f>
        <v>383.25</v>
      </c>
      <c r="AY109" s="56">
        <f>(E109+AT109-N109)*AV109</f>
        <v>200.25000000000003</v>
      </c>
    </row>
    <row r="110" spans="1:51" s="21" customFormat="1" x14ac:dyDescent="0.25">
      <c r="A110" s="162" t="s">
        <v>64</v>
      </c>
      <c r="B110" s="23"/>
      <c r="C110" s="69" t="s">
        <v>232</v>
      </c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5"/>
    </row>
    <row r="111" spans="1:51" s="21" customFormat="1" x14ac:dyDescent="0.25">
      <c r="A111" s="162" t="s">
        <v>160</v>
      </c>
      <c r="B111" s="23"/>
      <c r="C111" s="15" t="s">
        <v>225</v>
      </c>
      <c r="D111" s="166">
        <v>8.1300000000000008</v>
      </c>
      <c r="E111" s="57">
        <f>SUM(I111:L111)</f>
        <v>0.23</v>
      </c>
      <c r="F111" s="57"/>
      <c r="G111" s="57"/>
      <c r="H111" s="57"/>
      <c r="I111" s="57">
        <v>0.04</v>
      </c>
      <c r="J111" s="57">
        <v>7.0000000000000007E-2</v>
      </c>
      <c r="K111" s="57">
        <v>0.08</v>
      </c>
      <c r="L111" s="57">
        <v>0.04</v>
      </c>
      <c r="M111" s="57">
        <f>D111+E111</f>
        <v>8.3600000000000012</v>
      </c>
      <c r="N111" s="57">
        <v>4.6449999999999996</v>
      </c>
      <c r="O111" s="57">
        <v>0.01</v>
      </c>
      <c r="P111" s="57">
        <v>0.03</v>
      </c>
      <c r="Q111" s="57">
        <v>2.1999999999999999E-2</v>
      </c>
      <c r="R111" s="57">
        <v>2.9000000000000001E-2</v>
      </c>
      <c r="S111" s="57">
        <v>4.01</v>
      </c>
      <c r="T111" s="57">
        <v>0.23300000000000001</v>
      </c>
      <c r="U111" s="57">
        <v>0.04</v>
      </c>
      <c r="V111" s="57">
        <v>0.63500000000000001</v>
      </c>
      <c r="W111" s="57">
        <v>4.4000000000000004E-2</v>
      </c>
      <c r="X111" s="57">
        <v>3.0000000000000001E-3</v>
      </c>
      <c r="Y111" s="57">
        <v>2E-3</v>
      </c>
      <c r="Z111" s="57">
        <v>8.4000000000000005E-2</v>
      </c>
      <c r="AA111" s="57">
        <v>9.9999999999999985E-3</v>
      </c>
      <c r="AB111" s="57">
        <v>8.2000000000000003E-2</v>
      </c>
      <c r="AC111" s="57">
        <v>0.41899999999999998</v>
      </c>
      <c r="AD111" s="57">
        <v>4.0000000000000001E-3</v>
      </c>
      <c r="AE111" s="57">
        <v>0.156</v>
      </c>
      <c r="AF111" s="57"/>
      <c r="AG111" s="57"/>
      <c r="AH111" s="57">
        <v>0.52</v>
      </c>
      <c r="AI111" s="57"/>
      <c r="AJ111" s="57">
        <v>0.03</v>
      </c>
      <c r="AK111" s="57"/>
      <c r="AL111" s="57">
        <v>1.2E-2</v>
      </c>
      <c r="AM111" s="57">
        <v>1.2E-2</v>
      </c>
      <c r="AN111" s="57"/>
      <c r="AO111" s="57">
        <v>8.9999999999999993E-3</v>
      </c>
      <c r="AP111" s="57">
        <v>3.0000000000000001E-3</v>
      </c>
      <c r="AQ111" s="57">
        <v>2.7E-2</v>
      </c>
      <c r="AR111" s="57">
        <v>1.6E-2</v>
      </c>
      <c r="AS111" s="57">
        <v>3.0000000000000001E-3</v>
      </c>
      <c r="AT111" s="57">
        <f>SUM(N111:AS111)</f>
        <v>11.09</v>
      </c>
      <c r="AU111" s="168">
        <f>M111+AT111</f>
        <v>19.450000000000003</v>
      </c>
      <c r="AV111" s="35">
        <v>100</v>
      </c>
      <c r="AW111" s="56">
        <f>AU111*AV111</f>
        <v>1945.0000000000002</v>
      </c>
      <c r="AX111" s="56">
        <f>(D111+N111)*AV111</f>
        <v>1277.5</v>
      </c>
      <c r="AY111" s="56">
        <f>(E111+AT111-N111)*AV111</f>
        <v>667.50000000000011</v>
      </c>
    </row>
    <row r="112" spans="1:51" s="21" customFormat="1" x14ac:dyDescent="0.25">
      <c r="A112" s="162" t="s">
        <v>161</v>
      </c>
      <c r="B112" s="23"/>
      <c r="C112" s="15" t="s">
        <v>212</v>
      </c>
      <c r="D112" s="166">
        <v>0.81299999999999994</v>
      </c>
      <c r="E112" s="57">
        <f>SUM(I112:L112)</f>
        <v>2.3E-2</v>
      </c>
      <c r="F112" s="57"/>
      <c r="G112" s="57"/>
      <c r="H112" s="57"/>
      <c r="I112" s="57">
        <v>4.0000000000000001E-3</v>
      </c>
      <c r="J112" s="57">
        <v>7.0000000000000001E-3</v>
      </c>
      <c r="K112" s="57">
        <v>8.0000000000000002E-3</v>
      </c>
      <c r="L112" s="57">
        <v>4.0000000000000001E-3</v>
      </c>
      <c r="M112" s="57">
        <f>D112+E112</f>
        <v>0.83599999999999997</v>
      </c>
      <c r="N112" s="57">
        <v>0.46500000000000002</v>
      </c>
      <c r="O112" s="57">
        <v>1E-3</v>
      </c>
      <c r="P112" s="57">
        <v>3.0000000000000001E-3</v>
      </c>
      <c r="Q112" s="57">
        <v>2E-3</v>
      </c>
      <c r="R112" s="57">
        <v>3.0000000000000001E-3</v>
      </c>
      <c r="S112" s="57">
        <v>0.40100000000000002</v>
      </c>
      <c r="T112" s="57">
        <v>2.3E-2</v>
      </c>
      <c r="U112" s="57">
        <v>4.0000000000000001E-3</v>
      </c>
      <c r="V112" s="57">
        <v>6.4000000000000001E-2</v>
      </c>
      <c r="W112" s="57">
        <v>4.0000000000000001E-3</v>
      </c>
      <c r="X112" s="57">
        <v>2.9999999999999997E-4</v>
      </c>
      <c r="Y112" s="57">
        <v>2.0000000000000001E-4</v>
      </c>
      <c r="Z112" s="57">
        <v>8.0000000000000002E-3</v>
      </c>
      <c r="AA112" s="57">
        <v>1E-3</v>
      </c>
      <c r="AB112" s="57">
        <v>8.0000000000000002E-3</v>
      </c>
      <c r="AC112" s="57">
        <v>4.2000000000000003E-2</v>
      </c>
      <c r="AD112" s="57">
        <v>4.0000000000000002E-4</v>
      </c>
      <c r="AE112" s="57">
        <v>1.6E-2</v>
      </c>
      <c r="AF112" s="57"/>
      <c r="AG112" s="57"/>
      <c r="AH112" s="57">
        <v>5.1999999999999998E-2</v>
      </c>
      <c r="AI112" s="57"/>
      <c r="AJ112" s="57">
        <v>3.0000000000000001E-3</v>
      </c>
      <c r="AK112" s="57"/>
      <c r="AL112" s="57">
        <v>1E-3</v>
      </c>
      <c r="AM112" s="57">
        <v>1E-3</v>
      </c>
      <c r="AN112" s="57"/>
      <c r="AO112" s="57">
        <v>8.9999999999999998E-4</v>
      </c>
      <c r="AP112" s="57">
        <v>2.9999999999999997E-4</v>
      </c>
      <c r="AQ112" s="57">
        <v>3.0000000000000001E-3</v>
      </c>
      <c r="AR112" s="57">
        <v>2E-3</v>
      </c>
      <c r="AS112" s="57">
        <v>2.9999999999999997E-4</v>
      </c>
      <c r="AT112" s="57">
        <f>SUM(N112:AS112)</f>
        <v>1.1093999999999993</v>
      </c>
      <c r="AU112" s="168">
        <f>M112+AT112</f>
        <v>1.9453999999999994</v>
      </c>
      <c r="AV112" s="35">
        <v>37</v>
      </c>
      <c r="AW112" s="56">
        <f>AU112*AV112</f>
        <v>71.979799999999983</v>
      </c>
      <c r="AX112" s="56">
        <f>(D112+N112)*AV112</f>
        <v>47.286000000000001</v>
      </c>
      <c r="AY112" s="56">
        <f>(E112+AT112-N112)*AV112</f>
        <v>24.693799999999968</v>
      </c>
    </row>
    <row r="113" spans="1:52" s="21" customFormat="1" ht="25.5" x14ac:dyDescent="0.25">
      <c r="A113" s="162" t="s">
        <v>162</v>
      </c>
      <c r="B113" s="23"/>
      <c r="C113" s="15" t="s">
        <v>234</v>
      </c>
      <c r="D113" s="170">
        <v>52.948999999999998</v>
      </c>
      <c r="E113" s="57">
        <f>SUM(I113:L113)</f>
        <v>1.4979</v>
      </c>
      <c r="F113" s="57"/>
      <c r="G113" s="57"/>
      <c r="H113" s="57"/>
      <c r="I113" s="57">
        <v>0.26050000000000001</v>
      </c>
      <c r="J113" s="57">
        <v>0.45590000000000003</v>
      </c>
      <c r="K113" s="57">
        <v>0.52100000000000002</v>
      </c>
      <c r="L113" s="57">
        <v>0.26050000000000001</v>
      </c>
      <c r="M113" s="56">
        <f>D113+E113</f>
        <v>54.446899999999999</v>
      </c>
      <c r="N113" s="57">
        <v>30.279699999999998</v>
      </c>
      <c r="O113" s="57">
        <v>6.5100000000000005E-2</v>
      </c>
      <c r="P113" s="57">
        <v>0.19540000000000002</v>
      </c>
      <c r="Q113" s="57">
        <v>0.1323</v>
      </c>
      <c r="R113" s="57">
        <v>0.19440000000000002</v>
      </c>
      <c r="S113" s="57">
        <v>26.117000000000001</v>
      </c>
      <c r="T113" s="57">
        <v>1.5009999999999999</v>
      </c>
      <c r="U113" s="57">
        <v>0.26050000000000001</v>
      </c>
      <c r="V113" s="57">
        <v>4.1630000000000003</v>
      </c>
      <c r="W113" s="57">
        <v>0.26450000000000001</v>
      </c>
      <c r="X113" s="57">
        <v>0.02</v>
      </c>
      <c r="Y113" s="57">
        <v>1.2999999999999999E-2</v>
      </c>
      <c r="Z113" s="57">
        <v>0.52500000000000002</v>
      </c>
      <c r="AA113" s="57">
        <v>6.5100000000000005E-2</v>
      </c>
      <c r="AB113" s="57">
        <v>0.52300000000000002</v>
      </c>
      <c r="AC113" s="57">
        <v>2.734</v>
      </c>
      <c r="AD113" s="57">
        <v>2.5999999999999999E-2</v>
      </c>
      <c r="AE113" s="57">
        <v>1.038</v>
      </c>
      <c r="AF113" s="57"/>
      <c r="AG113" s="57"/>
      <c r="AH113" s="57">
        <v>3.387</v>
      </c>
      <c r="AI113" s="57"/>
      <c r="AJ113" s="57">
        <v>0.19540000000000002</v>
      </c>
      <c r="AK113" s="57"/>
      <c r="AL113" s="57">
        <v>6.7100000000000007E-2</v>
      </c>
      <c r="AM113" s="57">
        <v>6.7100000000000007E-2</v>
      </c>
      <c r="AN113" s="57"/>
      <c r="AO113" s="57">
        <v>5.8999999999999997E-2</v>
      </c>
      <c r="AP113" s="57">
        <v>0.02</v>
      </c>
      <c r="AQ113" s="57">
        <v>0.192</v>
      </c>
      <c r="AR113" s="57">
        <v>0.126</v>
      </c>
      <c r="AS113" s="57">
        <v>0.02</v>
      </c>
      <c r="AT113" s="57">
        <f>SUM(N113:AS113)</f>
        <v>72.250599999999977</v>
      </c>
      <c r="AU113" s="168">
        <f>M113+AT113</f>
        <v>126.69749999999998</v>
      </c>
      <c r="AV113" s="35">
        <v>0</v>
      </c>
      <c r="AW113" s="56">
        <f>AU113*AV113</f>
        <v>0</v>
      </c>
      <c r="AX113" s="56">
        <f>(D113+N113)*AV113</f>
        <v>0</v>
      </c>
      <c r="AY113" s="56">
        <f>(E113+AT113-N113)*AV113</f>
        <v>0</v>
      </c>
    </row>
    <row r="114" spans="1:52" s="21" customFormat="1" ht="38.25" x14ac:dyDescent="0.25">
      <c r="A114" s="171" t="s">
        <v>67</v>
      </c>
      <c r="B114" s="23"/>
      <c r="C114" s="62" t="s">
        <v>237</v>
      </c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5"/>
    </row>
    <row r="115" spans="1:52" s="21" customFormat="1" x14ac:dyDescent="0.25">
      <c r="A115" s="162" t="s">
        <v>61</v>
      </c>
      <c r="B115" s="23"/>
      <c r="C115" s="15" t="s">
        <v>228</v>
      </c>
      <c r="D115" s="166">
        <v>8.1300000000000008</v>
      </c>
      <c r="E115" s="57">
        <f t="shared" ref="E115:E120" si="7">SUM(I115:L115)</f>
        <v>0.23</v>
      </c>
      <c r="F115" s="57"/>
      <c r="G115" s="57"/>
      <c r="H115" s="57"/>
      <c r="I115" s="57">
        <v>0.04</v>
      </c>
      <c r="J115" s="57">
        <v>7.0000000000000007E-2</v>
      </c>
      <c r="K115" s="57">
        <v>0.08</v>
      </c>
      <c r="L115" s="57">
        <v>0.04</v>
      </c>
      <c r="M115" s="57">
        <f t="shared" ref="M115:M120" si="8">D115+E115</f>
        <v>8.3600000000000012</v>
      </c>
      <c r="N115" s="57">
        <v>4.6449999999999996</v>
      </c>
      <c r="O115" s="57">
        <v>0.01</v>
      </c>
      <c r="P115" s="57">
        <v>0.03</v>
      </c>
      <c r="Q115" s="57">
        <v>2.1999999999999999E-2</v>
      </c>
      <c r="R115" s="57">
        <v>2.9000000000000001E-2</v>
      </c>
      <c r="S115" s="57">
        <v>4.01</v>
      </c>
      <c r="T115" s="57">
        <v>0.23300000000000001</v>
      </c>
      <c r="U115" s="57">
        <v>0.04</v>
      </c>
      <c r="V115" s="57">
        <v>0.63500000000000001</v>
      </c>
      <c r="W115" s="57">
        <v>4.4000000000000004E-2</v>
      </c>
      <c r="X115" s="57">
        <v>3.0000000000000001E-3</v>
      </c>
      <c r="Y115" s="57">
        <v>2E-3</v>
      </c>
      <c r="Z115" s="57">
        <v>8.4000000000000005E-2</v>
      </c>
      <c r="AA115" s="57">
        <v>9.9999999999999985E-3</v>
      </c>
      <c r="AB115" s="57">
        <v>8.2000000000000003E-2</v>
      </c>
      <c r="AC115" s="57">
        <v>0.41899999999999998</v>
      </c>
      <c r="AD115" s="57">
        <v>4.0000000000000001E-3</v>
      </c>
      <c r="AE115" s="57">
        <v>0.156</v>
      </c>
      <c r="AF115" s="57"/>
      <c r="AG115" s="57"/>
      <c r="AH115" s="57">
        <v>0.52</v>
      </c>
      <c r="AI115" s="57"/>
      <c r="AJ115" s="57">
        <v>0.03</v>
      </c>
      <c r="AK115" s="57"/>
      <c r="AL115" s="57">
        <v>1.2E-2</v>
      </c>
      <c r="AM115" s="57">
        <v>1.2E-2</v>
      </c>
      <c r="AN115" s="57"/>
      <c r="AO115" s="57">
        <v>8.9999999999999993E-3</v>
      </c>
      <c r="AP115" s="57">
        <v>3.0000000000000001E-3</v>
      </c>
      <c r="AQ115" s="57">
        <v>2.7E-2</v>
      </c>
      <c r="AR115" s="57">
        <v>1.6E-2</v>
      </c>
      <c r="AS115" s="57">
        <v>3.0000000000000001E-3</v>
      </c>
      <c r="AT115" s="57">
        <f>SUM(N115:AS115)</f>
        <v>11.09</v>
      </c>
      <c r="AU115" s="168">
        <f t="shared" ref="AU115:AU120" si="9">M115+AT115</f>
        <v>19.450000000000003</v>
      </c>
      <c r="AV115" s="35">
        <v>365</v>
      </c>
      <c r="AW115" s="56">
        <f t="shared" ref="AW115:AW120" si="10">AU115*AV115</f>
        <v>7099.2500000000009</v>
      </c>
      <c r="AX115" s="56">
        <f t="shared" ref="AX115:AX120" si="11">(D115+N115)*AV115</f>
        <v>4662.875</v>
      </c>
      <c r="AY115" s="56">
        <f t="shared" ref="AY115:AY120" si="12">(E115+AT115-N115)*AV115</f>
        <v>2436.3750000000005</v>
      </c>
    </row>
    <row r="116" spans="1:52" s="21" customFormat="1" x14ac:dyDescent="0.25">
      <c r="A116" s="162" t="s">
        <v>63</v>
      </c>
      <c r="B116" s="23"/>
      <c r="C116" s="15" t="s">
        <v>213</v>
      </c>
      <c r="D116" s="166">
        <v>2.4390000000000001</v>
      </c>
      <c r="E116" s="57">
        <f t="shared" si="7"/>
        <v>6.9000000000000006E-2</v>
      </c>
      <c r="F116" s="57"/>
      <c r="G116" s="57"/>
      <c r="H116" s="57"/>
      <c r="I116" s="57">
        <v>1.2E-2</v>
      </c>
      <c r="J116" s="57">
        <v>2.1000000000000001E-2</v>
      </c>
      <c r="K116" s="57">
        <v>2.4E-2</v>
      </c>
      <c r="L116" s="57">
        <v>1.2E-2</v>
      </c>
      <c r="M116" s="57">
        <f t="shared" si="8"/>
        <v>2.508</v>
      </c>
      <c r="N116" s="57">
        <v>1.3939999999999999</v>
      </c>
      <c r="O116" s="57">
        <v>3.0000000000000001E-3</v>
      </c>
      <c r="P116" s="57">
        <v>8.9999999999999993E-3</v>
      </c>
      <c r="Q116" s="57">
        <v>7.0000000000000001E-3</v>
      </c>
      <c r="R116" s="57">
        <v>8.9999999999999993E-3</v>
      </c>
      <c r="S116" s="57">
        <v>1.2030000000000001</v>
      </c>
      <c r="T116" s="57">
        <v>7.0000000000000007E-2</v>
      </c>
      <c r="U116" s="57">
        <v>1.2E-2</v>
      </c>
      <c r="V116" s="57">
        <v>0.191</v>
      </c>
      <c r="W116" s="57">
        <v>1.2999999999999999E-2</v>
      </c>
      <c r="X116" s="57">
        <v>1E-3</v>
      </c>
      <c r="Y116" s="57">
        <v>1E-3</v>
      </c>
      <c r="Z116" s="57">
        <v>2.5000000000000001E-2</v>
      </c>
      <c r="AA116" s="57">
        <v>3.0000000000000001E-3</v>
      </c>
      <c r="AB116" s="57">
        <v>2.5000000000000001E-2</v>
      </c>
      <c r="AC116" s="57">
        <v>0.126</v>
      </c>
      <c r="AD116" s="57">
        <v>1E-3</v>
      </c>
      <c r="AE116" s="57">
        <v>4.7E-2</v>
      </c>
      <c r="AF116" s="57"/>
      <c r="AG116" s="57"/>
      <c r="AH116" s="57">
        <v>0.156</v>
      </c>
      <c r="AI116" s="57"/>
      <c r="AJ116" s="57">
        <v>8.9999999999999993E-3</v>
      </c>
      <c r="AK116" s="57"/>
      <c r="AL116" s="57">
        <v>4.0000000000000001E-3</v>
      </c>
      <c r="AM116" s="57">
        <v>4.0000000000000001E-3</v>
      </c>
      <c r="AN116" s="57"/>
      <c r="AO116" s="57">
        <v>3.0000000000000001E-3</v>
      </c>
      <c r="AP116" s="57">
        <v>1E-3</v>
      </c>
      <c r="AQ116" s="57">
        <v>8.0000000000000002E-3</v>
      </c>
      <c r="AR116" s="57">
        <v>5.0000000000000001E-3</v>
      </c>
      <c r="AS116" s="57">
        <v>1E-3</v>
      </c>
      <c r="AT116" s="57">
        <v>3.3309999999999986</v>
      </c>
      <c r="AU116" s="168">
        <f t="shared" si="9"/>
        <v>5.8389999999999986</v>
      </c>
      <c r="AV116" s="35">
        <v>2993</v>
      </c>
      <c r="AW116" s="56">
        <f t="shared" si="10"/>
        <v>17476.126999999997</v>
      </c>
      <c r="AX116" s="56">
        <f t="shared" si="11"/>
        <v>11472.169</v>
      </c>
      <c r="AY116" s="56">
        <f t="shared" si="12"/>
        <v>6003.9579999999951</v>
      </c>
    </row>
    <row r="117" spans="1:52" s="21" customFormat="1" ht="25.5" x14ac:dyDescent="0.25">
      <c r="A117" s="162" t="s">
        <v>65</v>
      </c>
      <c r="B117" s="23"/>
      <c r="C117" s="15" t="s">
        <v>238</v>
      </c>
      <c r="D117" s="166">
        <v>49.593000000000004</v>
      </c>
      <c r="E117" s="57">
        <f t="shared" si="7"/>
        <v>1.4330000000000001</v>
      </c>
      <c r="F117" s="57"/>
      <c r="G117" s="57"/>
      <c r="H117" s="57"/>
      <c r="I117" s="57">
        <v>0.24399999999999999</v>
      </c>
      <c r="J117" s="57">
        <v>0.42699999999999999</v>
      </c>
      <c r="K117" s="57">
        <v>0.48799999999999999</v>
      </c>
      <c r="L117" s="57">
        <v>0.27400000000000002</v>
      </c>
      <c r="M117" s="57">
        <f t="shared" si="8"/>
        <v>51.026000000000003</v>
      </c>
      <c r="N117" s="57">
        <v>28.343</v>
      </c>
      <c r="O117" s="57">
        <v>6.0999999999999999E-2</v>
      </c>
      <c r="P117" s="57">
        <v>0.183</v>
      </c>
      <c r="Q117" s="57">
        <v>0.14099999999999999</v>
      </c>
      <c r="R117" s="57">
        <v>0.182</v>
      </c>
      <c r="S117" s="57">
        <v>24.460999999999999</v>
      </c>
      <c r="T117" s="57">
        <v>1.423</v>
      </c>
      <c r="U117" s="57">
        <v>0.24399999999999999</v>
      </c>
      <c r="V117" s="57">
        <v>3.8820000000000001</v>
      </c>
      <c r="W117" s="57">
        <v>0.26500000000000001</v>
      </c>
      <c r="X117" s="57">
        <v>0.02</v>
      </c>
      <c r="Y117" s="57">
        <v>1.9E-2</v>
      </c>
      <c r="Z117" s="57">
        <v>0.50900000000000001</v>
      </c>
      <c r="AA117" s="57">
        <v>6.0999999999999999E-2</v>
      </c>
      <c r="AB117" s="57">
        <v>0.50700000000000001</v>
      </c>
      <c r="AC117" s="57">
        <v>2.5609999999999999</v>
      </c>
      <c r="AD117" s="57">
        <v>2.1000000000000001E-2</v>
      </c>
      <c r="AE117" s="57">
        <v>0.95499999999999996</v>
      </c>
      <c r="AF117" s="57"/>
      <c r="AG117" s="57"/>
      <c r="AH117" s="57">
        <v>3.1720000000000002</v>
      </c>
      <c r="AI117" s="57"/>
      <c r="AJ117" s="57">
        <v>0.183</v>
      </c>
      <c r="AK117" s="57"/>
      <c r="AL117" s="57">
        <v>0.08</v>
      </c>
      <c r="AM117" s="57">
        <v>0.08</v>
      </c>
      <c r="AN117" s="57"/>
      <c r="AO117" s="57">
        <v>0.06</v>
      </c>
      <c r="AP117" s="57">
        <v>0.02</v>
      </c>
      <c r="AQ117" s="57">
        <v>0.16300000000000001</v>
      </c>
      <c r="AR117" s="57">
        <v>0.10100000000000001</v>
      </c>
      <c r="AS117" s="57">
        <v>2E-3</v>
      </c>
      <c r="AT117" s="57">
        <f>SUM(N117:AS117)</f>
        <v>67.698999999999984</v>
      </c>
      <c r="AU117" s="168">
        <f t="shared" si="9"/>
        <v>118.72499999999999</v>
      </c>
      <c r="AV117" s="35">
        <v>2522</v>
      </c>
      <c r="AW117" s="56">
        <f t="shared" si="10"/>
        <v>299424.45</v>
      </c>
      <c r="AX117" s="56">
        <f t="shared" si="11"/>
        <v>196554.592</v>
      </c>
      <c r="AY117" s="56">
        <f t="shared" si="12"/>
        <v>102869.85799999996</v>
      </c>
    </row>
    <row r="118" spans="1:52" s="21" customFormat="1" ht="53.25" customHeight="1" x14ac:dyDescent="0.25">
      <c r="A118" s="162" t="s">
        <v>75</v>
      </c>
      <c r="B118" s="23"/>
      <c r="C118" s="62" t="s">
        <v>239</v>
      </c>
      <c r="D118" s="166">
        <v>8.1300000000000008</v>
      </c>
      <c r="E118" s="57">
        <f t="shared" si="7"/>
        <v>0.23</v>
      </c>
      <c r="F118" s="57"/>
      <c r="G118" s="57"/>
      <c r="H118" s="57"/>
      <c r="I118" s="57">
        <v>0.04</v>
      </c>
      <c r="J118" s="57">
        <v>7.0000000000000007E-2</v>
      </c>
      <c r="K118" s="57">
        <v>0.08</v>
      </c>
      <c r="L118" s="57">
        <v>0.04</v>
      </c>
      <c r="M118" s="57">
        <f t="shared" si="8"/>
        <v>8.3600000000000012</v>
      </c>
      <c r="N118" s="57">
        <v>4.6449999999999996</v>
      </c>
      <c r="O118" s="57">
        <v>0.01</v>
      </c>
      <c r="P118" s="57">
        <v>0.03</v>
      </c>
      <c r="Q118" s="57">
        <v>2.1999999999999999E-2</v>
      </c>
      <c r="R118" s="57">
        <v>2.9000000000000001E-2</v>
      </c>
      <c r="S118" s="57">
        <v>4.01</v>
      </c>
      <c r="T118" s="57">
        <v>0.23300000000000001</v>
      </c>
      <c r="U118" s="57">
        <v>0.04</v>
      </c>
      <c r="V118" s="57">
        <v>0.63500000000000001</v>
      </c>
      <c r="W118" s="57">
        <v>4.4000000000000004E-2</v>
      </c>
      <c r="X118" s="57">
        <v>3.0000000000000001E-3</v>
      </c>
      <c r="Y118" s="57">
        <v>2E-3</v>
      </c>
      <c r="Z118" s="57">
        <v>8.4000000000000005E-2</v>
      </c>
      <c r="AA118" s="172">
        <v>9.9999999999999985E-3</v>
      </c>
      <c r="AB118" s="172">
        <v>8.2000000000000003E-2</v>
      </c>
      <c r="AC118" s="172">
        <v>0.41899999999999998</v>
      </c>
      <c r="AD118" s="172">
        <v>4.0000000000000001E-3</v>
      </c>
      <c r="AE118" s="172">
        <v>0.156</v>
      </c>
      <c r="AF118" s="172"/>
      <c r="AG118" s="172"/>
      <c r="AH118" s="172">
        <v>0.52</v>
      </c>
      <c r="AI118" s="172"/>
      <c r="AJ118" s="172">
        <v>0.03</v>
      </c>
      <c r="AK118" s="172"/>
      <c r="AL118" s="172">
        <v>1.2E-2</v>
      </c>
      <c r="AM118" s="172">
        <v>1.2E-2</v>
      </c>
      <c r="AN118" s="172"/>
      <c r="AO118" s="172">
        <v>8.9999999999999993E-3</v>
      </c>
      <c r="AP118" s="172">
        <v>3.0000000000000001E-3</v>
      </c>
      <c r="AQ118" s="172">
        <v>2.7E-2</v>
      </c>
      <c r="AR118" s="172">
        <v>1.6E-2</v>
      </c>
      <c r="AS118" s="172">
        <v>3.0000000000000001E-3</v>
      </c>
      <c r="AT118" s="172">
        <f>SUM(N118:AS118)</f>
        <v>11.09</v>
      </c>
      <c r="AU118" s="173">
        <f t="shared" si="9"/>
        <v>19.450000000000003</v>
      </c>
      <c r="AV118" s="174">
        <v>0</v>
      </c>
      <c r="AW118" s="175">
        <f t="shared" si="10"/>
        <v>0</v>
      </c>
      <c r="AX118" s="175">
        <f t="shared" si="11"/>
        <v>0</v>
      </c>
      <c r="AY118" s="56">
        <f t="shared" si="12"/>
        <v>0</v>
      </c>
    </row>
    <row r="119" spans="1:52" s="21" customFormat="1" ht="38.25" x14ac:dyDescent="0.25">
      <c r="A119" s="162" t="s">
        <v>74</v>
      </c>
      <c r="B119" s="23"/>
      <c r="C119" s="15" t="s">
        <v>241</v>
      </c>
      <c r="D119" s="166">
        <v>8.1300000000000008</v>
      </c>
      <c r="E119" s="57">
        <f t="shared" si="7"/>
        <v>0.23</v>
      </c>
      <c r="F119" s="57"/>
      <c r="G119" s="57"/>
      <c r="H119" s="57"/>
      <c r="I119" s="57">
        <v>0.04</v>
      </c>
      <c r="J119" s="57">
        <v>7.0000000000000007E-2</v>
      </c>
      <c r="K119" s="57">
        <v>0.08</v>
      </c>
      <c r="L119" s="57">
        <v>0.04</v>
      </c>
      <c r="M119" s="57">
        <f t="shared" si="8"/>
        <v>8.3600000000000012</v>
      </c>
      <c r="N119" s="57">
        <v>4.6449999999999996</v>
      </c>
      <c r="O119" s="57">
        <v>0.01</v>
      </c>
      <c r="P119" s="57">
        <v>0.03</v>
      </c>
      <c r="Q119" s="57">
        <v>2.1999999999999999E-2</v>
      </c>
      <c r="R119" s="57">
        <v>2.9000000000000001E-2</v>
      </c>
      <c r="S119" s="57">
        <v>4.01</v>
      </c>
      <c r="T119" s="57">
        <v>0.23300000000000001</v>
      </c>
      <c r="U119" s="57">
        <v>0.04</v>
      </c>
      <c r="V119" s="57">
        <v>0.63500000000000001</v>
      </c>
      <c r="W119" s="57">
        <v>4.4000000000000004E-2</v>
      </c>
      <c r="X119" s="57">
        <v>3.0000000000000001E-3</v>
      </c>
      <c r="Y119" s="57">
        <v>2E-3</v>
      </c>
      <c r="Z119" s="57">
        <v>8.4000000000000005E-2</v>
      </c>
      <c r="AA119" s="57">
        <v>9.9999999999999985E-3</v>
      </c>
      <c r="AB119" s="57">
        <v>8.2000000000000003E-2</v>
      </c>
      <c r="AC119" s="57">
        <v>0.41899999999999998</v>
      </c>
      <c r="AD119" s="57">
        <v>4.0000000000000001E-3</v>
      </c>
      <c r="AE119" s="57">
        <v>0.156</v>
      </c>
      <c r="AF119" s="57"/>
      <c r="AG119" s="57"/>
      <c r="AH119" s="57">
        <v>0.52</v>
      </c>
      <c r="AI119" s="57"/>
      <c r="AJ119" s="57">
        <v>0.03</v>
      </c>
      <c r="AK119" s="57"/>
      <c r="AL119" s="57">
        <v>1.2E-2</v>
      </c>
      <c r="AM119" s="57">
        <v>1.2E-2</v>
      </c>
      <c r="AN119" s="57"/>
      <c r="AO119" s="57">
        <v>8.9999999999999993E-3</v>
      </c>
      <c r="AP119" s="57">
        <v>3.0000000000000001E-3</v>
      </c>
      <c r="AQ119" s="57">
        <v>2.7E-2</v>
      </c>
      <c r="AR119" s="57">
        <v>1.6E-2</v>
      </c>
      <c r="AS119" s="57">
        <v>3.0000000000000001E-3</v>
      </c>
      <c r="AT119" s="57">
        <f>SUM(N119:AS119)</f>
        <v>11.09</v>
      </c>
      <c r="AU119" s="168">
        <f t="shared" si="9"/>
        <v>19.450000000000003</v>
      </c>
      <c r="AV119" s="35">
        <v>120</v>
      </c>
      <c r="AW119" s="56">
        <f t="shared" si="10"/>
        <v>2334.0000000000005</v>
      </c>
      <c r="AX119" s="56">
        <f t="shared" si="11"/>
        <v>1533</v>
      </c>
      <c r="AY119" s="56">
        <f t="shared" si="12"/>
        <v>801.00000000000011</v>
      </c>
    </row>
    <row r="120" spans="1:52" s="21" customFormat="1" ht="51" x14ac:dyDescent="0.25">
      <c r="A120" s="176" t="s">
        <v>77</v>
      </c>
      <c r="B120" s="25"/>
      <c r="C120" s="15" t="s">
        <v>240</v>
      </c>
      <c r="D120" s="166">
        <v>8.1300000000000008</v>
      </c>
      <c r="E120" s="57">
        <f t="shared" si="7"/>
        <v>0.23</v>
      </c>
      <c r="F120" s="57"/>
      <c r="G120" s="57"/>
      <c r="H120" s="57"/>
      <c r="I120" s="57">
        <v>0.04</v>
      </c>
      <c r="J120" s="57">
        <v>7.0000000000000007E-2</v>
      </c>
      <c r="K120" s="57">
        <v>0.08</v>
      </c>
      <c r="L120" s="57">
        <v>0.04</v>
      </c>
      <c r="M120" s="57">
        <f t="shared" si="8"/>
        <v>8.3600000000000012</v>
      </c>
      <c r="N120" s="57">
        <v>4.6449999999999996</v>
      </c>
      <c r="O120" s="57">
        <v>0.01</v>
      </c>
      <c r="P120" s="57">
        <v>0.03</v>
      </c>
      <c r="Q120" s="57">
        <v>2.1999999999999999E-2</v>
      </c>
      <c r="R120" s="57">
        <v>2.9000000000000001E-2</v>
      </c>
      <c r="S120" s="57">
        <v>4.01</v>
      </c>
      <c r="T120" s="57">
        <v>0.23300000000000001</v>
      </c>
      <c r="U120" s="57">
        <v>0.04</v>
      </c>
      <c r="V120" s="57">
        <v>0.63500000000000001</v>
      </c>
      <c r="W120" s="57">
        <v>4.4000000000000004E-2</v>
      </c>
      <c r="X120" s="57">
        <v>3.0000000000000001E-3</v>
      </c>
      <c r="Y120" s="57">
        <v>2E-3</v>
      </c>
      <c r="Z120" s="57">
        <v>8.4000000000000005E-2</v>
      </c>
      <c r="AA120" s="57">
        <v>9.9999999999999985E-3</v>
      </c>
      <c r="AB120" s="57">
        <v>8.2000000000000003E-2</v>
      </c>
      <c r="AC120" s="57">
        <v>0.41899999999999998</v>
      </c>
      <c r="AD120" s="57">
        <v>4.0000000000000001E-3</v>
      </c>
      <c r="AE120" s="57">
        <v>0.156</v>
      </c>
      <c r="AF120" s="57"/>
      <c r="AG120" s="57"/>
      <c r="AH120" s="57">
        <v>0.52</v>
      </c>
      <c r="AI120" s="57"/>
      <c r="AJ120" s="57">
        <v>0.03</v>
      </c>
      <c r="AK120" s="57"/>
      <c r="AL120" s="57">
        <v>1.2E-2</v>
      </c>
      <c r="AM120" s="57">
        <v>1.2E-2</v>
      </c>
      <c r="AN120" s="57"/>
      <c r="AO120" s="57">
        <v>8.9999999999999993E-3</v>
      </c>
      <c r="AP120" s="57">
        <v>3.0000000000000001E-3</v>
      </c>
      <c r="AQ120" s="57">
        <v>2.7E-2</v>
      </c>
      <c r="AR120" s="57">
        <v>1.6E-2</v>
      </c>
      <c r="AS120" s="57">
        <v>3.0000000000000001E-3</v>
      </c>
      <c r="AT120" s="57">
        <f>SUM(N120:AS120)</f>
        <v>11.09</v>
      </c>
      <c r="AU120" s="168">
        <f t="shared" si="9"/>
        <v>19.450000000000003</v>
      </c>
      <c r="AV120" s="35">
        <v>0</v>
      </c>
      <c r="AW120" s="56">
        <f t="shared" si="10"/>
        <v>0</v>
      </c>
      <c r="AX120" s="56">
        <f t="shared" si="11"/>
        <v>0</v>
      </c>
      <c r="AY120" s="56">
        <f t="shared" si="12"/>
        <v>0</v>
      </c>
    </row>
    <row r="121" spans="1:52" ht="25.5" customHeight="1" x14ac:dyDescent="0.25">
      <c r="A121" s="19" t="s">
        <v>193</v>
      </c>
      <c r="B121" s="19" t="s">
        <v>194</v>
      </c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6"/>
      <c r="AZ121" s="161"/>
    </row>
    <row r="122" spans="1:52" x14ac:dyDescent="0.25">
      <c r="A122" s="3" t="s">
        <v>45</v>
      </c>
      <c r="B122" s="99" t="s">
        <v>242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1"/>
    </row>
    <row r="123" spans="1:52" s="34" customFormat="1" ht="25.5" x14ac:dyDescent="0.25">
      <c r="A123" s="33" t="s">
        <v>163</v>
      </c>
      <c r="B123" s="33"/>
      <c r="C123" s="61" t="s">
        <v>165</v>
      </c>
      <c r="D123" s="56">
        <v>67.27</v>
      </c>
      <c r="E123" s="57">
        <f>SUM(F123:L123)</f>
        <v>25.68</v>
      </c>
      <c r="F123" s="56">
        <v>2.57</v>
      </c>
      <c r="G123" s="56">
        <v>14.75</v>
      </c>
      <c r="H123" s="56">
        <v>7.52</v>
      </c>
      <c r="I123" s="56"/>
      <c r="J123" s="56">
        <v>0.84</v>
      </c>
      <c r="K123" s="56"/>
      <c r="L123" s="56"/>
      <c r="M123" s="57">
        <f>D123+E123</f>
        <v>92.949999999999989</v>
      </c>
      <c r="N123" s="56">
        <v>22.88</v>
      </c>
      <c r="O123" s="56"/>
      <c r="P123" s="56"/>
      <c r="Q123" s="56">
        <v>0.91</v>
      </c>
      <c r="R123" s="56">
        <v>2.57</v>
      </c>
      <c r="S123" s="56">
        <v>0.32</v>
      </c>
      <c r="T123" s="56">
        <v>0.34</v>
      </c>
      <c r="U123" s="56">
        <v>0.03</v>
      </c>
      <c r="V123" s="56">
        <v>0.68</v>
      </c>
      <c r="W123" s="56">
        <v>0.04</v>
      </c>
      <c r="X123" s="56"/>
      <c r="Y123" s="56"/>
      <c r="Z123" s="56">
        <v>0.01</v>
      </c>
      <c r="AA123" s="56"/>
      <c r="AB123" s="56">
        <v>0.03</v>
      </c>
      <c r="AC123" s="56">
        <v>0.3</v>
      </c>
      <c r="AD123" s="56">
        <v>0.01</v>
      </c>
      <c r="AE123" s="56">
        <v>0.74</v>
      </c>
      <c r="AF123" s="56">
        <v>9.26</v>
      </c>
      <c r="AG123" s="56"/>
      <c r="AH123" s="56">
        <v>1.38</v>
      </c>
      <c r="AI123" s="56"/>
      <c r="AJ123" s="56"/>
      <c r="AK123" s="56"/>
      <c r="AL123" s="56"/>
      <c r="AM123" s="56"/>
      <c r="AN123" s="56"/>
      <c r="AO123" s="56"/>
      <c r="AP123" s="56"/>
      <c r="AQ123" s="56"/>
      <c r="AR123" s="56">
        <v>0.05</v>
      </c>
      <c r="AS123" s="56"/>
      <c r="AT123" s="57">
        <f>SUM(N123:AS123)</f>
        <v>39.550000000000004</v>
      </c>
      <c r="AU123" s="58">
        <f>M123+AT123</f>
        <v>132.5</v>
      </c>
      <c r="AV123" s="35">
        <v>1</v>
      </c>
      <c r="AW123" s="56">
        <f>AU123*AV123</f>
        <v>132.5</v>
      </c>
      <c r="AX123" s="56">
        <f>(D123+N123)*AV123</f>
        <v>90.149999999999991</v>
      </c>
      <c r="AY123" s="5">
        <f>(E123+AT123-N123)*AV123</f>
        <v>42.350000000000009</v>
      </c>
    </row>
    <row r="124" spans="1:52" s="34" customFormat="1" ht="38.25" x14ac:dyDescent="0.25">
      <c r="A124" s="18" t="s">
        <v>164</v>
      </c>
      <c r="B124" s="18"/>
      <c r="C124" s="62" t="s">
        <v>214</v>
      </c>
      <c r="D124" s="56">
        <v>9.61</v>
      </c>
      <c r="E124" s="57">
        <f>SUM(F124:L124)</f>
        <v>0.84</v>
      </c>
      <c r="F124" s="56"/>
      <c r="G124" s="56"/>
      <c r="H124" s="56"/>
      <c r="I124" s="56"/>
      <c r="J124" s="56">
        <v>0.84</v>
      </c>
      <c r="K124" s="60"/>
      <c r="L124" s="60"/>
      <c r="M124" s="57">
        <f>D124+E124</f>
        <v>10.45</v>
      </c>
      <c r="N124" s="56">
        <v>2.57</v>
      </c>
      <c r="O124" s="56"/>
      <c r="P124" s="56"/>
      <c r="Q124" s="56">
        <v>0.11</v>
      </c>
      <c r="R124" s="56">
        <v>0.3</v>
      </c>
      <c r="S124" s="56">
        <v>0.04</v>
      </c>
      <c r="T124" s="56">
        <v>0.04</v>
      </c>
      <c r="U124" s="59">
        <v>4.0000000000000001E-3</v>
      </c>
      <c r="V124" s="56">
        <v>0.08</v>
      </c>
      <c r="W124" s="59">
        <v>4.0000000000000001E-3</v>
      </c>
      <c r="X124" s="56"/>
      <c r="Y124" s="56"/>
      <c r="Z124" s="59">
        <v>1E-3</v>
      </c>
      <c r="AA124" s="56"/>
      <c r="AB124" s="59">
        <v>5.0000000000000001E-3</v>
      </c>
      <c r="AC124" s="56">
        <v>0.04</v>
      </c>
      <c r="AD124" s="59">
        <v>1E-3</v>
      </c>
      <c r="AE124" s="56">
        <v>0.09</v>
      </c>
      <c r="AF124" s="56">
        <v>1.1000000000000001</v>
      </c>
      <c r="AG124" s="56"/>
      <c r="AH124" s="56">
        <v>0.16</v>
      </c>
      <c r="AI124" s="56"/>
      <c r="AJ124" s="56"/>
      <c r="AK124" s="56"/>
      <c r="AL124" s="56"/>
      <c r="AM124" s="56"/>
      <c r="AN124" s="56"/>
      <c r="AO124" s="56"/>
      <c r="AP124" s="56"/>
      <c r="AQ124" s="56"/>
      <c r="AR124" s="59">
        <v>5.0000000000000001E-3</v>
      </c>
      <c r="AS124" s="60"/>
      <c r="AT124" s="57">
        <f>SUM(N124:AS124)</f>
        <v>4.55</v>
      </c>
      <c r="AU124" s="58">
        <f>M124+AT124</f>
        <v>15</v>
      </c>
      <c r="AV124" s="35">
        <v>1</v>
      </c>
      <c r="AW124" s="56">
        <f>AU124*AV124</f>
        <v>15</v>
      </c>
      <c r="AX124" s="56">
        <f>(D124+N124)*AV124</f>
        <v>12.18</v>
      </c>
      <c r="AY124" s="5">
        <f>(E124+AT124-N124)*AV124</f>
        <v>2.82</v>
      </c>
    </row>
    <row r="126" spans="1:52" x14ac:dyDescent="0.25">
      <c r="A126" s="38" t="s">
        <v>220</v>
      </c>
      <c r="B126" s="93" t="s">
        <v>246</v>
      </c>
      <c r="C126" s="93"/>
      <c r="D126" s="93"/>
      <c r="E126" s="93"/>
      <c r="F126" s="93"/>
      <c r="G126" s="93"/>
      <c r="H126" s="93"/>
      <c r="I126" s="93"/>
      <c r="J126" s="93"/>
      <c r="K126" s="93"/>
    </row>
    <row r="128" spans="1:52" s="64" customFormat="1" ht="26.25" customHeight="1" x14ac:dyDescent="0.2">
      <c r="C128" s="64" t="s">
        <v>189</v>
      </c>
      <c r="D128" s="150" t="s">
        <v>221</v>
      </c>
      <c r="E128" s="150"/>
      <c r="F128" s="150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6"/>
      <c r="AW128" s="67"/>
      <c r="AX128" s="67"/>
      <c r="AY128" s="67"/>
    </row>
  </sheetData>
  <mergeCells count="98">
    <mergeCell ref="D128:F128"/>
    <mergeCell ref="AU1:AY1"/>
    <mergeCell ref="C2:AY2"/>
    <mergeCell ref="D11:AY11"/>
    <mergeCell ref="D16:AY16"/>
    <mergeCell ref="D17:AY17"/>
    <mergeCell ref="D18:AY18"/>
    <mergeCell ref="D19:AY19"/>
    <mergeCell ref="D20:AY20"/>
    <mergeCell ref="A6:AY6"/>
    <mergeCell ref="B7:AY7"/>
    <mergeCell ref="D12:AY12"/>
    <mergeCell ref="D8:AY8"/>
    <mergeCell ref="D9:AY9"/>
    <mergeCell ref="D10:AY10"/>
    <mergeCell ref="C3:C5"/>
    <mergeCell ref="D29:AY29"/>
    <mergeCell ref="N3:AT3"/>
    <mergeCell ref="AU3:AU5"/>
    <mergeCell ref="AV3:AV5"/>
    <mergeCell ref="AW3:AW5"/>
    <mergeCell ref="AX3:AX5"/>
    <mergeCell ref="AY3:AY5"/>
    <mergeCell ref="D4:D5"/>
    <mergeCell ref="E4:E5"/>
    <mergeCell ref="F4:L4"/>
    <mergeCell ref="M4:M5"/>
    <mergeCell ref="N4:AS4"/>
    <mergeCell ref="AT4:AT5"/>
    <mergeCell ref="D3:M3"/>
    <mergeCell ref="D46:AY46"/>
    <mergeCell ref="D47:AY47"/>
    <mergeCell ref="D33:AY33"/>
    <mergeCell ref="D34:AY34"/>
    <mergeCell ref="D35:AY35"/>
    <mergeCell ref="D36:AY36"/>
    <mergeCell ref="B37:AY37"/>
    <mergeCell ref="D38:AY38"/>
    <mergeCell ref="A3:B4"/>
    <mergeCell ref="D39:AY39"/>
    <mergeCell ref="D41:AY41"/>
    <mergeCell ref="D42:AY42"/>
    <mergeCell ref="D44:AY44"/>
    <mergeCell ref="D30:AY30"/>
    <mergeCell ref="D31:AY31"/>
    <mergeCell ref="D32:AY32"/>
    <mergeCell ref="D21:AY21"/>
    <mergeCell ref="D22:AY22"/>
    <mergeCell ref="D23:AY23"/>
    <mergeCell ref="D24:AY24"/>
    <mergeCell ref="B25:AY25"/>
    <mergeCell ref="D26:AY26"/>
    <mergeCell ref="D27:AY27"/>
    <mergeCell ref="D28:AY28"/>
    <mergeCell ref="D79:AY79"/>
    <mergeCell ref="B48:AY48"/>
    <mergeCell ref="D49:AY49"/>
    <mergeCell ref="B50:AY50"/>
    <mergeCell ref="D51:AY51"/>
    <mergeCell ref="B70:AY70"/>
    <mergeCell ref="D71:AY71"/>
    <mergeCell ref="D73:AY73"/>
    <mergeCell ref="B74:AY74"/>
    <mergeCell ref="D75:AY75"/>
    <mergeCell ref="B78:AY78"/>
    <mergeCell ref="D52:AY52"/>
    <mergeCell ref="D56:AY56"/>
    <mergeCell ref="D59:AY59"/>
    <mergeCell ref="D62:AY62"/>
    <mergeCell ref="D76:AY76"/>
    <mergeCell ref="D104:AY104"/>
    <mergeCell ref="D80:AY80"/>
    <mergeCell ref="D81:AY81"/>
    <mergeCell ref="D82:AY82"/>
    <mergeCell ref="D83:AY83"/>
    <mergeCell ref="A87:AY87"/>
    <mergeCell ref="A88:AY88"/>
    <mergeCell ref="C84:AY84"/>
    <mergeCell ref="D85:AY85"/>
    <mergeCell ref="D86:AY86"/>
    <mergeCell ref="D89:AY89"/>
    <mergeCell ref="D91:AY91"/>
    <mergeCell ref="D94:AY94"/>
    <mergeCell ref="D97:AY97"/>
    <mergeCell ref="D102:AY102"/>
    <mergeCell ref="B126:K126"/>
    <mergeCell ref="C121:AY121"/>
    <mergeCell ref="D108:AY108"/>
    <mergeCell ref="D110:AY110"/>
    <mergeCell ref="D114:AY114"/>
    <mergeCell ref="B122:AY122"/>
    <mergeCell ref="D77:AY77"/>
    <mergeCell ref="C72:C73"/>
    <mergeCell ref="A72:A73"/>
    <mergeCell ref="B72:B73"/>
    <mergeCell ref="A76:A77"/>
    <mergeCell ref="B76:B77"/>
    <mergeCell ref="C76:C77"/>
  </mergeCells>
  <pageMargins left="0.51181102362204722" right="0.51181102362204722" top="0.94488188976377963" bottom="0.59055118110236227" header="0.31496062992125984" footer="0.31496062992125984"/>
  <pageSetup paperSize="9" orientation="landscape" r:id="rId1"/>
  <headerFooter differentFirst="1">
    <oddHeader>&amp;C&amp;"Times New Roman,Parasts"&amp;10&amp;P</oddHeader>
    <oddFooter>&amp;L&amp;"Times New Roman,Parasts"&amp;10ZManotp_091219_PVDcenradis</oddFooter>
    <firstFooter>&amp;L&amp;"Times New Roman,Parasts"&amp;10ZManotp_091219_PVDcenradis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 (2)</vt:lpstr>
      <vt:lpstr>'Sheet1 (2)'!Drukas_apgabals</vt:lpstr>
    </vt:vector>
  </TitlesOfParts>
  <Company>Zemkopības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</dc:title>
  <dc:subject>Pielikums</dc:subject>
  <dc:creator>Linda Gurecka</dc:creator>
  <dc:description>Gurecka 26614495_x000d_
Linda.Gurecka@zm.gov.lv</dc:description>
  <cp:lastModifiedBy>Linda Gurecka</cp:lastModifiedBy>
  <cp:lastPrinted>2019-10-22T08:40:26Z</cp:lastPrinted>
  <dcterms:created xsi:type="dcterms:W3CDTF">2019-09-25T07:21:08Z</dcterms:created>
  <dcterms:modified xsi:type="dcterms:W3CDTF">2019-12-09T13:25:19Z</dcterms:modified>
</cp:coreProperties>
</file>