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dauks.mk.gov.lv/Formjamie dokumenti/2020/MK rīkojumi/TA-1235/"/>
    </mc:Choice>
  </mc:AlternateContent>
  <xr:revisionPtr revIDLastSave="0" documentId="13_ncr:1_{FDF56AC9-42F1-4497-8820-7FF8D02C4767}" xr6:coauthVersionLast="45" xr6:coauthVersionMax="45" xr10:uidLastSave="{00000000-0000-0000-0000-000000000000}"/>
  <bookViews>
    <workbookView xWindow="0" yWindow="0" windowWidth="28800" windowHeight="15600" activeTab="10" xr2:uid="{00000000-000D-0000-FFFF-FFFF00000000}"/>
  </bookViews>
  <sheets>
    <sheet name="Kopsavilkums" sheetId="12" r:id="rId1"/>
    <sheet name="1.1." sheetId="14" r:id="rId2"/>
    <sheet name="3.4." sheetId="16" r:id="rId3"/>
    <sheet name="3.5." sheetId="17" r:id="rId4"/>
    <sheet name="4.1." sheetId="18" r:id="rId5"/>
    <sheet name="4.2." sheetId="19" r:id="rId6"/>
    <sheet name="4.3." sheetId="20" r:id="rId7"/>
    <sheet name="4.4." sheetId="21" r:id="rId8"/>
    <sheet name="4.5." sheetId="25" r:id="rId9"/>
    <sheet name="4.6." sheetId="26" r:id="rId10"/>
    <sheet name="4.9." sheetId="24" r:id="rId11"/>
  </sheets>
  <externalReferences>
    <externalReference r:id="rId12"/>
    <externalReference r:id="rId13"/>
    <externalReference r:id="rId14"/>
    <externalReference r:id="rId15"/>
  </externalReferences>
  <definedNames>
    <definedName name="_1_2_d_NMP_lim" localSheetId="8">#REF!</definedName>
    <definedName name="_1_2_d_NMP_lim" localSheetId="9">#REF!</definedName>
    <definedName name="_1_2_d_NMP_lim">#REF!</definedName>
    <definedName name="_xlnm.Auto_Open" localSheetId="8">#REF!</definedName>
    <definedName name="_xlnm.Auto_Open" localSheetId="9">#REF!</definedName>
    <definedName name="_xlnm.Auto_Open">#REF!</definedName>
    <definedName name="b" localSheetId="8">#REF!</definedName>
    <definedName name="b" localSheetId="9">#REF!</definedName>
    <definedName name="b">#REF!</definedName>
    <definedName name="bt" localSheetId="8">#REF!</definedName>
    <definedName name="bt" localSheetId="9">#REF!</definedName>
    <definedName name="bt">#REF!</definedName>
    <definedName name="BX" localSheetId="8">#REF!</definedName>
    <definedName name="BX" localSheetId="9">#REF!</definedName>
    <definedName name="BX">#REF!</definedName>
    <definedName name="ccc" localSheetId="8">#REF!</definedName>
    <definedName name="ccc" localSheetId="9">#REF!</definedName>
    <definedName name="ccc">#REF!</definedName>
    <definedName name="d" localSheetId="8">#REF!</definedName>
    <definedName name="d" localSheetId="9">#REF!</definedName>
    <definedName name="d">#REF!</definedName>
    <definedName name="D_Evija3" localSheetId="8">#REF!</definedName>
    <definedName name="D_Evija3" localSheetId="9">#REF!</definedName>
    <definedName name="D_Evija3">#REF!</definedName>
    <definedName name="de" localSheetId="8">#REF!</definedName>
    <definedName name="de" localSheetId="9">#REF!</definedName>
    <definedName name="de">#REF!</definedName>
    <definedName name="dff">#NAME?</definedName>
    <definedName name="DRGNAMES" localSheetId="8">#REF!</definedName>
    <definedName name="DRGNAMES" localSheetId="9">#REF!</definedName>
    <definedName name="DRGNAMES">#REF!</definedName>
    <definedName name="e" localSheetId="8">#REF!</definedName>
    <definedName name="e" localSheetId="9">#REF!</definedName>
    <definedName name="e">#REF!</definedName>
    <definedName name="ee" localSheetId="8">#REF!</definedName>
    <definedName name="ee" localSheetId="9">#REF!</definedName>
    <definedName name="ee">#REF!</definedName>
    <definedName name="gad_skaits" localSheetId="8">#REF!</definedName>
    <definedName name="gad_skaits" localSheetId="9">#REF!</definedName>
    <definedName name="gad_skaits">#REF!</definedName>
    <definedName name="gad_skaits_1" localSheetId="8">#REF!</definedName>
    <definedName name="gad_skaits_1" localSheetId="9">#REF!</definedName>
    <definedName name="gad_skaits_1">#REF!</definedName>
    <definedName name="gggg" localSheetId="8">#REF!</definedName>
    <definedName name="gggg" localSheetId="9">#REF!</definedName>
    <definedName name="gggg">#REF!</definedName>
    <definedName name="ghy" localSheetId="8">#REF!</definedName>
    <definedName name="ghy" localSheetId="9">#REF!</definedName>
    <definedName name="ghy">#REF!</definedName>
    <definedName name="h" localSheetId="8">#REF!</definedName>
    <definedName name="h" localSheetId="9">#REF!</definedName>
    <definedName name="h">#REF!</definedName>
    <definedName name="hh" localSheetId="8">#REF!</definedName>
    <definedName name="hh" localSheetId="9">#REF!</definedName>
    <definedName name="hh">#REF!</definedName>
    <definedName name="hjh" localSheetId="8">#REF!</definedName>
    <definedName name="hjh" localSheetId="9">#REF!</definedName>
    <definedName name="hjh">#REF!</definedName>
    <definedName name="hyh" localSheetId="8">#REF!</definedName>
    <definedName name="hyh" localSheetId="9">#REF!</definedName>
    <definedName name="hyh">#REF!</definedName>
    <definedName name="i" localSheetId="8">#REF!</definedName>
    <definedName name="i" localSheetId="9">#REF!</definedName>
    <definedName name="i">#REF!</definedName>
    <definedName name="izm.kods" localSheetId="8">#REF!</definedName>
    <definedName name="izm.kods" localSheetId="9">#REF!</definedName>
    <definedName name="izm.kods">#REF!</definedName>
    <definedName name="izm.kods_1">[1]izm.posteni!$A$2:$A$216</definedName>
    <definedName name="izm.nos" localSheetId="8">#REF!</definedName>
    <definedName name="izm.nos" localSheetId="9">#REF!</definedName>
    <definedName name="izm.nos">#REF!</definedName>
    <definedName name="izm.nos_1">[1]izm.posteni!$B$2:$B$216</definedName>
    <definedName name="jhg" localSheetId="8">#REF!</definedName>
    <definedName name="jhg" localSheetId="9">#REF!</definedName>
    <definedName name="jhg">#REF!</definedName>
    <definedName name="kk" localSheetId="8">#REF!</definedName>
    <definedName name="kk" localSheetId="9">#REF!</definedName>
    <definedName name="kk">#REF!</definedName>
    <definedName name="l" localSheetId="8">#REF!</definedName>
    <definedName name="l" localSheetId="9">#REF!</definedName>
    <definedName name="l">#REF!</definedName>
    <definedName name="Limeni_7_9group" localSheetId="8">#REF!</definedName>
    <definedName name="Limeni_7_9group" localSheetId="9">#REF!</definedName>
    <definedName name="Limeni_7_9group">#REF!</definedName>
    <definedName name="n" localSheetId="8">#REF!</definedName>
    <definedName name="n" localSheetId="9">#REF!</definedName>
    <definedName name="n">#REF!</definedName>
    <definedName name="OLE_LINK1" localSheetId="8">'4.5.'!#REF!</definedName>
    <definedName name="P_Dati_rikojums" localSheetId="8">#REF!</definedName>
    <definedName name="P_Dati_rikojums" localSheetId="9">#REF!</definedName>
    <definedName name="P_Dati_rikojums">#REF!</definedName>
    <definedName name="pp" localSheetId="8">#REF!</definedName>
    <definedName name="pp" localSheetId="9">#REF!</definedName>
    <definedName name="pp">#REF!</definedName>
    <definedName name="_xlnm.Print_Area" localSheetId="8">'4.5.'!$A$1:$I$40</definedName>
    <definedName name="_xlnm.Print_Area" localSheetId="10">'4.9.'!$A$1:$K$81</definedName>
    <definedName name="_xlnm.Print_Area" localSheetId="0">Kopsavilkums!$A$1:$N$147</definedName>
    <definedName name="Recover">[2]Macro1!$A$80</definedName>
    <definedName name="Rikojums2222">[3]Macro1!$A$106</definedName>
    <definedName name="rr" localSheetId="8">#REF!</definedName>
    <definedName name="rr" localSheetId="9">#REF!</definedName>
    <definedName name="rr">#REF!</definedName>
    <definedName name="rt" localSheetId="8">#REF!</definedName>
    <definedName name="rt" localSheetId="9">#REF!</definedName>
    <definedName name="rt">#REF!</definedName>
    <definedName name="rty" localSheetId="8">#REF!</definedName>
    <definedName name="rty" localSheetId="9">#REF!</definedName>
    <definedName name="rty">#REF!</definedName>
    <definedName name="S5\" localSheetId="8">#REF!</definedName>
    <definedName name="S5\" localSheetId="9">#REF!</definedName>
    <definedName name="S5\">#REF!</definedName>
    <definedName name="ss" localSheetId="8">#REF!</definedName>
    <definedName name="ss" localSheetId="9">#REF!</definedName>
    <definedName name="ss">#REF!</definedName>
    <definedName name="Str." localSheetId="8">#REF!</definedName>
    <definedName name="Str." localSheetId="9">#REF!</definedName>
    <definedName name="Str.">#REF!</definedName>
    <definedName name="Str.vien.nos." localSheetId="8">#REF!</definedName>
    <definedName name="Str.vien.nos." localSheetId="9">#REF!</definedName>
    <definedName name="Str.vien.nos.">#REF!</definedName>
    <definedName name="Struktura" localSheetId="8">#REF!</definedName>
    <definedName name="Struktura" localSheetId="9">#REF!</definedName>
    <definedName name="Struktura">#REF!</definedName>
    <definedName name="Struktūrvien.kodi2" localSheetId="8">#REF!</definedName>
    <definedName name="Struktūrvien.kodi2" localSheetId="9">#REF!</definedName>
    <definedName name="Struktūrvien.kodi2">#REF!</definedName>
    <definedName name="Struktūrvien.kodi2_1">[1]strukturkodi!$B$2:$B$232</definedName>
    <definedName name="Struktūrvien.kods" localSheetId="8">#REF!</definedName>
    <definedName name="Struktūrvien.kods" localSheetId="9">#REF!</definedName>
    <definedName name="Struktūrvien.kods">#REF!</definedName>
    <definedName name="Struktūrvien.kods_1">[1]strukturkodi!$A$2:$A$232</definedName>
    <definedName name="TableName">"Dummy"</definedName>
    <definedName name="ty" localSheetId="8">#REF!</definedName>
    <definedName name="ty" localSheetId="9">#REF!</definedName>
    <definedName name="ty">#REF!</definedName>
    <definedName name="tyuj" localSheetId="8">#REF!</definedName>
    <definedName name="tyuj" localSheetId="9">#REF!</definedName>
    <definedName name="tyuj">#REF!</definedName>
    <definedName name="u" localSheetId="8">#REF!</definedName>
    <definedName name="u" localSheetId="9">#REF!</definedName>
    <definedName name="u">#REF!</definedName>
    <definedName name="U_N_A" localSheetId="8">#REF!</definedName>
    <definedName name="U_N_A" localSheetId="9">#REF!</definedName>
    <definedName name="U_N_A">#REF!</definedName>
    <definedName name="wedr" localSheetId="8">#REF!</definedName>
    <definedName name="wedr" localSheetId="9">#REF!</definedName>
    <definedName name="wedr">#REF!</definedName>
    <definedName name="x" localSheetId="8">#REF!</definedName>
    <definedName name="x" localSheetId="9">#REF!</definedName>
    <definedName name="x">#REF!</definedName>
    <definedName name="XBD">[4]Dati!$B$6</definedName>
    <definedName name="XDD">[4]Dati!$B$4</definedName>
    <definedName name="XDS">[4]Dati!$B$5</definedName>
    <definedName name="XSVD">[4]Dati!$B$7</definedName>
    <definedName name="xxxx" localSheetId="8">#REF!</definedName>
    <definedName name="xxxx" localSheetId="9">#REF!</definedName>
    <definedName name="xxxx">#REF!</definedName>
    <definedName name="yuh" localSheetId="8">#REF!</definedName>
    <definedName name="yuh" localSheetId="9">#REF!</definedName>
    <definedName name="yuh">#REF!</definedName>
    <definedName name="yyyy" localSheetId="8">#REF!</definedName>
    <definedName name="yyyy" localSheetId="9">#REF!</definedName>
    <definedName name="yyyy">#REF!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 i="21" l="1"/>
  <c r="F17" i="21"/>
  <c r="G56" i="24" l="1"/>
  <c r="C39" i="24"/>
  <c r="B39" i="24"/>
  <c r="C30" i="24"/>
  <c r="B30" i="24" s="1"/>
  <c r="B29" i="24"/>
  <c r="B27" i="24"/>
  <c r="C27" i="24" s="1"/>
  <c r="B26" i="24"/>
  <c r="C26" i="24" s="1"/>
  <c r="D72" i="24" l="1"/>
  <c r="C72" i="24"/>
  <c r="B72" i="24"/>
  <c r="I71" i="24"/>
  <c r="E71" i="24"/>
  <c r="G71" i="24" s="1"/>
  <c r="I70" i="24"/>
  <c r="E70" i="24"/>
  <c r="G70" i="24" s="1"/>
  <c r="I69" i="24"/>
  <c r="E69" i="24"/>
  <c r="G69" i="24" s="1"/>
  <c r="I61" i="24"/>
  <c r="E61" i="24"/>
  <c r="E6" i="24"/>
  <c r="C6" i="24" l="1"/>
  <c r="D6" i="24"/>
  <c r="F71" i="24"/>
  <c r="H71" i="24" s="1"/>
  <c r="J71" i="24" s="1"/>
  <c r="F69" i="24"/>
  <c r="I72" i="24"/>
  <c r="G72" i="24"/>
  <c r="G61" i="24"/>
  <c r="F70" i="24"/>
  <c r="E72" i="24"/>
  <c r="F61" i="24"/>
  <c r="H61" i="24" l="1"/>
  <c r="J61" i="24" s="1"/>
  <c r="B62" i="24" s="1"/>
  <c r="F72" i="24"/>
  <c r="H69" i="24"/>
  <c r="J69" i="24" s="1"/>
  <c r="H70" i="24"/>
  <c r="H72" i="24" l="1"/>
  <c r="J70" i="24"/>
  <c r="J72" i="24" s="1"/>
  <c r="F6" i="24" s="1"/>
  <c r="G6" i="24" l="1"/>
  <c r="H6" i="24" s="1"/>
  <c r="F8" i="24"/>
  <c r="B32" i="24"/>
  <c r="B13" i="24"/>
  <c r="B48" i="24" l="1"/>
  <c r="B46" i="24"/>
  <c r="M40" i="21"/>
  <c r="L12" i="20"/>
  <c r="L40" i="19"/>
  <c r="B38" i="24" l="1"/>
  <c r="C38" i="24" s="1"/>
  <c r="B35" i="24"/>
  <c r="B37" i="24"/>
  <c r="C37" i="24" s="1"/>
  <c r="M113" i="12"/>
  <c r="M112" i="12" s="1"/>
  <c r="M116" i="12"/>
  <c r="M115" i="12" s="1"/>
  <c r="M119" i="12"/>
  <c r="M118" i="12" s="1"/>
  <c r="M122" i="12"/>
  <c r="M121" i="12" s="1"/>
  <c r="M125" i="12"/>
  <c r="M124" i="12" s="1"/>
  <c r="M128" i="12"/>
  <c r="M127" i="12" s="1"/>
  <c r="M139" i="12"/>
  <c r="M138" i="12" s="1"/>
  <c r="L113" i="12"/>
  <c r="L112" i="12" s="1"/>
  <c r="L116" i="12"/>
  <c r="L115" i="12" s="1"/>
  <c r="L119" i="12"/>
  <c r="L118" i="12" s="1"/>
  <c r="L122" i="12"/>
  <c r="L121" i="12" s="1"/>
  <c r="L125" i="12"/>
  <c r="L124" i="12" s="1"/>
  <c r="L128" i="12"/>
  <c r="L127" i="12" s="1"/>
  <c r="L139" i="12"/>
  <c r="L138" i="12" s="1"/>
  <c r="K113" i="12"/>
  <c r="K116" i="12"/>
  <c r="K115" i="12" s="1"/>
  <c r="K119" i="12"/>
  <c r="K118" i="12" s="1"/>
  <c r="K122" i="12"/>
  <c r="K125" i="12"/>
  <c r="K124" i="12" s="1"/>
  <c r="K128" i="12"/>
  <c r="K127" i="12" s="1"/>
  <c r="K139" i="12"/>
  <c r="J113" i="12"/>
  <c r="J112" i="12" s="1"/>
  <c r="J116" i="12"/>
  <c r="J115" i="12" s="1"/>
  <c r="J119" i="12"/>
  <c r="J118" i="12" s="1"/>
  <c r="J122" i="12"/>
  <c r="J121" i="12" s="1"/>
  <c r="J125" i="12"/>
  <c r="J124" i="12" s="1"/>
  <c r="J128" i="12"/>
  <c r="J127" i="12" s="1"/>
  <c r="J139" i="12"/>
  <c r="J138" i="12" s="1"/>
  <c r="I113" i="12"/>
  <c r="I116" i="12"/>
  <c r="I115" i="12" s="1"/>
  <c r="I119" i="12"/>
  <c r="I118" i="12" s="1"/>
  <c r="I122" i="12"/>
  <c r="I125" i="12"/>
  <c r="I124" i="12" s="1"/>
  <c r="I128" i="12"/>
  <c r="I127" i="12" s="1"/>
  <c r="I139" i="12"/>
  <c r="I138" i="12" s="1"/>
  <c r="H113" i="12"/>
  <c r="H112" i="12" s="1"/>
  <c r="H116" i="12"/>
  <c r="H115" i="12" s="1"/>
  <c r="H119" i="12"/>
  <c r="H118" i="12" s="1"/>
  <c r="H122" i="12"/>
  <c r="H121" i="12" s="1"/>
  <c r="H125" i="12"/>
  <c r="H124" i="12" s="1"/>
  <c r="H128" i="12"/>
  <c r="H127" i="12" s="1"/>
  <c r="H139" i="12"/>
  <c r="H138" i="12" s="1"/>
  <c r="G113" i="12"/>
  <c r="G112" i="12" s="1"/>
  <c r="G116" i="12"/>
  <c r="G115" i="12" s="1"/>
  <c r="G119" i="12"/>
  <c r="G118" i="12" s="1"/>
  <c r="G122" i="12"/>
  <c r="G121" i="12" s="1"/>
  <c r="G125" i="12"/>
  <c r="G124" i="12" s="1"/>
  <c r="G128" i="12"/>
  <c r="G127" i="12" s="1"/>
  <c r="G139" i="12"/>
  <c r="G138" i="12" s="1"/>
  <c r="F113" i="12"/>
  <c r="F116" i="12"/>
  <c r="F115" i="12" s="1"/>
  <c r="F119" i="12"/>
  <c r="F118" i="12" s="1"/>
  <c r="F122" i="12"/>
  <c r="F121" i="12" s="1"/>
  <c r="F125" i="12"/>
  <c r="F124" i="12" s="1"/>
  <c r="F128" i="12"/>
  <c r="F127" i="12" s="1"/>
  <c r="F139" i="12"/>
  <c r="F138" i="12"/>
  <c r="I121" i="12"/>
  <c r="H109" i="12"/>
  <c r="H108" i="12" s="1"/>
  <c r="I109" i="12"/>
  <c r="I108" i="12" s="1"/>
  <c r="J109" i="12"/>
  <c r="J108" i="12" s="1"/>
  <c r="K109" i="12"/>
  <c r="K108" i="12" s="1"/>
  <c r="L109" i="12"/>
  <c r="L108" i="12" s="1"/>
  <c r="M109" i="12"/>
  <c r="M108" i="12" s="1"/>
  <c r="I106" i="12"/>
  <c r="I105" i="12" s="1"/>
  <c r="J106" i="12"/>
  <c r="J105" i="12" s="1"/>
  <c r="K106" i="12"/>
  <c r="K105" i="12" s="1"/>
  <c r="L106" i="12"/>
  <c r="M106" i="12"/>
  <c r="M105" i="12" s="1"/>
  <c r="I24" i="12"/>
  <c r="I22" i="12" s="1"/>
  <c r="J24" i="12"/>
  <c r="J22" i="12" s="1"/>
  <c r="K24" i="12"/>
  <c r="K22" i="12" s="1"/>
  <c r="L24" i="12"/>
  <c r="L22" i="12" s="1"/>
  <c r="M24" i="12"/>
  <c r="M22" i="12" s="1"/>
  <c r="N24" i="12"/>
  <c r="N22" i="12" s="1"/>
  <c r="N93" i="12"/>
  <c r="I40" i="21"/>
  <c r="K40" i="21" s="1"/>
  <c r="I41" i="21"/>
  <c r="J41" i="21" s="1"/>
  <c r="K41" i="21"/>
  <c r="L41" i="21" s="1"/>
  <c r="M41" i="21"/>
  <c r="I39" i="21"/>
  <c r="J39" i="21" s="1"/>
  <c r="M39" i="21"/>
  <c r="H12" i="20"/>
  <c r="J12" i="20" s="1"/>
  <c r="H13" i="20"/>
  <c r="J13" i="20" s="1"/>
  <c r="K13" i="20" s="1"/>
  <c r="I13" i="20"/>
  <c r="L13" i="20"/>
  <c r="H11" i="20"/>
  <c r="I11" i="20" s="1"/>
  <c r="L11" i="20"/>
  <c r="L14" i="20" s="1"/>
  <c r="H41" i="19"/>
  <c r="I41" i="19" s="1"/>
  <c r="L41" i="19"/>
  <c r="H40" i="19"/>
  <c r="J40" i="19" s="1"/>
  <c r="H20" i="19"/>
  <c r="J20" i="19" s="1"/>
  <c r="H21" i="19"/>
  <c r="I21" i="19" s="1"/>
  <c r="L21" i="19"/>
  <c r="H19" i="19"/>
  <c r="I19" i="19" s="1"/>
  <c r="L19" i="19"/>
  <c r="H22" i="19"/>
  <c r="J22" i="19" s="1"/>
  <c r="K22" i="19" s="1"/>
  <c r="L22" i="19"/>
  <c r="C23" i="26"/>
  <c r="E22" i="26"/>
  <c r="C8" i="26" s="1"/>
  <c r="D8" i="26" s="1"/>
  <c r="E8" i="26" s="1"/>
  <c r="E21" i="26"/>
  <c r="E23" i="26" s="1"/>
  <c r="E15" i="26"/>
  <c r="E14" i="26"/>
  <c r="E13" i="26"/>
  <c r="C26" i="25"/>
  <c r="F26" i="25" s="1"/>
  <c r="G26" i="25" s="1"/>
  <c r="D13" i="25" s="1"/>
  <c r="D15" i="25"/>
  <c r="E15" i="25" s="1"/>
  <c r="D14" i="25"/>
  <c r="E14" i="25"/>
  <c r="E13" i="16"/>
  <c r="C31" i="24"/>
  <c r="B31" i="24"/>
  <c r="C19" i="24"/>
  <c r="B19" i="24"/>
  <c r="C24" i="24"/>
  <c r="B24" i="24"/>
  <c r="C23" i="24"/>
  <c r="B23" i="24"/>
  <c r="D15" i="14"/>
  <c r="E6" i="14" s="1"/>
  <c r="C15" i="14"/>
  <c r="D6" i="14"/>
  <c r="B15" i="14"/>
  <c r="C6" i="14" s="1"/>
  <c r="D14" i="16"/>
  <c r="E6" i="16" s="1"/>
  <c r="C14" i="16"/>
  <c r="D6" i="16" s="1"/>
  <c r="B14" i="16"/>
  <c r="C6" i="16"/>
  <c r="C13" i="17"/>
  <c r="D6" i="17" s="1"/>
  <c r="B13" i="17"/>
  <c r="C6" i="17"/>
  <c r="C13" i="24"/>
  <c r="D13" i="24" s="1"/>
  <c r="E13" i="24" s="1"/>
  <c r="H5" i="24" s="1"/>
  <c r="D12" i="19"/>
  <c r="D11" i="19"/>
  <c r="K121" i="12"/>
  <c r="H42" i="21"/>
  <c r="G42" i="21"/>
  <c r="F42" i="21"/>
  <c r="E42" i="21"/>
  <c r="D42" i="21"/>
  <c r="F30" i="21"/>
  <c r="F26" i="21"/>
  <c r="F19" i="21"/>
  <c r="F12" i="21" s="1"/>
  <c r="F11" i="21" s="1"/>
  <c r="F10" i="21" s="1"/>
  <c r="F14" i="21"/>
  <c r="G14" i="20"/>
  <c r="F14" i="20"/>
  <c r="E14" i="20"/>
  <c r="D14" i="20"/>
  <c r="C14" i="20"/>
  <c r="G42" i="19"/>
  <c r="F42" i="19"/>
  <c r="E42" i="19"/>
  <c r="D42" i="19"/>
  <c r="C42" i="19"/>
  <c r="G23" i="19"/>
  <c r="F23" i="19"/>
  <c r="E23" i="19"/>
  <c r="D23" i="19"/>
  <c r="C23" i="19"/>
  <c r="C13" i="19"/>
  <c r="D13" i="19" s="1"/>
  <c r="L42" i="19"/>
  <c r="M42" i="21"/>
  <c r="F24" i="12"/>
  <c r="F22" i="12" s="1"/>
  <c r="G24" i="12"/>
  <c r="G22" i="12" s="1"/>
  <c r="H24" i="12"/>
  <c r="H23" i="12" s="1"/>
  <c r="F106" i="12"/>
  <c r="F105" i="12" s="1"/>
  <c r="G106" i="12"/>
  <c r="G109" i="12"/>
  <c r="G108" i="12" s="1"/>
  <c r="H106" i="12"/>
  <c r="F109" i="12"/>
  <c r="F108" i="12" s="1"/>
  <c r="D13" i="18"/>
  <c r="D6" i="18" s="1"/>
  <c r="C13" i="18"/>
  <c r="C6" i="18" s="1"/>
  <c r="E12" i="18"/>
  <c r="D13" i="17"/>
  <c r="E13" i="17"/>
  <c r="E12" i="17"/>
  <c r="E12" i="16"/>
  <c r="E15" i="14"/>
  <c r="E14" i="14"/>
  <c r="E13" i="14"/>
  <c r="E12" i="14"/>
  <c r="L23" i="19" l="1"/>
  <c r="K20" i="19"/>
  <c r="M20" i="19" s="1"/>
  <c r="H42" i="19"/>
  <c r="H23" i="19"/>
  <c r="J21" i="19"/>
  <c r="J41" i="19"/>
  <c r="J42" i="19" s="1"/>
  <c r="D14" i="19"/>
  <c r="E6" i="19" s="1"/>
  <c r="C14" i="19"/>
  <c r="F23" i="12"/>
  <c r="N20" i="12"/>
  <c r="N6" i="12" s="1"/>
  <c r="H22" i="12"/>
  <c r="G93" i="12"/>
  <c r="L93" i="12"/>
  <c r="G105" i="12"/>
  <c r="F25" i="21"/>
  <c r="F24" i="21" s="1"/>
  <c r="I14" i="20"/>
  <c r="I93" i="12"/>
  <c r="I111" i="12"/>
  <c r="K20" i="12"/>
  <c r="K6" i="12" s="1"/>
  <c r="G23" i="12"/>
  <c r="I42" i="21"/>
  <c r="I112" i="12"/>
  <c r="H111" i="12"/>
  <c r="J42" i="21"/>
  <c r="L105" i="12"/>
  <c r="G111" i="12"/>
  <c r="F93" i="12"/>
  <c r="H93" i="12"/>
  <c r="E13" i="18"/>
  <c r="H14" i="20"/>
  <c r="K21" i="19"/>
  <c r="M21" i="19" s="1"/>
  <c r="K41" i="19"/>
  <c r="M93" i="12"/>
  <c r="C35" i="24"/>
  <c r="C33" i="24" s="1"/>
  <c r="B33" i="24"/>
  <c r="K138" i="12"/>
  <c r="K111" i="12"/>
  <c r="F111" i="12"/>
  <c r="C36" i="24"/>
  <c r="B36" i="24"/>
  <c r="B22" i="24"/>
  <c r="G5" i="24"/>
  <c r="C22" i="24"/>
  <c r="D23" i="26"/>
  <c r="E16" i="26"/>
  <c r="C6" i="26" s="1"/>
  <c r="D6" i="26" s="1"/>
  <c r="K12" i="20"/>
  <c r="M12" i="20" s="1"/>
  <c r="I23" i="19"/>
  <c r="M13" i="20"/>
  <c r="E13" i="25"/>
  <c r="F20" i="12"/>
  <c r="F6" i="12" s="1"/>
  <c r="J20" i="12"/>
  <c r="J6" i="12" s="1"/>
  <c r="M22" i="19"/>
  <c r="J19" i="19"/>
  <c r="K40" i="19"/>
  <c r="J11" i="20"/>
  <c r="L39" i="21"/>
  <c r="N39" i="21" s="1"/>
  <c r="N41" i="21"/>
  <c r="L40" i="21"/>
  <c r="N40" i="21" s="1"/>
  <c r="L20" i="12"/>
  <c r="L6" i="12" s="1"/>
  <c r="J93" i="12"/>
  <c r="K112" i="12"/>
  <c r="J111" i="12"/>
  <c r="L111" i="12"/>
  <c r="M111" i="12"/>
  <c r="H105" i="12"/>
  <c r="H20" i="12"/>
  <c r="H6" i="12" s="1"/>
  <c r="E14" i="16"/>
  <c r="K42" i="21"/>
  <c r="K39" i="21"/>
  <c r="K93" i="12"/>
  <c r="I20" i="12"/>
  <c r="I6" i="12" s="1"/>
  <c r="G20" i="12"/>
  <c r="G6" i="12" s="1"/>
  <c r="D16" i="25"/>
  <c r="E16" i="25" s="1"/>
  <c r="C7" i="26"/>
  <c r="D7" i="26" s="1"/>
  <c r="E7" i="26" s="1"/>
  <c r="M20" i="12"/>
  <c r="M6" i="12" s="1"/>
  <c r="F6" i="19" l="1"/>
  <c r="M41" i="19"/>
  <c r="D6" i="19"/>
  <c r="K42" i="19"/>
  <c r="D9" i="26"/>
  <c r="E6" i="26"/>
  <c r="E9" i="26" s="1"/>
  <c r="J14" i="20"/>
  <c r="K11" i="20"/>
  <c r="L42" i="21"/>
  <c r="C9" i="26"/>
  <c r="E17" i="25"/>
  <c r="D6" i="25" s="1"/>
  <c r="E6" i="25" s="1"/>
  <c r="F6" i="25" s="1"/>
  <c r="N42" i="21"/>
  <c r="D50" i="21" s="1"/>
  <c r="E50" i="21" s="1"/>
  <c r="J23" i="19"/>
  <c r="K19" i="19"/>
  <c r="D17" i="25"/>
  <c r="M40" i="19"/>
  <c r="M42" i="19" s="1"/>
  <c r="E13" i="19" s="1"/>
  <c r="F13" i="19" s="1"/>
  <c r="K23" i="19" l="1"/>
  <c r="M19" i="19"/>
  <c r="M23" i="19" s="1"/>
  <c r="M11" i="20"/>
  <c r="M14" i="20" s="1"/>
  <c r="C22" i="20" s="1"/>
  <c r="D22" i="20" s="1"/>
  <c r="D6" i="20" s="1"/>
  <c r="E6" i="20" s="1"/>
  <c r="F6" i="20" s="1"/>
  <c r="K14" i="20"/>
  <c r="E6" i="21"/>
  <c r="F6" i="21" s="1"/>
  <c r="D6" i="21"/>
  <c r="F35" i="19" l="1"/>
  <c r="G35" i="19" s="1"/>
  <c r="E12" i="19" s="1"/>
  <c r="F12" i="19" s="1"/>
  <c r="C35" i="19"/>
  <c r="D35" i="19" l="1"/>
  <c r="E11" i="19" s="1"/>
  <c r="F11" i="19" l="1"/>
  <c r="E14" i="19"/>
  <c r="C25" i="24"/>
  <c r="C18" i="24" s="1"/>
  <c r="H7" i="24" s="1"/>
  <c r="H8" i="24" s="1"/>
  <c r="B25" i="24"/>
  <c r="F14" i="19" l="1"/>
  <c r="G6" i="19"/>
  <c r="H6" i="19" s="1"/>
  <c r="I6" i="19" s="1"/>
  <c r="B18" i="24"/>
  <c r="G7" i="24" s="1"/>
  <c r="G8" i="24" s="1"/>
</calcChain>
</file>

<file path=xl/sharedStrings.xml><?xml version="1.0" encoding="utf-8"?>
<sst xmlns="http://schemas.openxmlformats.org/spreadsheetml/2006/main" count="677" uniqueCount="396">
  <si>
    <t>Minesotas programma stacionārā</t>
  </si>
  <si>
    <t>Narkoloģija</t>
  </si>
  <si>
    <t>Narkomānu rehabilitācija stacionārā bērniem</t>
  </si>
  <si>
    <t>Narkomānu rehabilitācija stacionārā pieaugušajiem</t>
  </si>
  <si>
    <t>Obligātā narkoloģiskā palīdzība bērniem</t>
  </si>
  <si>
    <t>Kopā</t>
  </si>
  <si>
    <t>Kabinetu skaits</t>
  </si>
  <si>
    <t>Ārsts</t>
  </si>
  <si>
    <t>Ārstniecības un pacientu aprūpes persona</t>
  </si>
  <si>
    <t>Personu skaits</t>
  </si>
  <si>
    <t>Slodzes apjoms</t>
  </si>
  <si>
    <t xml:space="preserve">Slodzes apjoms </t>
  </si>
  <si>
    <t>Plānotais  ārstu slodžu skaits</t>
  </si>
  <si>
    <t xml:space="preserve">Psihologa kabinets </t>
  </si>
  <si>
    <t xml:space="preserve">2019.g. pakalpojuma  finansējums, EUR </t>
  </si>
  <si>
    <t>Speciālistu pakalpojumi</t>
  </si>
  <si>
    <t>Papildus nepieciešamais finansējums, EUR</t>
  </si>
  <si>
    <t>Pakalpojumu programma</t>
  </si>
  <si>
    <t>Multidisciplinārās komandas finansējuma aprēķins</t>
  </si>
  <si>
    <t>Papildus finansējuma aprēķins</t>
  </si>
  <si>
    <t>Vidējās izmaksas, EUR</t>
  </si>
  <si>
    <t>Finansējuma aprēķins narkoloģisko slimnieku ārstēšanai narkoloģiskā profila dienas stacionārā</t>
  </si>
  <si>
    <t>Plānotais grupu skaits</t>
  </si>
  <si>
    <t>Pacienti ar F10-F19 izrakstīšanas pamata diagnozēm sekojošās pakalpojumu programmās:</t>
  </si>
  <si>
    <t>Pakalpojuma minimums - pārējie ķirurģiskie pakalpojumi</t>
  </si>
  <si>
    <t>Pakalpojuma minimums - pārējie terapeitiskie pakalpojumi</t>
  </si>
  <si>
    <t>Pakalpojumi aprūpes slimnīcā vai aprūpes gultā</t>
  </si>
  <si>
    <t>Pakalpojumi Eiropas Savienības un Eiropas Ekonomikas zonas dalībvalstu un Šveices Konfederācijas pilsoņiem (uzrādot E-veidlapu) un Ukrainas pilsoņiem</t>
  </si>
  <si>
    <t>Pakalpojumi, kas sniegti personai ar prognozējamu invaliditāti</t>
  </si>
  <si>
    <t>Pielikums programmai - pakalpojumi aprūpes slimnīcā vai aprūpes gultā</t>
  </si>
  <si>
    <t>Pielikums programmai - Narkomānu rehabilitācija stacionārā pieaugušajiem</t>
  </si>
  <si>
    <t>Pielikums programmai psihiatriskā palīdzība stacionārā, tai skaitā pēc tiesas lēmuma</t>
  </si>
  <si>
    <t>Psihiatriskā palīdzība stacionārā - psihiatriskā palīdzība bērniem</t>
  </si>
  <si>
    <t>Psihiatriskā palīdzība stacionārā, tai skaitā pēc tiesas lēmuma</t>
  </si>
  <si>
    <t>Stacionārā psihiatriskā palīdzība bērniem</t>
  </si>
  <si>
    <t>Hospitalizēto pacientu skaits *</t>
  </si>
  <si>
    <t>Nepieciešamais finansējums, EUR</t>
  </si>
  <si>
    <t>*Dati atlasīti pēc diagnozēm F10-F19</t>
  </si>
  <si>
    <t>1) Ambulatoro veselības aprūpes pakalpojumu nodrošināšanā</t>
  </si>
  <si>
    <t>Nodrošināt pakalpojuma pieejamības par 10% narkoloģijā</t>
  </si>
  <si>
    <t>Papildus  ārstu slodžu skaits</t>
  </si>
  <si>
    <t>Neatliekamās medicīniskās palīdzības nodrošināšana stacionārās ārstniecības iestādēs</t>
  </si>
  <si>
    <t>Plānveida stacionāro veselības aprūpes pakalpojumu nodrošināšana</t>
  </si>
  <si>
    <t xml:space="preserve">Plānotais manipulāciju skaits </t>
  </si>
  <si>
    <t>Metadona aizvietojošās terapijas kabineti</t>
  </si>
  <si>
    <t>Metadona aizvietojošās terapijas kabinetiem plānotais finansējums, mainot apmaksas nosacījumus</t>
  </si>
  <si>
    <t>2) Stacionāro veselības aprūpes pakalpojumu nodrošināšanā</t>
  </si>
  <si>
    <t>Nodrošināt pakalpojuma pieejamības pieaugumu par 10%</t>
  </si>
  <si>
    <t>** Piemaksu par darbu dienas stacionārā paredzēts apmaksāt narkologiem un psihologiem</t>
  </si>
  <si>
    <t>Pacienta ārstēšanās dienas stacionārā *</t>
  </si>
  <si>
    <t>Piemaksa par darbu dienas stacionārā, strādājot ar pacientiem ar garīgiem un psihiskiem traucējumiem (manipulācija 60122) (F00-F99) **</t>
  </si>
  <si>
    <t>Kopā izmaksas par dienas stacionāra pakalpojumiem programmas ievaros, EUR ***</t>
  </si>
  <si>
    <t>*** Kopējās izmaksās ir iekļauts pacienta līdzmaksājums</t>
  </si>
  <si>
    <t>Funkcionālā speciālista vai psihologa darbs ar pacientu grupu (30 minūtes). Norāda par katru pacientu (grupā 3-5 pacienti) (manipulācija 55176) ****</t>
  </si>
  <si>
    <t>Funkcionālā speciālista vai psihologa darbs ar pacientu grupu (nākamās 15 minūtes). Norāda par katru pacientu (grupā 3-5 pacienti) (manipulācija 55177) ****</t>
  </si>
  <si>
    <t>Epizožu/ gultasdienu skaits</t>
  </si>
  <si>
    <t>**** Aprēķins tika veikts ņemot vērā psihologu un funkcionālo speciālistu patērēto laiku vienas stundas apmērā (katram), strādājot ar pacientu dienas stacionāra laikā</t>
  </si>
  <si>
    <t>Uzdevums</t>
  </si>
  <si>
    <t>Pasākums</t>
  </si>
  <si>
    <t>Budžeta programmas (apakš-programmas kods un nosaukums)</t>
  </si>
  <si>
    <t>Vidēja termiņa budžeta ietvara likumā plānotais finansējums</t>
  </si>
  <si>
    <t>Nepieciešamais papildu finansējums</t>
  </si>
  <si>
    <t>Pasākuma īstenošanas gads (ja pasākuma īstenošana ir terminēta)</t>
  </si>
  <si>
    <t>turpmākajā laikposmā līdz pasākuma pabeigšanai
(ja pasākuma īstenošana ir terminēta)</t>
  </si>
  <si>
    <t>turpmāk ik gadu
(ja pasākuma izpilde nav terminēta)</t>
  </si>
  <si>
    <t>Finansējums plāna realizācijai kopā</t>
  </si>
  <si>
    <t>tajā skaitā</t>
  </si>
  <si>
    <t>29.Veselības ministrija</t>
  </si>
  <si>
    <t>1.Alkoholisko dzērienu pieejamības samazināšana</t>
  </si>
  <si>
    <t>1.1.Īstenot sabiedrības veselības veicināšanas un profilakses pasākumus  atkarību izraisošo vielu, tai skaitā alkohola, lietošanas izplatības mazināšanai, īpaši sociālās atstumtības un nabadzības riskam pakļauto iedzīvotāju grupās.</t>
  </si>
  <si>
    <t>2022</t>
  </si>
  <si>
    <t>1.2.Īstenot alkohola lietošanas profilakses pasākumus grūtniecēm un topošajiem vecākiem.</t>
  </si>
  <si>
    <t>Uzlabota mērķgrupas izpratne par alkohola ietekmi uz grūtnieču veselību un augļa attīstību.</t>
  </si>
  <si>
    <t>Patērētāji, jo īpaši riska grupas, ir informēti un mudināti nelietot alkoholiskos dzērienus.</t>
  </si>
  <si>
    <t>Patērētājiem  ir viegli pieejama informācija par alkoholisko dzērienu sastāvdaļām un uzturvērtību.</t>
  </si>
  <si>
    <t>1.6.Pastiprināt transportlīdzekļu vadītāju kontroli, lai mazinātu transportlīdzekļu vadītāju braukšanu alkohola reibumā.</t>
  </si>
  <si>
    <t>Nepieciešamības gadījumā sagatavoti priekšlikumi grozījumiem normatīvajos aktos.</t>
  </si>
  <si>
    <t>2.Alkoholisko dzērienu mārketinga ierobežošana un cenu politika</t>
  </si>
  <si>
    <t>Nepieciešamības gadījumā veiktas izmaiņas normatīvajos aktos un sagatavoti priekšlikumi fonda izveidei.</t>
  </si>
  <si>
    <t>Izvērtēta iespēja akcīzes nodokļa likmes alkoholiskajiem dzērieniem palielināšanai, ņemot vērā sabiedrības veselības intereses un alkohola rādīto kaitējumu.</t>
  </si>
  <si>
    <t>3.Alkoholisko dzērienu lietošanas un tā radīto seku indikatorrādītāju monitorings un pētījumi</t>
  </si>
  <si>
    <t>3.1.Veikt pašreizējās alkohola lietošanas situācijas un tā radīto seku monitoringa sistēmas novērtējumu.</t>
  </si>
  <si>
    <t>Veikts alkohola lietošanas situācijas un tā radīto seku monitoringa sistēmas izvērtējums.</t>
  </si>
  <si>
    <t>Sagatavoti priekšlikumi alkohola monitoringa sistēmas pilnveidošanai.</t>
  </si>
  <si>
    <t>3.3.Izstrādāt tematisko ziņojumu „Alkohola lietošanas izplatība un sekas Latvijā”.</t>
  </si>
  <si>
    <t>Tematiskais ziņojums publicēts SPKC mājas lapā.</t>
  </si>
  <si>
    <t>3.4.Īstenot pētījumu par alkohola lietošanu, tās radītajām sekām un profilakses ekonomiskajiem ieguvumiem valstī.</t>
  </si>
  <si>
    <t>Analizēta alkoholisko dzērienu lietošana un tās seku ekonomiskās izmaksas.</t>
  </si>
  <si>
    <t>4.Alkohola atkarības ārstēšana un rehabilitācija</t>
  </si>
  <si>
    <t>Nepieciešamības gadījumā: 
-aprobēts PVO alkohola lietošanas traucējumu tests;
-izveidots IT risinājums alkohola lietošanas traucējumu testam;
-izstrādāta rokasgrāmata primārās veselības aprūpes speciālistiem darbā ar IT risinājumu alkohola lietošanas traucējumu diagnosticēšanai pacientiem;
-apmācīti ne mazāk kā 750 primārās veselības aprūpes speciālisti darbā ar pacientu alkohola lietošanas skrīninga veikšanu un īso intervenču sniegšanu.</t>
  </si>
  <si>
    <t>Izveidota ambulatorā valsts apmaksāta atbalsta grupa pusaudžiem ar alkohola atkarību.</t>
  </si>
  <si>
    <t>4.4.Paplašināt valsts apmaksātu ambulatoro grupu psihoterapijas programmu pēc 12 soļu terapijas principiem personām ar alkohola atkarības diagnozi.</t>
  </si>
  <si>
    <t>4.5.Paplašināt dienas stacionāra pakalpojumus alkohola atkarības ārstēšanā par valsts budžeta līdzekļiem pacienta motivēšanai tālākai ārstēšanas programmai pēc akūto stāvokļu kupēšanas stacionārā (ambulatorā ārstēšana, Minesotas programma utt.).</t>
  </si>
  <si>
    <t>Nodrošināti dienas stacionāra pakalpojumi pacienta motivēšanai tālākai ārstēšanas programmai (ambulatorā ārstēšana, Minesotas programma utt.).</t>
  </si>
  <si>
    <t>4.6.Atbrīvot narkoloģijas pacientus no pacientu līdzmaksājumiem ar diagnožu grupu SSK-10 F10.-F.19., saņemot narkoloģiskos pakalpojumus.</t>
  </si>
  <si>
    <t>Paplašināta ārstniecības pieejamība.  Narkoloģijas
pacientiem ir pieejami valsts apmaksāti ambulatorie un stacionārie narkoloģiskās ārstēšanas pakalpojumi.</t>
  </si>
  <si>
    <t>4.7.Izvērtēt iespēju kompensēt medikamentus alkohola atkarīgajiem pacientiem ar diagnožu grupu SSK-10 F10, saņemot narkoloģiskos pakalpojumus.</t>
  </si>
  <si>
    <t>4.8.Izvērtēt iespēju nodrošināt pēctecīgas stacionāras narkoloģiskās ārstēšanas pieejamību alkohola atkarīgajiem pacientiem.</t>
  </si>
  <si>
    <t>Ir izvērtēta iespēja nodrošināt pēctecīgas narkoloģiskās ārstēšanas  (akūtā stāvokļa kupēšana un  motivēšana) saņemšanas iespējas alkohola atkarīgajiem pacientiem.</t>
  </si>
  <si>
    <t>Izvērtēta iespēja nodrošināt ambulatoriem narkoloģiskiem pacientiem medikamentu kompensēšanu.</t>
  </si>
  <si>
    <t>Sagatavots priekšlikumu izvērtējums.</t>
  </si>
  <si>
    <t>4.9.Izveidot bērnu specializēto narkoloģijas nodaļu.</t>
  </si>
  <si>
    <t>Bērniem ar atkarību  problēmām ir pieejama narkoloģiskā palīdzība specializētajā nodaļā.</t>
  </si>
  <si>
    <t>Izveidota bērnu narkoloģiskās ārstēšanas nodaļa ar dažādiem ārstēšanas etapiem.</t>
  </si>
  <si>
    <t>Nodrošināts atbalsts bezdarbniekiem, kuriem iespējama alkohola, narkotisko vai psihotropo vielu atkarība.</t>
  </si>
  <si>
    <t>4.11.Izvērtēt iespēju nodrošināt pēcaprūpi alkohola atkarīgajiem pacientiem pēc Minesotas programmas vai sociālās rehabilitācijas.</t>
  </si>
  <si>
    <t>Izstrādāti priekšlikumi pēcaprūpes pakalpojumu nodrošināšanai narkoloģijas dienas stacionārā vai ambulatori.</t>
  </si>
  <si>
    <t>Kods</t>
  </si>
  <si>
    <t>Koda nosaukums</t>
  </si>
  <si>
    <t>Paskaidrojums un aprēķins</t>
  </si>
  <si>
    <t>2021.gadā</t>
  </si>
  <si>
    <t>Izdevumi kopā</t>
  </si>
  <si>
    <t>Uzturēšanas izdevumi</t>
  </si>
  <si>
    <t>Preces un pakalpojumi</t>
  </si>
  <si>
    <t>Ekspertu konsultācijas metodikas izstrādei - stundas likme 40,00 EUR x 255h // (konsultēšana un metodisks atbalsts metodikas izstrādātājiem satura izstrādes fāzē, teksta sastādīšanas fāzē, gala redakcijas apstiprināšanas fāzē)</t>
  </si>
  <si>
    <t>Tipogrāfija - 500 grāmatas  Valodas - LV (350gab), RUS (150gab)</t>
  </si>
  <si>
    <t xml:space="preserve">Tulkotājs (LV - RUS), 150 lpp x 10 EUR </t>
  </si>
  <si>
    <t xml:space="preserve">Redaktors 450 lpp x 8,07 EUR // (teksta saturiskā un formālā analīze, terminu lietojuma analīze (darbs ar teksta melnraksta redakciju, darbs ar teksta gala redakciju materiāla LV un materiāla RUS redakcijās) </t>
  </si>
  <si>
    <t>Maketētājs (LV un RUS versijas) // (dizaina izstrāde, teksta salikšana (digitālā versija, drukas versija)</t>
  </si>
  <si>
    <t>Korektors 600 lpp x 5,50 EUR // (materiāla kļūdu labošana, ievērojot kopējo stilu materiāla LV redakcijai un RUS redakcijai, materiāla vadīšana sagatavošanai iespiešanai/digitālajai drukai (LV un RUS))</t>
  </si>
  <si>
    <t>Atlīdzība</t>
  </si>
  <si>
    <t>75 % no projekta vadītāja slodzes, laika posmam uz 6 mēnešiem</t>
  </si>
  <si>
    <t>30 % no grāmatveža slodzes laika posmam uz 6 mēnešiem</t>
  </si>
  <si>
    <t>Darba devēja valsts sociālās apdrošināšanas obligātās iemaksas, sociāla rakstura pabalsti un kompensācijas</t>
  </si>
  <si>
    <t>Vienas speciālistu grupas apmācība darbam ar metodiku - 32 stundas; 125 euro/stundā</t>
  </si>
  <si>
    <t>32 stundas x 125 euro x 21%PVN</t>
  </si>
  <si>
    <t>Administratīvās izmaksas (kancelejas preces, telpu īre)</t>
  </si>
  <si>
    <t>4.2.pielikums</t>
  </si>
  <si>
    <t>4.3.pielikums</t>
  </si>
  <si>
    <t>4.4.pielikums</t>
  </si>
  <si>
    <t xml:space="preserve">Finansējuma aprēķins 2021.g.  </t>
  </si>
  <si>
    <t>4.3. Izveidot valsts apmaksātu ambulatoro atbalsta grupu pusaudžiem ar alkohola atkarību.</t>
  </si>
  <si>
    <t>4.4. Paplašināt valsts apmaksātu ambulatoro grupu psihoterapijas programmu pēc 12 soļu terapijas principiem personām ar alkohola atkarības diagnozi.</t>
  </si>
  <si>
    <t>2021.g. prognozējamais  finansējums, EUR</t>
  </si>
  <si>
    <t>4.5.pielikums</t>
  </si>
  <si>
    <t>Īstenota sabiedrības informēšanas kampaņa atkarību profilakses un  veselības veicināšanas jomā (tostarp informatīvu materiālu un izglītojošu īsfilmu izstrāde).</t>
  </si>
  <si>
    <t>63.07.00
Eiropas Sociālā fonda (ESF) projektu īstenošana (2014-2020)</t>
  </si>
  <si>
    <t>1.Regulāri aktualizēta un papildināta informācija portālā www.grutnieciba.lv par alkohola lietošanas kaitīgumu; 
2.Organizētas speciālistu diskusijas ar grūtniecēm un topošajiem vecākiem par alkohola lietošanas ietekmi uz augļa attīstību, to ieraksti publicēti www.grutnieciba.lv.</t>
  </si>
  <si>
    <t>1.Veikts izvērtējums, kuros normatīvajos aktos nepieciešami grozījumi. 
2.Veikti grozījumi normatīvajos aktos.</t>
  </si>
  <si>
    <t>1.Veikts izvērtējums, kuros normatīvajos aktos nepieciešami grozījumi.
2.Veikti grozījumi normatīvajos aktos.</t>
  </si>
  <si>
    <t>Samazinās personu skaits, kuras vada  transportlīdzekli alkohola reibumā.</t>
  </si>
  <si>
    <t xml:space="preserve">1.Veikts izvērtējums, kuros normatīvajos aktos nepieciešami grozījumi. 
2.Veikti grozījumi normatīvajos aktos. </t>
  </si>
  <si>
    <t>Samazināta alkoholisko dzērienu pieejamība.</t>
  </si>
  <si>
    <t>Izvērtēta iespēja izveidot valsts veselības veicināšanas fondu, balstoties uz ieņēmumiem no akcīzes nodokļa par tabaku, alkoholu un nodokļiem par azartspēlēm un izlozēm. Fonda mērķis atbalstīt sabiedrības veselību sekmējošas aktivitātes.</t>
  </si>
  <si>
    <t>Sabiedrībai pieejama informācija par alkohola lietošanas izpatību un sekām Latvijām.</t>
  </si>
  <si>
    <t>3.5.Īstenot pētījumu par alkohola un citu atkarību izraisošo vielu lietošanu grūtniecības laikā.</t>
  </si>
  <si>
    <t xml:space="preserve">Aktivitātes </t>
  </si>
  <si>
    <t>Plānotais finansējums gadā (eiro)</t>
  </si>
  <si>
    <t>2020.g.</t>
  </si>
  <si>
    <t>2021.g.</t>
  </si>
  <si>
    <t>2022.g.</t>
  </si>
  <si>
    <t>kopā</t>
  </si>
  <si>
    <t>Izveidotas un izplatītas videofilmas</t>
  </si>
  <si>
    <t>Izgatavoti un izplatīti informatīvi materiāli</t>
  </si>
  <si>
    <t>Realizēti izglītojoši pasākumi</t>
  </si>
  <si>
    <t>Pētījuma metodikas izstrāde</t>
  </si>
  <si>
    <t>Pētījuma realizācija</t>
  </si>
  <si>
    <t>Mācības</t>
  </si>
  <si>
    <t>4.1.Izvērtēt iespēju aprobēt PVO izveidoto alkohola lietošanas traucējumu testu (AUDIT). 
Pilnveidot nacionālos ieteikumus primārās veselības aprūpes speciālistiem darbā ar AUDIT testu un izveidot testam atbilstošu IT risinājumu. 
Īstenot apmācības primārās aprūpes speciālistiem, lai pilnveidotu profesionālās zināšanas un iemaņas attiecībā uz pacientu alkohola lietošanas paradumu skrīninga veikšanu.</t>
  </si>
  <si>
    <t>Izvērtēta iespēja veikt PVO alkohola lietošanas traucējumu testa aprobāciju.
Aktualizēti un pilnveidoti nacionālie ieteikumi primārās veselības aprūpes speciālistiem darbā ar aprobēto testu un izvērtēta iespēja nodrošināt IT risinājuma izveidošana alkohola lietošanas traucējumu testam.
Primārās veselības aprūpes speciālisti ir apmācīti darbā ar pacientu alkohola lietošanas paradumu skrīninga un īso intervenču veikšanu.</t>
  </si>
  <si>
    <t>Precizēts multidisciplinārās komandas sastāvs, sniedzamo veselības aprūpes pakalpojumu apjoms (precizētas manipulācijas), noteikti pacientu atlases kritēriji šīs multidisciplinārās komandas pakalpojumu saņemšanai. Izstrādāti apmaksas nosacījumi. 
Izstrādāti grozījumi normatīvajos aktos.</t>
  </si>
  <si>
    <t>33.16.00
Pārējo ambulatoro veselības aprūpes pakalpojumu nodrošināšana</t>
  </si>
  <si>
    <t>1.Noteikti pacientu atlases kritēriji pakalpojuma saņemšanai, izstrādāti apmaksas nosacījumi, pakalpojuma saņemšanas un apmaksas kārtība, prasības pakalpojumu sniedzējiem.
2.Noteikti pakalpojuma izvērtējuma indikatori, noteikts komandas sastāvs, kas sniedz šo pakalpojumu.
3.Ieviesta valsts apmaksāta programma.</t>
  </si>
  <si>
    <t>1.Ir ieviesti dienas stacionāra pakalpojumi par valsts budžeta līdzekļiem pacienta motivēšanai tālākai ārstēšanas programmai (ambulatorā ārstēšana, Minesotas programma utt.).
2.Izstrādāti grozījumi MK noteikumos Nr.555. Izstrādāti apmaksas nosacījumi, pacientu atlases kritēriji, ārstēšanas rezultatīvo rādītāju izstrāde.</t>
  </si>
  <si>
    <t>33.18.00
Plānveida stacionāro veselības aprūpes pakalpojumu nodrošināšana</t>
  </si>
  <si>
    <t>Bezdarbniekiem nodrošināti:
- transporta pakalpojumi nokļūšanai pie narkologa un pacienta nodevas kompensācija narkologa atzinuma saņemšanai;
 - dalība Minesotas 12 soļu programmā riska grupām, kuriem atbilstoši narkologa slēdzienam, ir alkohola atkarība;
- nodrošinot uzturošo terapiju, izmantojot psihoterapiju un sensibilizējošus medikamentus  riska grupām ar diagnosticēto alkohola atkarību.</t>
  </si>
  <si>
    <t>Noteikts multidisciplinārās komandas sastāvs, sniedzamo veselības aprūpes pakalpojumu apjoms (precizētas manipulācijas), noteikti pacientu atlases kritēriji šīs multidisciplinārās komandas pakalpojumu saņemšanai. Izstrādāti apmaksas nosacījumi. 
– Grupas vadībā iesaistīts psihologs uz 0,25 slodzi un narkologs uz 0,25 slodzi.
- Izstrādāti grozījumi MK noteikumos Nr.555.</t>
  </si>
  <si>
    <t>1.Izstrādāti priekšlikumi pēctecīgas stacionāras narkoloģiskās ārstēšanas pieejamības nodrošināšanai (vismaz 50% no stacionāra izrakstītiem akūtiem narkoloģiskiem pacientiem un ārstēšanas ilgums Motivācijas programmā 7 dienas). 
2.Izstrādāti pacientu atlases kritēriji par Motivācijas programmas saņemšanu stacionārā vai dienas stacionārā.
3.Izstrādāti ārstēšanas rezultātu izvērtēšanas kritēriji, noteikts pakalpojumu apjoms un apmaksas nosacījumi.</t>
  </si>
  <si>
    <t>Izvērtēta iespēja nodrošināt pēcaprūpi pacientiem pēc Minesotas programmas vai sociālās rehabilitācijas.</t>
  </si>
  <si>
    <t>17.Satiksmes ministrija</t>
  </si>
  <si>
    <t>14.Iekšlietu ministrija</t>
  </si>
  <si>
    <t>13.Finanšu ministrija</t>
  </si>
  <si>
    <t>18.Labklājības ministrija</t>
  </si>
  <si>
    <t>33.09.00. "Interešu izglītības nodrošināšana VSIA "Bērnu klīniskā universitātes slimnīca"</t>
  </si>
  <si>
    <t>4.9.pielikums</t>
  </si>
  <si>
    <t>4.6.pielikums</t>
  </si>
  <si>
    <t>4.1.pielikums</t>
  </si>
  <si>
    <t>3.5.pielikums</t>
  </si>
  <si>
    <t>3.4.pielikums</t>
  </si>
  <si>
    <t>1.1.pielikums</t>
  </si>
  <si>
    <t> Pasākumu kopums, kas tiks nodrošināti ESF 9.2.4.1. pasākuma “Kompleksi veselības veicināšanas un slimību profilakses pasākumi” ietvaros.</t>
  </si>
  <si>
    <t>Pasākumu kopums, ko plānots nodrošināt ESF 9.2.4.2. pasākuma “Pasākumi vietējās sabiedrības veselības veicināšanai un slimību profilaksei” ietvaros.</t>
  </si>
  <si>
    <t>Pasākums tiks nodrošināts ESF 9.2.4.1. pasākuma “Kompleksi veselības veicināšanas un slimību profilakses pasākumi” ietvaros</t>
  </si>
  <si>
    <t>4.1.Izvērtēt iespēju aprobēt PVO izveidoto alkohola lietošanas traucējumu testu (AUDIT). Pilnveidot nacionālos ieteikumus primārās veselības aprūpes speciālistiem darbā ar AUDIT testu un izveidot testam atbilstošu IT risinājumu. Īstenot apmācības primārās aprūpes speciālistiem, lai pilnveidotu profesionālās zināšanas un iemaņas attiecībā uz pacientu alkohola lietošanas paradumu skrīninga veikšanu.</t>
  </si>
  <si>
    <t>Pasākums (Apmācības primārās aprūpes speciālistiem) tiks nodrošināts ESF 9.2.6.0. “Ārstniecības un ārstniecības atbalsta personāla kvalifikācijas uzlabošana” ietvaros.</t>
  </si>
  <si>
    <t>Finansējumu nav iespējams plānot, jo ESF 9.2.4.2. pasākuma 2. kārtas finansējums 2020.-2022.g.nav apstiprināts.</t>
  </si>
  <si>
    <t>2021</t>
  </si>
  <si>
    <t>33.09.00
Interešu izglītības nodrošināšana VSIA "Bērnu klīniskā universitātes slimnīca"</t>
  </si>
  <si>
    <t>33.16.00 Pārējo ambulatoro veselības aprūpes pakalpojumu nodrošināšana</t>
  </si>
  <si>
    <t>33.18.00 Plānveida stacionāro veselības aprūpes pakalpojumu nodrošināšana</t>
  </si>
  <si>
    <t>63.07.00 Eiropas Sociālā fonda (ESF) projektu īstenošana (2014-2020)</t>
  </si>
  <si>
    <t>33.17.00 Neatliekamās medicīniskās palīdzības nodrošināšana stacionārās ārstniecības iestādēs</t>
  </si>
  <si>
    <t>Ir ieviesti dienas stacionāra pakalpojumi par valsts budžeta līdzekļiem pacienta sagatavošanai tālākai atkarības ārstēšanas programmai.</t>
  </si>
  <si>
    <t>Valsts sociālās apdrošināšanas obligātās iemaksas,
EUR</t>
  </si>
  <si>
    <t>Veselības ministrijas valsts budžeta apakšprogramma</t>
  </si>
  <si>
    <t>KOPĀ</t>
  </si>
  <si>
    <t>2020.gadā valsts budžetā pieejamais finansējums,
EUR</t>
  </si>
  <si>
    <t>2021.gadā valsts budžetā pieejamais finansējums,
EUR</t>
  </si>
  <si>
    <t>2022.gadā valsts budžetā pieejamais finansējums,
EUR</t>
  </si>
  <si>
    <t>2021.gadā papildus nepieciešamais finansējums,
EUR</t>
  </si>
  <si>
    <t>2022.gadā papildus nepieciešamais finansējums,
EUR</t>
  </si>
  <si>
    <t>turpmāk ik gadu (ja pasākuma izpilde nav terminēta),
EUR</t>
  </si>
  <si>
    <t>4.3.Palielināt valsts apmaksātas ambulatorās narkoloģiskās palīdzības sniegšanas iespējas pusaudžiem.</t>
  </si>
  <si>
    <t>4.2.Paplašināt ambulatorās multidisciplinārās narkoloģiskās ārstēšanas iespējas valstī.</t>
  </si>
  <si>
    <t>Izstrādāts optimālākais pakalpojuma apmaksas modelis.</t>
  </si>
  <si>
    <t>Palielinājusies sabiedrības informētība par atkarību izraisošo vielu lietošanas  kaitīgumu.</t>
  </si>
  <si>
    <t>tai skaitā:</t>
  </si>
  <si>
    <t>33.16.00 "Pārējo ambulatoro veselības aprūpes pakalpojumu nodrošināšana"</t>
  </si>
  <si>
    <t>33.18.00 "Plānveida stacionāro veselības aprūpes pakalpojumu nodrošināšana"</t>
  </si>
  <si>
    <t>Ārsts - Narkologs</t>
  </si>
  <si>
    <t>Atkarību profilakses speciālists</t>
  </si>
  <si>
    <t>Bērnu māsa</t>
  </si>
  <si>
    <t>Māsu palīgs</t>
  </si>
  <si>
    <t>Klīniskais psihologs</t>
  </si>
  <si>
    <t>Tālākizglītība, komandējumi</t>
  </si>
  <si>
    <t>Vienas stundas tarifa likme</t>
  </si>
  <si>
    <t>PVN 21%</t>
  </si>
  <si>
    <t>Stundas diennaktī</t>
  </si>
  <si>
    <t>Posteņu skaits</t>
  </si>
  <si>
    <t>Medikamenti, reaģenti laboratoriskajiem izmeklējumiem</t>
  </si>
  <si>
    <t>Medmateriāli</t>
  </si>
  <si>
    <t>Izmaksas 1 gultu dienai</t>
  </si>
  <si>
    <t>Izmaksas uz plānotajām gultu dienām pie 75% noslodzes</t>
  </si>
  <si>
    <t>Komunālie maksājumi, Infrastruktūras amortizācija, mazvērtīgais inventārs, saimniecības preces , ārpakalpojumi u.c izmaksas</t>
  </si>
  <si>
    <t>Ārstniecības personāls</t>
  </si>
  <si>
    <t>Aprūpes personāls</t>
  </si>
  <si>
    <t>Papildus nepieciešamais finansējums Pusaudžu narkoloģijas nodaļas izveidošanai BKUS, tai skaitā:</t>
  </si>
  <si>
    <t>Aprēķins jaunajai Bērnu klīniskās universitātes slimnīcas Pusaudžu narkoloģijas nodaļai ar  8 gultām</t>
  </si>
  <si>
    <t xml:space="preserve">4.2. Paplašināt ambulatorās multidisciplinārās narkoloģiskās ārstēšanas iespējas valstī, izņemot Bērnu klīnisko universitātes slimnīcu. </t>
  </si>
  <si>
    <t>** Kabinetu uzturēšanas izmaksas (telpu noma, komunālie, utt.)</t>
  </si>
  <si>
    <t>*** MK noteikumu Nr.555 10.pielikums</t>
  </si>
  <si>
    <t>21.Vides aizsardzības un reģionālās attīstības ministrija</t>
  </si>
  <si>
    <t>14.Zemkopības ministrija</t>
  </si>
  <si>
    <t>16.Zemkopības ministrija</t>
  </si>
  <si>
    <t>Narkoloģiskā profila dienas stacionārā</t>
  </si>
  <si>
    <t xml:space="preserve">Darbības nodrošināšanai nepieciešamie līdzekļi,
EUR** </t>
  </si>
  <si>
    <t>Finansējuma apjoms,
EUR</t>
  </si>
  <si>
    <t>Piemaksa par sarežģītību,
EUR***</t>
  </si>
  <si>
    <t>Piemaksa  par pieejamības nodrošināšanu un darbu paaugstinātas intensitātes apstākļos,
 EUR***</t>
  </si>
  <si>
    <t>Darba samaksa,
EUR*</t>
  </si>
  <si>
    <t>Piemaksa  par pieejamības nodrošināšanu un darbu paaugstinātas intensitātes apstākļos,
EUR***</t>
  </si>
  <si>
    <t>Finansējums,
EUR</t>
  </si>
  <si>
    <t>Pakalpojuma vidējās izmaksas,
EUR</t>
  </si>
  <si>
    <t>Pielikums par Alkoholisko dzērienu patēriņa mazināšanas un alkoholisma ierobežošanas rīcības plānā 2020.-2022.gadam iekļauto uzdevumu īstenošanai nepieciešamo valsts budžeta finansējumu.</t>
  </si>
  <si>
    <t>veikts 1 pētījums</t>
  </si>
  <si>
    <t>Veikti grozījumi normatīvajos aktos.</t>
  </si>
  <si>
    <t>Metodikas izstradāšana - stundas likme 13,34 EUR x 83h x 2 speciālisti x 5 mēneši // (metodikas satura izstrāde,metodikas teksta sastādīšana, jomas ekspertu rekomendāciju iestrādāšana materiālā, saskaņošana, metodikas teksta satura precizēšana līdz gala redakcijai)</t>
  </si>
  <si>
    <r>
      <t xml:space="preserve">* Pacienta ārstēšanās dienas stacionārā: EUR 17.35 (manipulācija 60110) + EUR 7.00 (pacienta līdzmaksājums) = </t>
    </r>
    <r>
      <rPr>
        <b/>
        <sz val="11"/>
        <rFont val="Times New Roman"/>
        <family val="1"/>
        <charset val="186"/>
      </rPr>
      <t>EUR 24.35</t>
    </r>
  </si>
  <si>
    <t>Narkoloģijas programmu hospitalizēto pacientu skaits 2018. gada 12 mēneši</t>
  </si>
  <si>
    <t>Atlases veids</t>
  </si>
  <si>
    <t xml:space="preserve">Hospitalizēto pacientu skaits * </t>
  </si>
  <si>
    <t>Dienas stacionāra pakalpojumu saņēmēji</t>
  </si>
  <si>
    <t>Neatliekamās palīdzības pakalpojumu ietvaros</t>
  </si>
  <si>
    <t>Plānvieda pakalpojumu ietvaros</t>
  </si>
  <si>
    <t>20% no hospitalizētajiem pacientiem</t>
  </si>
  <si>
    <t>Gultasdienu skaits (vidēji 6 dienas katram pacientam)</t>
  </si>
  <si>
    <t>Dati atlasīti pēc pakalpojumu programmām**</t>
  </si>
  <si>
    <t>* F10-F19 Psihiski un uzvedības traucējumi psihoaktīvo vielu lietošanas dēļ</t>
  </si>
  <si>
    <t>** Pacienti ar F10-F19 izrakstīšanas pamata diagnozēm "iekrīt" sekojošās pakalpojumu programmās:</t>
  </si>
  <si>
    <t>BN501.1</t>
  </si>
  <si>
    <t xml:space="preserve">Narkoloģija </t>
  </si>
  <si>
    <t>BN510.1</t>
  </si>
  <si>
    <t>BP502.01</t>
  </si>
  <si>
    <t>BP502.02</t>
  </si>
  <si>
    <t>BP504.1</t>
  </si>
  <si>
    <t>FP502.01</t>
  </si>
  <si>
    <t>Pielikums programmai- Narkomānu rehabilitācija stacionārā pieaugušajiem</t>
  </si>
  <si>
    <t>FP502.02</t>
  </si>
  <si>
    <t>Pielikums programmai- Narkomānu rehabilitācija stacionārā bērniem</t>
  </si>
  <si>
    <t>Saskaņā ar narkoloģijas galvenās speciālistes A.Stirnas sniegto informāciju:</t>
  </si>
  <si>
    <t>daļa (%) no hospitalizētajiem pacientiem, kuri tālāk būtu virzāmi pakalpojumu saņemšanai dienas stacionārā</t>
  </si>
  <si>
    <t xml:space="preserve"> ~20%</t>
  </si>
  <si>
    <t>gultasdienu skaits, kas nepieciešams ārstēšanas saņemšanai dienas stacionārā</t>
  </si>
  <si>
    <t>5-7 dienas vienam pacientam, tātad vidēji 6 dienas</t>
  </si>
  <si>
    <t>Samazinās ceļu satiksmes negadījumu skaits, kurus izraisījuši transporta līdzekļu vadītāji alkohola reibumā.</t>
  </si>
  <si>
    <t>Samazinās riskanta alkoholisko dzērienu lietošana azartspēļu zālēs un kazino.</t>
  </si>
  <si>
    <t>1.9.Pastiprināt kontroli, lai novērstu alkoholisko dzērienu tirdzniecību nepilngadīgām personām.</t>
  </si>
  <si>
    <t>1.7. Izveidot uzvedības korekcijas programmas transportlīdzekļu vadītājiem, kuri sodīti par transportlīdzekļu vadīšanu alkohola reibumā (arī narkotisko vai citu apreibinošo vielu ietekmē).</t>
  </si>
  <si>
    <t>Izveidota uzvedības korekcijas programma transportlīdzekļu vadītājiem, kuri sodīti par transportlīdzekļu vadīšanu alkohola reibumā (arī narkotisko vai citu apreibinošo vielu ietekmē)
un kuriem pirmstermiņa veselības pārbaudē nekonstatē alkohola, narkotisko vai psihotropo vielu pārmērīgu, kaitējošu lietošanu vai atkarību un kuri vēlas atgūt transportlīdzekļu vadīšanas tiesības.</t>
  </si>
  <si>
    <t>Veikts izvērtējums un nepieciešamības gadījumā sagatavoti priekšlikumi grozījumiem normatīvajos aktos.</t>
  </si>
  <si>
    <t>Samazinās alkoholisko dzērienu tirdzniecība nepilngadīgajām personām.</t>
  </si>
  <si>
    <t>Veikts izvērtējums un nepieciešamības gadījumā sagatavoti priekšlikumi izmaiņām normatīvajos aktos.</t>
  </si>
  <si>
    <t>Samazinās alkoholu saturošu kosmētikas un higiēnas līdzekļu pieejamība un patēriņš.</t>
  </si>
  <si>
    <t>Samazināta alkoholisko dzērienu pieejamība un patēriņš.</t>
  </si>
  <si>
    <t>Pārskatīts alkoholisko dzērienu tirdzniecības laiks atbilstoši ārvalstu pieredzei un rezultātiem un izvērtēta alkoholisko dzērienu tirdzniecības laika saīsināšana.
Nepieciešamības gadījumā sagatavoti grozījumi normatīvajos aktos.</t>
  </si>
  <si>
    <t>2.5.Izvērtēt iespēju aizliegt tirgot alkoholiskos dzērienus, kuros spirta daudzums pārsniedz 22%, kuru tilpums nepārsniedz 0,2l un kuri pildīti plastmasas (PET) iepakojumā.</t>
  </si>
  <si>
    <t>Veikts izvērtējums un nepieciešamības gadījumā veikti grozījumi normatīvajos aktos.</t>
  </si>
  <si>
    <t>2.6.Valsts nodokļu politikas pamatnostādņu ietvarā attiecīgajam periodam pārskatīt akcīzes nodokli alkoholiskajiem dzērieniem, samērojot valsts fiskālos un sabiedrības veselības aizsardzības mērķus.</t>
  </si>
  <si>
    <t>Samazinās alkoholisko dzērienu patēriņš sabiedrībā.</t>
  </si>
  <si>
    <t>Samazinās alkoholisko dzērienu pieejamība un patēriņš sabiedrībā.</t>
  </si>
  <si>
    <t>4.10. Īstenot pasākumus alkohola, narkotisko vai psihotropo vielu atkarības mazināšanai (novēršanai) ilgstošajiem bezdarbniekiem.</t>
  </si>
  <si>
    <t>2.4. Izvērtēt iespēju izveidot valsts veselības veicināšanas fondu, iezīmējot finansējumu 0,5% apmērā no akcīzes nodokļa ieņēmumiem par alkoholu, tabaku un nodokļiem par azartspēlēm un izlozēm.</t>
  </si>
  <si>
    <t>Analizēta alkohola un citu atkarību izraisošo vielu lietošana grūtniecības laikā.</t>
  </si>
  <si>
    <t>Samazinās nelegālā alkohola aprite.</t>
  </si>
  <si>
    <t>Nav ietekmes uz budžetu</t>
  </si>
  <si>
    <t>0</t>
  </si>
  <si>
    <t>2020.g. pakalpojuma  finansējums, EUR</t>
  </si>
  <si>
    <t xml:space="preserve">*** MK noteikumu Nr.555 10.pielikums. </t>
  </si>
  <si>
    <t>Garīgās veselības aprūpes māsas kabinets</t>
  </si>
  <si>
    <t xml:space="preserve">** Kabinetu uzturēšanas izmaksas (telpu noma, komunālie, utt.). </t>
  </si>
  <si>
    <t>**** Narkologa iekļaušanu multidisciplinārās komandas darbā ir plānots veikt nākotnes grozījumos MK noteikumos Nr.555, tai skaitā iekļaujot narkologa kabineta darbības nodrošināšanai nepieciešamo līdzekļu apmēru 3 540 euro.</t>
  </si>
  <si>
    <t>***  Vidējais pacientu līdzmaksājumu apjoms, saņemot ārstēšanu stacionāros.</t>
  </si>
  <si>
    <t>** Vidējais līdzmaksājumu apjoms uz vienu aprūpes epizodi</t>
  </si>
  <si>
    <r>
      <t>Pacientu līdzmaksājuma apjoms vidēji uz vienu epizodi/ gultasdienu, EUR</t>
    </r>
    <r>
      <rPr>
        <sz val="11"/>
        <color rgb="FFFF0000"/>
        <rFont val="Times New Roman"/>
        <family val="1"/>
      </rPr>
      <t>**</t>
    </r>
  </si>
  <si>
    <t>***** Atkarību profilakses speciālista iekļaušanu multidisciplinārās komandas darbā ir plānots veikt nākotnes grozījumos MK noteikumos Nr.555, tai skaitā iekļaujot atkarību profilakses speciālista kabineta darbības nodrošināšanai nepieciešamo līdzekļu apmēru 3 416 euro.</t>
  </si>
  <si>
    <t>Funkcionālā speciālista kabinets</t>
  </si>
  <si>
    <t>Atkarību profilakses speciālista kabinets*****</t>
  </si>
  <si>
    <t>Plānoto gultu skaits</t>
  </si>
  <si>
    <t>Gultas dienu skaits gadā</t>
  </si>
  <si>
    <t>Noslodzes apmērs</t>
  </si>
  <si>
    <t>Gultas dienu skaits gadā ar 75 % noslodzi</t>
  </si>
  <si>
    <t>Prognozējamais ēdināmo pacientu īpatsvars</t>
  </si>
  <si>
    <t>Interešu izglītības pedagogs</t>
  </si>
  <si>
    <t>Detalizāts apraksts</t>
  </si>
  <si>
    <t>Palātas iekārtošana atbilstoši speciālām prasībām 5791 eiro, māsu postenis 3020 eiro, procedūru telpa 615 eiro, atpūtas un rotaļu telpa 4110 eiro, pārrunu un satikšanas telpa 3000 eiro, interešu izglītības telpa 3000 eiro, sporta trenažieru zāle 4500 eiro, 12% neparedzētas izmaksas, PVN.</t>
  </si>
  <si>
    <t>Palātas iekārtošana atbilstoši speciālām prasībām 18796 eiro,  procedūru telpa 2751 eiro, dekontaminācijas telpa 1441 eiro, 12% neparedzētas izmaksas, PVN.</t>
  </si>
  <si>
    <t>2 personas 2022.gadā  pieredzes apmaiņā ārpus LV, turpmāk pieredzes apmaiņa Latvijā.</t>
  </si>
  <si>
    <t>5 personas 2022.gadā  pieredzes apmaiņā ārpus LV, turpmāk pieredzes apmaiņa Latvijā.</t>
  </si>
  <si>
    <t>Uzturēšanas izmaksas atbilstoši BKUS pašizmaksai: komunālie maksājumi, NĪN, infrastruktūras amortizācija, telpu amortizācija, mazvērtīgā inventārs, saimniecības preces, veļas mazgāšanas ārpakalpojums, sadzīves atkritumu izvešana, pieskaitāmās administratīvās, saimnieciskās, ārstniecības atbalsta dienestu un IT izmaksas, riska nodeva par personālu.</t>
  </si>
  <si>
    <t>2022.gada 6 mēnešiem: 12 eiro * gultas dienu skaits pusgadā ar 75% noslodzi 1095</t>
  </si>
  <si>
    <t>2022.gada 6 mēnešiem: Plānotais gultas dienu skaits pusgadā: 8 gultas * 365 / 2 = 1460 * 75% noslodze * prognozējamo ēdināmo pacientu īpatsvars 90% * pacientu ēdināšanas izmaksas 1 gultas dienai</t>
  </si>
  <si>
    <t>2022.gada 6 mēnešiem: 5 eiro * gultas dienu skaits pusgadā ar 75% noslodzi 1095</t>
  </si>
  <si>
    <t>turpmāk ik gadu, EUR</t>
  </si>
  <si>
    <t>*6,25 stundas likme x stundu skaits</t>
  </si>
  <si>
    <t>(1485 eiro + 30% (piemaksa par sarežģītību) + 40% (piemaksa  par pieejamības nodrošināšanu un darbu paaugstinātas intensitātes apstākļos)) / 168 (vidēji darba stundas mēnesī) = 15,03 eiro (stundas likme)
15,03 eiro x 1000 (vidēji darba stundas gadā) x 24,09% (VSAOI) = 37 301,45 eiro
Paredzēti 2 klīniskie psihologi uz 0,5 slodze katrs.
2022.gadā dārbu sāks 1.jūlijā.</t>
  </si>
  <si>
    <t>(1485 eiro + 30% (piemaksa par sarežģītību) + 40% (piemaksa  par pieejamības nodrošināšanu un darbu paaugstinātas intensitātes apstākļos)) / 168 (vidēji darba stundas mēnesī) = 15,03 eiro (stundas likme)
15,03 eiro x 2000 (vidēji darba stundas gadā) x 24,09% (VSAOI) = 37 301,45 eiro
Paredzētas divas ārstu - narkologu slodzes.
2022.gadā darbu sāks 1.jūlijā.</t>
  </si>
  <si>
    <t>(1485 eiro + 30% (piemaksa par sarežģītību) + 40% (piemaksa  par pieejamības nodrošināšanu un darbu paaugstinātas intensitātes apstākļos)) / 168 (vidēji darba stundas mēnesī) = 15,03 eiro (stundas likme)
15,03 eiro x 1000 (vidēji darba stundas gadā) x 24,09% (VSAOI) = 37 301,45 eiro
Paredzēta viena atkarību profilakses specialistu slodze (2 specialisti 0,5 slodzes katrs).
2022.gadā darbu sāks 1.jūlijā.</t>
  </si>
  <si>
    <t>(891 eiro + 30% (piemaksa par sarežģītību)) / 168 (vidēji darba stundas mēnesī) = 6,89 eiro (stundas likme)
6,89 eiro x  9125 (nostrādato darba, nakts un svētku dienu stundu skaits kopā visiem bērnu māsu posteņiem) x 24,09% (VSAOI) = 78 016,93 eiro
2022.gadā darbu sāks 1.jūlijā.</t>
  </si>
  <si>
    <t>594 eiro / 168 (vidēji darba stundas mēnesī) = 3,54 eiro (stundas likme)
3,54 eiro x  8760 (nostrādato darba, nakts un svētku dienu stundu skaits kopā visiem māsu palīgu posteņiem) x 24,09% (VSAOI) = 38 480,81 eiro
2022.gadā darbu sāks 1.jūlijā.</t>
  </si>
  <si>
    <t>4.9.3. Ambulatorie pakalpojumi narkoloģijas pacientiem Bērnu klīniskajā universitātes slimnīcā.</t>
  </si>
  <si>
    <t>Pašreiz Bērnu klīniskajā universitātes slimnīcā jau tiek apmaksāts narkologa darbs:</t>
  </si>
  <si>
    <t>Specialitāte (pakalpojuma sniedzēja)</t>
  </si>
  <si>
    <t>Epizožu skaits</t>
  </si>
  <si>
    <t>Apmeklējumu skaits</t>
  </si>
  <si>
    <t>Unikālo pacientu skaits</t>
  </si>
  <si>
    <t>Perioda Gads (aktuālais)</t>
  </si>
  <si>
    <t>Aprūpes epizodes tarifs, EUR</t>
  </si>
  <si>
    <t>Finansējuma apjoms gadā, EUR</t>
  </si>
  <si>
    <t>Pašreizējo apmaksas modeli paredzēts mainīt uz kabinetu apmaksu, attiecīgi:</t>
  </si>
  <si>
    <t>**** Narkologa iekļaušanu multidisciplinārās komandas darbā ir plānots veikt nākotnes grozījumos MK noteikumos Nr.555, tai skaitā iekļaujot narkologa kabineta darbības nodrošināšanai nepieciešamo līdzekļu apmēru 3 540 euro par pilnu slodzi.</t>
  </si>
  <si>
    <t>P28 - narkologs*</t>
  </si>
  <si>
    <t>* Pašreizējais narkologa darba apjoms pielīdzināms 0,25 slodzēm. Aprūpes epizodes tarifs ietver 29 minūšu darba laika apmaksu ārstam.</t>
  </si>
  <si>
    <t>Attiecīgi, ņemot vērā apmaksas modeļa izmaiņas, papildus esošās narkologa slodzes apmaksai pēc jaunā kabinetu apmaksas principa būtu nepieciešami, EUR gadā:</t>
  </si>
  <si>
    <t>Narkologa kabinets****</t>
  </si>
  <si>
    <t>* Darba samaksas aprēķinam izmantotas sekojošas likmes: narkologam 1 485 euro</t>
  </si>
  <si>
    <t>* Darba samaksas aprēķinam izmantotas sekojošas likmes: narkologam un psihologam, funkcionālam speciālistam  - 1 485 euro, māsai - 891 euro</t>
  </si>
  <si>
    <t>* Darba samaksas aprēķinam izmantotas sekojošas likmes: narkologam un psihologam, atkarību profilakses specialistam - 1 485 euro</t>
  </si>
  <si>
    <t>Darbības nodrošināšanai nepieciešamie līdzekļi,
EUR**</t>
  </si>
  <si>
    <t>Narkologa kabinets**</t>
  </si>
  <si>
    <t>Piemaksa par sarežģītību,
EUR**</t>
  </si>
  <si>
    <t>Piemaksa  par pieejamības nodrošināšanu un darbu paaugstinātas intensitātes apstākļos,
EUR**</t>
  </si>
  <si>
    <t>** Narkologa iekļaušanu multidisciplinārās komandas darbā ir plānots veikt nākotnes grozījumos MK noteikumos Nr.555, tai skaitā iekļaujot narkologa kabineta darbības nodrošināšanai nepieciešamo līdzekļu apmēru 3 540 euro par pilnu slodzi.</t>
  </si>
  <si>
    <t>1.3.Iekļaut alkoholisko dzērienu marķējumā informāciju, kura mudina iedzīvotājus nelietot alkoholu grūtniecības laikā un vadot transportlīdzekli.</t>
  </si>
  <si>
    <t>1.4. Iekļaut alkoholisko dzērienu marķējumā informāciju par alkoholisko dzērienu sastāvdaļām, uzturvērtību, tai skaitā enerģētisko vērtību, norādot sastāva informāciju drukātā veidā uz dzēriena etiķetes vai izmantojot QR koda starpniecību.</t>
  </si>
  <si>
    <t>1.5.Izvērtēt iespēju samazināt noteikto pieļaujamo alkohola koncentrāciju asinīs visiem transportlīdzekļu vadītājiem (līdz 0,2 promiles).</t>
  </si>
  <si>
    <t>Nepilgadīgas personas tiek informētas un mudinātas nelietot alkoholiskos dzērienus.</t>
  </si>
  <si>
    <t>Palielināts transportlīdzekļu vadītāju kontroļu skaits (līdz 10% palielinājums gadā).</t>
  </si>
  <si>
    <t>Veselības ministrija</t>
  </si>
  <si>
    <t>2.1.Aizliegt tirdzniecības veicināšanas pasākumus (akcijas, izpārdošanas u.tml.), kas piedāvā kopā ar alkoholisko dzērienu iegādāties ar atlaidi citu alkoholisko dzērienu, preci vai pakalpojumu, kā arī, kas piedāvā kopā ar citu preci vai pakalpojumu iegādāties ar atlaidi alkoholisko dzērienu.</t>
  </si>
  <si>
    <t>2.2. Aizliegt tirdzniecības vietām, kurās tiek pārdoti vai izvietoti alkoholiskie dzērieni, pircēja/klienta dzimšanas dienā un vārda dienā, tai skaitā lojalitātes programmas ietvaros, popularizēt alkoholiskos dzērienu iegādi ar atlaidi.</t>
  </si>
  <si>
    <t>3.2.Izmantojot veiktās komersantu aptaujas datus par alkohola tirdzniecības apjomiem pierobežā, veikt ikgadēju Latvijas iedzīvotāju reģistrētā absolūtā alkohola patēriņa aprēķināšanu, atrēķinot alkohola patēriņu pārrobežas tūrisma rezultātā.</t>
  </si>
  <si>
    <t>Iegūti dati par reģistrētā absolūtā alkohola pātēriņu Latvijā.</t>
  </si>
  <si>
    <t>Veikta ikgadēja Latvijas iedzīvotāju reģistrētā absolūtā alkohola patēriņa aprēķināšana, atrēķinot alkohola patēriņu pārrobežas tūrisma rezultātā.</t>
  </si>
  <si>
    <t>Sakārtots tiesiskais regulējums atskurbināšanas pakalpojumu jomā.</t>
  </si>
  <si>
    <t>4.12. Izstrādāt atskurbināšanas pakalpojumu normatīvo regulējumu.</t>
  </si>
  <si>
    <t>1.8.Aizliegt azartspēļu zālēs un kazino piedāvāt alkoholiskos dzērienus par brīvu. Aizliegt tirgot, lietot un pienest alkoholiskos dzērienus azartspēļu zālēs un kazino pie azartspēļu automātiem, spēļu galdiem un citām azartspēļu iekārtām.</t>
  </si>
  <si>
    <t>1.10.Pastiprināt alkoholisko dzērienu aprites kontroli, kā arī pastiprināt cīņu pret nelegālā alkohola apriti.</t>
  </si>
  <si>
    <t>1.11.Izvērtēt iespēju ierobežot alkoholu saturošu kosmētikas un higiēnas līdzekļu izmantošanu apreibināšanās nolūkos.</t>
  </si>
  <si>
    <t xml:space="preserve">Palielināts kontroļu skaits  ( līdz 10% palielinājums gadā). </t>
  </si>
  <si>
    <t xml:space="preserve">Palielināts kontroļu skaits tirdzniecības vietās ( līdz 10% palielinājums gadā). </t>
  </si>
  <si>
    <t>1.12. Izvērtēt iespēju pārskatīt alkoholisko dzērienu tirdzniecības laiku, ņemot vērā citu valstu pieredzi.</t>
  </si>
  <si>
    <t>1.13. Noteikt, ka mazumtirdzniecības vietās, kurās tirgo un izvieto alkoholiskos dzērienus, jābūt norādītai informācijai ar brīdinājumu, ka alkoholiskos dzērienus nevar lietot nepilngadīgas personas un, ka to lietošana kaitē  veselībai.</t>
  </si>
  <si>
    <t>Sniegti kvalitatīvi atskurbināšanas pakalpojumi</t>
  </si>
  <si>
    <t>ESF 9.1.1.1. pasākuma ”Subsidētās darbavietas nelabvēlīgākā situācijā esošiem bezdarbniekiem” ietvaros</t>
  </si>
  <si>
    <t>2.3.Aizliegt cenu un atlaižu reklāmu alum un vīnam televīzijā un radio, aizliegt alkoholisko dzērienu cenu un atlaižu reklāmu drukātajos medijos un drukātajos materiālos, kinoteātros un internetā, izņemot tirdzniecības vietas, kurās tiek izvietoti un pārdoti alkoholiskie dzērieni. Aizliegt izplatīt alkoholisko dzērienu cenu un atlaižu reklāmu ārpus tirdzniecības vietām, kurās tiek izvietoti un pārdoti alkoholiskie dzērieni.</t>
  </si>
  <si>
    <t>Pacientu līdzmaksājuma apjoms vidēji uz vienu hospitalizēto pacientu, EUR***</t>
  </si>
  <si>
    <t>4.9.1. Interešu izglītība (Stacionāra pakalpojumu - PUSAUDŽU NARKOLOĢIJAS NODAĻA Bērnu klīniskajā universitātes slimnīcā - plānots uzsākt sākot ar 2022.gada 1.jūliju)</t>
  </si>
  <si>
    <t>Mēnešalga* par 6 mēnešiem,
EUR</t>
  </si>
  <si>
    <t>Kopā nepieciešamais finansējums papildus vienai slodzei 2022.gada 6 menešos, EUR</t>
  </si>
  <si>
    <t>4.9.2. Plānotā finanšu tāme Stacionāra pakalpojumam - PUSAUDŽU NARKOLOĢIJAS NODAĻA Bērnu klīniskajā universitātes slimnīcā - plānots uzsākt sākot ar 2022.gada 1.jūliju</t>
  </si>
  <si>
    <t>Telpu aprīkojums, pamatlīdzekļi (2022.gadā vienreizējs iekārtošanas maksājums, turpmāk ik gadu amortizācijas izmaksas)</t>
  </si>
  <si>
    <t xml:space="preserve">Mēbeles </t>
  </si>
  <si>
    <t xml:space="preserve">Medicīnas inventārs </t>
  </si>
  <si>
    <t>Uzturēšanas izmaksas  (2022.gadā 6 mēnešos)</t>
  </si>
  <si>
    <t>Pacientu ēdināšanas izmaksas  (2022.gadā 6 mēnešos)</t>
  </si>
  <si>
    <t>Medikamenti, medmateriāli  (2022.gadā 6 mēnešos)</t>
  </si>
  <si>
    <t>Apsardzes izmaksas - viens diennakts postenis, ārpakalpojums (2022.gadā 6 mēnešos)</t>
  </si>
  <si>
    <r>
      <rPr>
        <sz val="12"/>
        <rFont val="Times New Roman"/>
        <family val="1"/>
      </rPr>
      <t xml:space="preserve">Multidisciplinārās komandas finansējuma aprēķins - </t>
    </r>
    <r>
      <rPr>
        <b/>
        <sz val="12"/>
        <rFont val="Times New Roman"/>
        <family val="1"/>
      </rPr>
      <t>papildu speciālistu slodzes:</t>
    </r>
  </si>
  <si>
    <t>3.5.Īstenot pētījumu par alkohola un citu atkarību izraisošo vielu lietošanu grūtniecības laikā</t>
  </si>
  <si>
    <t>3.4.Īstenot pētījumu par alkohola lietošanu, tās radītajām sekām un profilakses ekonomiskajiem ieguvumiem valstī</t>
  </si>
  <si>
    <t>Izstrādāta ambulatoro grupu psihoterapijas programma pēc 12 soļu terapijas principiem personām ar alkohola atkarības diagnozi.
Apmācīti speciālisti darbam ar psihoterapijas programmu pēc 12 soļu terapijas principiem personām ar alkohola atkarības diagnozi. 
Uzsākta ambulatoro grupu psihoterapijas programma pēc 12 soļu terapijas principiem personām ar alkohola atkarības diagnozi RPNC. Grupas vadībā iesaistīts psihologs uz 1 slodzi un narkologs uz 0,5 slodzi.</t>
  </si>
  <si>
    <t>4.4.1. darbības rezultāts "Izstrādāta grupu psihoterapijas programma pēc 12 soļu terapijas principiem ieviešanai ambulatori personām ar alkohola atkarības diagnozi"</t>
  </si>
  <si>
    <t>4.4.2. darbības rezultāts "Apmācīti speciālisti darbam ar ambulatoro grupu psihoterapijas programmu pēc 12 soļu terapijas principiem personām ar alkohola atkarības diagnozi"</t>
  </si>
  <si>
    <t>4.4.3. darbības rezultāts "Ambulatorās grupas psihoterapijas programmas pēc 12 soļu terapijas principiem personām ar alkohola atkarības diagnozi ieviešana"</t>
  </si>
  <si>
    <t>Veselības ministre</t>
  </si>
  <si>
    <t>I. Viņķele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</si>
</sst>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
    <numFmt numFmtId="167" formatCode="####0.00"/>
  </numFmts>
  <fonts count="43"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2"/>
      <color theme="1"/>
      <name val="Times New Roman"/>
      <family val="1"/>
      <charset val="186"/>
    </font>
    <font>
      <sz val="12"/>
      <color rgb="FFFF0000"/>
      <name val="Times New Roman"/>
      <family val="1"/>
      <charset val="186"/>
    </font>
    <font>
      <sz val="12"/>
      <name val="Times New Roman"/>
      <family val="1"/>
      <charset val="186"/>
    </font>
    <font>
      <sz val="11"/>
      <color theme="1"/>
      <name val="Times New Roman"/>
      <family val="1"/>
      <charset val="186"/>
    </font>
    <font>
      <b/>
      <sz val="11"/>
      <color theme="1"/>
      <name val="Times New Roman"/>
      <family val="1"/>
      <charset val="186"/>
    </font>
    <font>
      <sz val="11"/>
      <name val="Times New Roman"/>
      <family val="1"/>
      <charset val="186"/>
    </font>
    <font>
      <b/>
      <u/>
      <sz val="11"/>
      <color theme="1"/>
      <name val="Times New Roman"/>
      <family val="1"/>
      <charset val="186"/>
    </font>
    <font>
      <sz val="11"/>
      <color rgb="FFFF0000"/>
      <name val="Times New Roman"/>
      <family val="1"/>
      <charset val="186"/>
    </font>
    <font>
      <b/>
      <sz val="11"/>
      <name val="Times New Roman"/>
      <family val="1"/>
      <charset val="186"/>
    </font>
    <font>
      <sz val="10"/>
      <name val="Arial"/>
      <family val="2"/>
      <charset val="186"/>
    </font>
    <font>
      <sz val="11"/>
      <color theme="1"/>
      <name val="Calibri"/>
      <family val="2"/>
      <scheme val="minor"/>
    </font>
    <font>
      <b/>
      <sz val="12"/>
      <color theme="1"/>
      <name val="Times New Roman"/>
      <family val="1"/>
      <charset val="186"/>
    </font>
    <font>
      <sz val="11"/>
      <color indexed="8"/>
      <name val="Times New Roman"/>
      <family val="1"/>
      <charset val="186"/>
    </font>
    <font>
      <sz val="12"/>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1"/>
      <color rgb="FF414142"/>
      <name val="Times New Roman"/>
      <family val="1"/>
    </font>
    <font>
      <sz val="11"/>
      <color rgb="FFFF0000"/>
      <name val="Times New Roman"/>
      <family val="1"/>
    </font>
    <font>
      <b/>
      <sz val="10"/>
      <color theme="1"/>
      <name val="Times New Roman"/>
      <family val="1"/>
    </font>
    <font>
      <b/>
      <sz val="12"/>
      <name val="Times New Roman"/>
      <family val="1"/>
    </font>
    <font>
      <b/>
      <sz val="14"/>
      <name val="Times New Roman"/>
      <family val="1"/>
      <charset val="186"/>
    </font>
    <font>
      <b/>
      <sz val="14"/>
      <color theme="1"/>
      <name val="Times New Roman"/>
      <family val="1"/>
      <charset val="186"/>
    </font>
    <font>
      <b/>
      <sz val="14"/>
      <color theme="1"/>
      <name val="Times New Roman"/>
      <family val="1"/>
    </font>
    <font>
      <b/>
      <sz val="11"/>
      <color rgb="FFFF0000"/>
      <name val="Times New Roman"/>
      <family val="1"/>
    </font>
    <font>
      <b/>
      <sz val="12"/>
      <color theme="1"/>
      <name val="Times New Roman"/>
      <family val="1"/>
    </font>
    <font>
      <i/>
      <sz val="11"/>
      <color theme="1"/>
      <name val="Times New Roman"/>
      <family val="1"/>
      <charset val="186"/>
    </font>
    <font>
      <b/>
      <i/>
      <sz val="11"/>
      <color theme="1"/>
      <name val="Times New Roman"/>
      <family val="1"/>
      <charset val="186"/>
    </font>
    <font>
      <sz val="12"/>
      <color rgb="FFFF0000"/>
      <name val="Times New Roman"/>
      <family val="1"/>
    </font>
    <font>
      <b/>
      <sz val="12"/>
      <color rgb="FFFF0000"/>
      <name val="Times New Roman"/>
      <family val="1"/>
    </font>
    <font>
      <sz val="12"/>
      <color theme="1"/>
      <name val="Times New Roman"/>
      <family val="1"/>
    </font>
    <font>
      <sz val="11"/>
      <name val="Calibri"/>
      <family val="2"/>
      <charset val="186"/>
      <scheme val="minor"/>
    </font>
    <font>
      <b/>
      <sz val="14"/>
      <name val="Times New Roman"/>
      <family val="1"/>
    </font>
    <font>
      <sz val="10"/>
      <name val="Times New Roman"/>
      <family val="1"/>
    </font>
    <font>
      <i/>
      <sz val="12"/>
      <name val="Times New Roman"/>
      <family val="1"/>
    </font>
    <font>
      <b/>
      <i/>
      <sz val="12"/>
      <name val="Times New Roman"/>
      <family val="1"/>
    </font>
    <font>
      <sz val="14"/>
      <name val="Times New Roman"/>
      <family val="1"/>
    </font>
    <font>
      <sz val="16"/>
      <name val="Times New Roman"/>
      <family val="1"/>
    </font>
    <font>
      <b/>
      <sz val="16"/>
      <name val="Times New Roman"/>
      <family val="1"/>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92D050"/>
        <bgColor indexed="64"/>
      </patternFill>
    </fill>
    <fill>
      <patternFill patternType="solid">
        <fgColor rgb="FFFFFFFF"/>
        <bgColor indexed="64"/>
      </patternFill>
    </fill>
    <fill>
      <patternFill patternType="solid">
        <fgColor rgb="FFD9D9D9"/>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14142"/>
      </left>
      <right/>
      <top/>
      <bottom style="thin">
        <color rgb="FF414142"/>
      </bottom>
      <diagonal/>
    </border>
    <border>
      <left/>
      <right style="thin">
        <color rgb="FF414142"/>
      </right>
      <top/>
      <bottom style="thin">
        <color rgb="FF414142"/>
      </bottom>
      <diagonal/>
    </border>
    <border>
      <left style="thin">
        <color rgb="FF414142"/>
      </left>
      <right/>
      <top style="thin">
        <color rgb="FF414142"/>
      </top>
      <bottom style="thin">
        <color rgb="FF414142"/>
      </bottom>
      <diagonal/>
    </border>
    <border>
      <left/>
      <right style="thin">
        <color rgb="FF414142"/>
      </right>
      <top style="thin">
        <color rgb="FF414142"/>
      </top>
      <bottom style="thin">
        <color rgb="FF414142"/>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rgb="FF414142"/>
      </left>
      <right/>
      <top style="thin">
        <color rgb="FF414142"/>
      </top>
      <bottom/>
      <diagonal/>
    </border>
    <border>
      <left/>
      <right style="thin">
        <color rgb="FF414142"/>
      </right>
      <top style="thin">
        <color rgb="FF414142"/>
      </top>
      <bottom/>
      <diagonal/>
    </border>
    <border>
      <left style="thin">
        <color rgb="FF414142"/>
      </left>
      <right style="thin">
        <color rgb="FF414142"/>
      </right>
      <top/>
      <bottom style="thin">
        <color rgb="FF414142"/>
      </bottom>
      <diagonal/>
    </border>
    <border>
      <left style="thin">
        <color rgb="FF414142"/>
      </left>
      <right style="thin">
        <color rgb="FF414142"/>
      </right>
      <top style="thin">
        <color rgb="FF414142"/>
      </top>
      <bottom style="thin">
        <color indexed="64"/>
      </bottom>
      <diagonal/>
    </border>
    <border>
      <left style="thin">
        <color rgb="FF414142"/>
      </left>
      <right/>
      <top style="thin">
        <color rgb="FF414142"/>
      </top>
      <bottom style="thin">
        <color indexed="64"/>
      </bottom>
      <diagonal/>
    </border>
    <border>
      <left/>
      <right style="thin">
        <color rgb="FF414142"/>
      </right>
      <top style="thin">
        <color rgb="FF414142"/>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s>
  <cellStyleXfs count="10">
    <xf numFmtId="0" fontId="0" fillId="0" borderId="0"/>
    <xf numFmtId="0" fontId="12" fillId="0" borderId="0"/>
    <xf numFmtId="0" fontId="1" fillId="0" borderId="0"/>
    <xf numFmtId="0" fontId="12" fillId="0" borderId="0"/>
    <xf numFmtId="0" fontId="1" fillId="0" borderId="0"/>
    <xf numFmtId="43" fontId="1"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9" fontId="1" fillId="0" borderId="0" applyFont="0" applyFill="0" applyBorder="0" applyAlignment="0" applyProtection="0"/>
  </cellStyleXfs>
  <cellXfs count="614">
    <xf numFmtId="0" fontId="0" fillId="0" borderId="0" xfId="0"/>
    <xf numFmtId="0" fontId="5" fillId="0" borderId="0" xfId="0" applyFont="1" applyAlignment="1">
      <alignment vertical="center"/>
    </xf>
    <xf numFmtId="0" fontId="6" fillId="0" borderId="0" xfId="0" applyFont="1"/>
    <xf numFmtId="0" fontId="8" fillId="0" borderId="0" xfId="1" applyFont="1" applyAlignment="1">
      <alignment vertical="center"/>
    </xf>
    <xf numFmtId="0" fontId="6" fillId="0" borderId="0" xfId="2" applyFont="1" applyAlignment="1">
      <alignment vertical="center"/>
    </xf>
    <xf numFmtId="0" fontId="11" fillId="0" borderId="0" xfId="1" applyFont="1" applyAlignment="1">
      <alignment vertical="center"/>
    </xf>
    <xf numFmtId="3" fontId="6" fillId="0" borderId="0" xfId="2" applyNumberFormat="1" applyFont="1" applyAlignment="1">
      <alignment vertical="center"/>
    </xf>
    <xf numFmtId="0" fontId="8" fillId="0" borderId="0" xfId="1" applyFont="1" applyFill="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3" fontId="6"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10" fillId="0" borderId="0" xfId="0" applyFont="1" applyAlignment="1">
      <alignment vertical="center"/>
    </xf>
    <xf numFmtId="0" fontId="2" fillId="0" borderId="2" xfId="0" applyFont="1" applyBorder="1" applyAlignment="1">
      <alignment horizontal="center" vertical="center" wrapText="1"/>
    </xf>
    <xf numFmtId="49" fontId="16" fillId="0" borderId="2" xfId="0" applyNumberFormat="1" applyFont="1" applyFill="1" applyBorder="1" applyAlignment="1">
      <alignment horizontal="center" vertical="center" wrapText="1"/>
    </xf>
    <xf numFmtId="0" fontId="18" fillId="0" borderId="0" xfId="2" applyFont="1" applyAlignment="1">
      <alignment vertical="center"/>
    </xf>
    <xf numFmtId="0" fontId="18" fillId="0" borderId="0" xfId="0" applyFont="1"/>
    <xf numFmtId="0" fontId="18" fillId="0" borderId="0" xfId="2" applyFont="1" applyFill="1" applyAlignment="1">
      <alignment vertical="center"/>
    </xf>
    <xf numFmtId="0" fontId="20" fillId="0" borderId="0" xfId="1" applyFont="1" applyAlignment="1">
      <alignment vertical="center"/>
    </xf>
    <xf numFmtId="0" fontId="19" fillId="0" borderId="0" xfId="1" applyFont="1" applyAlignment="1">
      <alignment vertical="center"/>
    </xf>
    <xf numFmtId="3" fontId="18" fillId="0" borderId="0" xfId="2" applyNumberFormat="1" applyFont="1" applyAlignment="1">
      <alignment vertical="center"/>
    </xf>
    <xf numFmtId="0" fontId="20" fillId="0" borderId="0" xfId="1" applyFont="1" applyFill="1" applyBorder="1" applyAlignment="1">
      <alignment horizontal="right" vertical="center"/>
    </xf>
    <xf numFmtId="0" fontId="20" fillId="0" borderId="0" xfId="1" applyFont="1" applyBorder="1" applyAlignment="1">
      <alignment horizontal="center" vertical="center"/>
    </xf>
    <xf numFmtId="3" fontId="20" fillId="0" borderId="0" xfId="1" applyNumberFormat="1" applyFont="1" applyBorder="1" applyAlignment="1">
      <alignment horizontal="center" vertical="center"/>
    </xf>
    <xf numFmtId="0" fontId="19" fillId="0" borderId="0" xfId="1" applyFont="1" applyFill="1" applyAlignment="1">
      <alignment vertical="center"/>
    </xf>
    <xf numFmtId="0" fontId="20" fillId="9" borderId="0" xfId="0" applyFont="1" applyFill="1" applyBorder="1" applyAlignment="1">
      <alignment vertical="center"/>
    </xf>
    <xf numFmtId="0" fontId="18" fillId="0" borderId="0" xfId="0" applyFont="1" applyAlignment="1"/>
    <xf numFmtId="0" fontId="17" fillId="0" borderId="0" xfId="2" applyFont="1" applyAlignment="1">
      <alignment vertical="center"/>
    </xf>
    <xf numFmtId="0" fontId="19" fillId="9" borderId="20" xfId="0" applyFont="1" applyFill="1" applyBorder="1" applyAlignment="1">
      <alignment horizontal="center" vertical="center" wrapText="1"/>
    </xf>
    <xf numFmtId="0" fontId="19" fillId="10" borderId="20" xfId="0" applyFont="1" applyFill="1" applyBorder="1" applyAlignment="1">
      <alignment vertical="center" wrapText="1"/>
    </xf>
    <xf numFmtId="0" fontId="20" fillId="10" borderId="20" xfId="0" applyFont="1" applyFill="1" applyBorder="1" applyAlignment="1">
      <alignment vertical="center" wrapText="1"/>
    </xf>
    <xf numFmtId="0" fontId="19" fillId="9" borderId="20" xfId="0" applyFont="1" applyFill="1" applyBorder="1" applyAlignment="1">
      <alignment vertical="center" wrapText="1"/>
    </xf>
    <xf numFmtId="0" fontId="20" fillId="9" borderId="20" xfId="0" applyFont="1" applyFill="1" applyBorder="1" applyAlignment="1">
      <alignment vertical="center" wrapText="1"/>
    </xf>
    <xf numFmtId="3" fontId="19" fillId="9" borderId="20" xfId="0" applyNumberFormat="1" applyFont="1" applyFill="1" applyBorder="1" applyAlignment="1">
      <alignment horizontal="right" vertical="center" wrapText="1"/>
    </xf>
    <xf numFmtId="0" fontId="19" fillId="9" borderId="20" xfId="0" applyFont="1" applyFill="1" applyBorder="1" applyAlignment="1">
      <alignment horizontal="right" vertical="center" wrapText="1"/>
    </xf>
    <xf numFmtId="0" fontId="19" fillId="9" borderId="25" xfId="0" applyFont="1" applyFill="1" applyBorder="1" applyAlignment="1">
      <alignment vertical="center" wrapText="1"/>
    </xf>
    <xf numFmtId="3" fontId="19" fillId="9" borderId="25" xfId="0" applyNumberFormat="1" applyFont="1" applyFill="1" applyBorder="1" applyAlignment="1">
      <alignment horizontal="right" vertical="center" wrapText="1"/>
    </xf>
    <xf numFmtId="0" fontId="19" fillId="9" borderId="0" xfId="0" applyFont="1" applyFill="1" applyBorder="1" applyAlignment="1">
      <alignment vertical="center" wrapText="1"/>
    </xf>
    <xf numFmtId="4" fontId="19" fillId="9" borderId="0" xfId="0" applyNumberFormat="1" applyFont="1" applyFill="1" applyBorder="1" applyAlignment="1">
      <alignment horizontal="right" vertical="center" wrapText="1"/>
    </xf>
    <xf numFmtId="165" fontId="19" fillId="9" borderId="20" xfId="5" applyNumberFormat="1" applyFont="1" applyFill="1" applyBorder="1" applyAlignment="1">
      <alignment horizontal="right" vertical="center" wrapText="1"/>
    </xf>
    <xf numFmtId="165" fontId="19" fillId="9" borderId="25" xfId="5" applyNumberFormat="1" applyFont="1" applyFill="1" applyBorder="1" applyAlignment="1">
      <alignment horizontal="right" vertical="center" wrapText="1"/>
    </xf>
    <xf numFmtId="0" fontId="21" fillId="9" borderId="0" xfId="0" applyFont="1" applyFill="1" applyBorder="1" applyAlignment="1">
      <alignment vertical="center" wrapText="1"/>
    </xf>
    <xf numFmtId="43" fontId="21" fillId="9" borderId="0" xfId="5" applyFont="1" applyFill="1" applyBorder="1" applyAlignment="1">
      <alignment horizontal="right" vertical="center" wrapText="1"/>
    </xf>
    <xf numFmtId="0" fontId="21" fillId="9" borderId="0" xfId="0" applyFont="1" applyFill="1" applyBorder="1" applyAlignment="1">
      <alignment horizontal="right" vertical="center" wrapText="1"/>
    </xf>
    <xf numFmtId="0" fontId="19" fillId="0" borderId="2" xfId="1" applyFont="1" applyBorder="1" applyAlignment="1">
      <alignment vertical="center"/>
    </xf>
    <xf numFmtId="0" fontId="19" fillId="0" borderId="2" xfId="1" applyFont="1" applyBorder="1" applyAlignment="1">
      <alignment horizontal="center" vertical="center"/>
    </xf>
    <xf numFmtId="3" fontId="19" fillId="2" borderId="2" xfId="3" applyNumberFormat="1" applyFont="1" applyFill="1" applyBorder="1" applyAlignment="1">
      <alignment horizontal="center" vertical="center" wrapText="1"/>
    </xf>
    <xf numFmtId="3" fontId="19" fillId="0" borderId="2" xfId="3"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0" fontId="19" fillId="2" borderId="2" xfId="3" applyFont="1" applyFill="1" applyBorder="1" applyAlignment="1">
      <alignment horizontal="left" vertical="center" wrapText="1"/>
    </xf>
    <xf numFmtId="2" fontId="19" fillId="0" borderId="2" xfId="3" applyNumberFormat="1" applyFont="1" applyFill="1" applyBorder="1" applyAlignment="1">
      <alignment horizontal="center" vertical="center" wrapText="1"/>
    </xf>
    <xf numFmtId="164" fontId="19" fillId="2" borderId="2" xfId="3" applyNumberFormat="1" applyFont="1" applyFill="1" applyBorder="1" applyAlignment="1">
      <alignment horizontal="center" vertical="center" wrapText="1"/>
    </xf>
    <xf numFmtId="0" fontId="20" fillId="0" borderId="2" xfId="1" applyFont="1" applyFill="1" applyBorder="1" applyAlignment="1">
      <alignment horizontal="right" vertical="center"/>
    </xf>
    <xf numFmtId="0" fontId="20" fillId="0" borderId="2" xfId="1" applyFont="1" applyBorder="1" applyAlignment="1">
      <alignment horizontal="center" vertical="center"/>
    </xf>
    <xf numFmtId="3" fontId="20" fillId="0" borderId="2" xfId="1" applyNumberFormat="1" applyFont="1" applyBorder="1" applyAlignment="1">
      <alignment horizontal="center" vertical="center"/>
    </xf>
    <xf numFmtId="0" fontId="19" fillId="0" borderId="2" xfId="1" applyFont="1" applyFill="1" applyBorder="1" applyAlignment="1">
      <alignment horizontal="center" vertical="center" wrapText="1"/>
    </xf>
    <xf numFmtId="3" fontId="19" fillId="0" borderId="2" xfId="1" applyNumberFormat="1" applyFont="1" applyFill="1" applyBorder="1" applyAlignment="1">
      <alignment horizontal="center" vertical="center"/>
    </xf>
    <xf numFmtId="4" fontId="19" fillId="0" borderId="2" xfId="1" applyNumberFormat="1" applyFont="1" applyFill="1" applyBorder="1" applyAlignment="1">
      <alignment horizontal="center" vertical="center"/>
    </xf>
    <xf numFmtId="0" fontId="7" fillId="0" borderId="0" xfId="0" applyFont="1" applyAlignment="1"/>
    <xf numFmtId="0" fontId="1" fillId="0" borderId="0" xfId="0" applyFont="1"/>
    <xf numFmtId="3" fontId="8" fillId="2" borderId="2" xfId="3" applyNumberFormat="1" applyFont="1" applyFill="1" applyBorder="1" applyAlignment="1">
      <alignment horizontal="center" vertical="center" wrapText="1"/>
    </xf>
    <xf numFmtId="3" fontId="8" fillId="0" borderId="2" xfId="3"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2" borderId="2" xfId="3" applyFont="1" applyFill="1" applyBorder="1" applyAlignment="1">
      <alignment horizontal="left" vertical="center" wrapText="1"/>
    </xf>
    <xf numFmtId="2" fontId="8" fillId="0" borderId="2" xfId="3" applyNumberFormat="1" applyFont="1" applyFill="1" applyBorder="1" applyAlignment="1">
      <alignment horizontal="center" vertical="center" wrapText="1"/>
    </xf>
    <xf numFmtId="164" fontId="8" fillId="2" borderId="2" xfId="3" applyNumberFormat="1" applyFont="1" applyFill="1" applyBorder="1" applyAlignment="1">
      <alignment horizontal="center" vertical="center" wrapText="1"/>
    </xf>
    <xf numFmtId="0" fontId="11" fillId="0" borderId="2" xfId="1" applyFont="1" applyFill="1" applyBorder="1" applyAlignment="1">
      <alignment horizontal="right" vertical="center"/>
    </xf>
    <xf numFmtId="0" fontId="11" fillId="0" borderId="2" xfId="1" applyFont="1" applyBorder="1" applyAlignment="1">
      <alignment horizontal="center" vertical="center"/>
    </xf>
    <xf numFmtId="3" fontId="11" fillId="0" borderId="2" xfId="1" applyNumberFormat="1" applyFont="1" applyBorder="1" applyAlignment="1">
      <alignment horizontal="center" vertical="center"/>
    </xf>
    <xf numFmtId="0" fontId="8" fillId="0" borderId="2" xfId="1" applyFont="1" applyFill="1" applyBorder="1" applyAlignment="1">
      <alignment horizontal="center" vertical="center" wrapText="1"/>
    </xf>
    <xf numFmtId="4" fontId="8" fillId="0" borderId="2" xfId="1" applyNumberFormat="1" applyFont="1" applyFill="1" applyBorder="1" applyAlignment="1">
      <alignment horizontal="center" vertical="center"/>
    </xf>
    <xf numFmtId="0" fontId="6" fillId="0" borderId="2" xfId="2" applyFont="1" applyBorder="1" applyAlignment="1">
      <alignment horizontal="center" vertical="center" wrapText="1"/>
    </xf>
    <xf numFmtId="0" fontId="18" fillId="0" borderId="0" xfId="0" applyFont="1" applyAlignment="1">
      <alignment vertical="center"/>
    </xf>
    <xf numFmtId="3" fontId="19" fillId="0" borderId="2" xfId="1" applyNumberFormat="1" applyFont="1" applyBorder="1" applyAlignment="1">
      <alignment vertical="center"/>
    </xf>
    <xf numFmtId="0" fontId="19" fillId="0" borderId="2" xfId="1" applyFont="1" applyFill="1" applyBorder="1" applyAlignment="1">
      <alignment horizontal="left" vertical="center" wrapText="1"/>
    </xf>
    <xf numFmtId="164" fontId="19" fillId="0" borderId="2" xfId="3" applyNumberFormat="1" applyFont="1" applyFill="1" applyBorder="1" applyAlignment="1">
      <alignment horizontal="center" vertical="center" wrapText="1"/>
    </xf>
    <xf numFmtId="0" fontId="17" fillId="0" borderId="0" xfId="0" applyFont="1" applyAlignment="1">
      <alignment vertical="center"/>
    </xf>
    <xf numFmtId="1" fontId="19" fillId="0" borderId="2" xfId="3"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19" fillId="0" borderId="2" xfId="1" applyFont="1" applyBorder="1" applyAlignment="1">
      <alignment horizontal="center" vertical="center" wrapText="1"/>
    </xf>
    <xf numFmtId="0" fontId="17" fillId="0" borderId="2" xfId="2" applyFont="1" applyFill="1" applyBorder="1" applyAlignment="1">
      <alignment horizontal="center" vertical="center" wrapText="1"/>
    </xf>
    <xf numFmtId="0" fontId="3" fillId="0" borderId="2" xfId="0" applyFont="1" applyBorder="1" applyAlignment="1">
      <alignment horizontal="center" vertical="center"/>
    </xf>
    <xf numFmtId="0" fontId="23" fillId="0" borderId="2"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3" fontId="24" fillId="5" borderId="2" xfId="0" applyNumberFormat="1" applyFont="1" applyFill="1" applyBorder="1" applyAlignment="1">
      <alignment horizontal="right" vertical="center" wrapText="1"/>
    </xf>
    <xf numFmtId="0" fontId="3" fillId="0" borderId="0" xfId="0" applyFont="1" applyFill="1"/>
    <xf numFmtId="0" fontId="3" fillId="0" borderId="0" xfId="0" applyFont="1" applyFill="1" applyAlignment="1">
      <alignment horizontal="right"/>
    </xf>
    <xf numFmtId="0" fontId="14" fillId="0" borderId="0" xfId="0" applyFont="1" applyFill="1" applyAlignment="1">
      <alignment wrapText="1"/>
    </xf>
    <xf numFmtId="0" fontId="5" fillId="0" borderId="0" xfId="1" applyFont="1" applyFill="1" applyAlignment="1">
      <alignment horizontal="left"/>
    </xf>
    <xf numFmtId="0" fontId="5" fillId="0" borderId="0" xfId="1" applyFont="1" applyFill="1"/>
    <xf numFmtId="0" fontId="5" fillId="0" borderId="0" xfId="0" applyFont="1" applyFill="1" applyAlignment="1">
      <alignment horizontal="left"/>
    </xf>
    <xf numFmtId="0" fontId="18" fillId="0" borderId="0" xfId="2" applyFont="1" applyAlignment="1">
      <alignment horizontal="right" vertical="center"/>
    </xf>
    <xf numFmtId="0" fontId="18" fillId="0" borderId="2" xfId="0" applyFont="1" applyBorder="1"/>
    <xf numFmtId="0" fontId="17" fillId="0" borderId="2" xfId="0" applyFont="1" applyBorder="1"/>
    <xf numFmtId="0" fontId="17" fillId="0" borderId="10" xfId="0" applyFont="1" applyBorder="1"/>
    <xf numFmtId="0" fontId="17" fillId="0" borderId="2" xfId="0" applyFont="1" applyFill="1" applyBorder="1"/>
    <xf numFmtId="0" fontId="18" fillId="0" borderId="2" xfId="0" applyFont="1" applyFill="1" applyBorder="1" applyAlignment="1">
      <alignment horizontal="right"/>
    </xf>
    <xf numFmtId="0" fontId="18" fillId="0" borderId="0" xfId="0" applyFont="1" applyFill="1"/>
    <xf numFmtId="3" fontId="24" fillId="5" borderId="2" xfId="0" applyNumberFormat="1" applyFont="1" applyFill="1" applyBorder="1" applyAlignment="1">
      <alignment horizontal="right" vertical="top" wrapText="1"/>
    </xf>
    <xf numFmtId="3" fontId="16" fillId="0" borderId="2" xfId="0" applyNumberFormat="1" applyFont="1" applyFill="1" applyBorder="1" applyAlignment="1">
      <alignment horizontal="right" vertical="center" wrapText="1"/>
    </xf>
    <xf numFmtId="3" fontId="29" fillId="8" borderId="2"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9" fillId="0" borderId="2" xfId="0" applyFont="1" applyFill="1" applyBorder="1" applyAlignment="1">
      <alignment horizontal="center" vertical="center" wrapText="1"/>
    </xf>
    <xf numFmtId="0" fontId="6" fillId="0" borderId="0" xfId="0" applyFont="1" applyAlignment="1">
      <alignment horizontal="right" vertical="center"/>
    </xf>
    <xf numFmtId="0" fontId="28" fillId="0" borderId="0" xfId="0" quotePrefix="1" applyFont="1" applyAlignment="1">
      <alignment horizontal="left" vertical="center"/>
    </xf>
    <xf numFmtId="0" fontId="27" fillId="0" borderId="0" xfId="2" applyFont="1" applyAlignment="1">
      <alignment vertical="center"/>
    </xf>
    <xf numFmtId="0" fontId="18" fillId="0" borderId="0" xfId="0" applyFont="1" applyFill="1" applyAlignment="1"/>
    <xf numFmtId="0" fontId="27" fillId="0" borderId="0" xfId="0" applyFont="1" applyAlignment="1">
      <alignment vertical="center" wrapText="1"/>
    </xf>
    <xf numFmtId="3" fontId="11" fillId="8" borderId="2" xfId="1" applyNumberFormat="1" applyFont="1" applyFill="1" applyBorder="1" applyAlignment="1">
      <alignment vertical="center"/>
    </xf>
    <xf numFmtId="3" fontId="20" fillId="8" borderId="20" xfId="0" applyNumberFormat="1" applyFont="1" applyFill="1" applyBorder="1" applyAlignment="1">
      <alignment horizontal="right" vertical="center" wrapText="1"/>
    </xf>
    <xf numFmtId="165" fontId="20" fillId="8" borderId="20" xfId="5" applyNumberFormat="1" applyFont="1" applyFill="1" applyBorder="1" applyAlignment="1">
      <alignment horizontal="right" vertical="center" wrapText="1"/>
    </xf>
    <xf numFmtId="3" fontId="20" fillId="8" borderId="2" xfId="1" applyNumberFormat="1" applyFont="1" applyFill="1" applyBorder="1" applyAlignment="1">
      <alignment vertical="center"/>
    </xf>
    <xf numFmtId="0" fontId="29" fillId="0" borderId="0" xfId="0" applyFont="1" applyFill="1" applyBorder="1" applyAlignment="1">
      <alignment horizontal="center" vertical="center" wrapText="1"/>
    </xf>
    <xf numFmtId="3" fontId="11" fillId="0" borderId="2" xfId="1" applyNumberFormat="1" applyFont="1" applyFill="1" applyBorder="1" applyAlignment="1">
      <alignment horizontal="center" vertical="center"/>
    </xf>
    <xf numFmtId="3" fontId="19" fillId="0" borderId="2" xfId="0" applyNumberFormat="1" applyFont="1" applyFill="1" applyBorder="1" applyAlignment="1">
      <alignment horizontal="center" vertical="center"/>
    </xf>
    <xf numFmtId="4" fontId="19" fillId="0" borderId="2" xfId="0" applyNumberFormat="1" applyFont="1" applyFill="1" applyBorder="1" applyAlignment="1">
      <alignment horizontal="center" vertical="center"/>
    </xf>
    <xf numFmtId="3" fontId="20" fillId="14" borderId="2" xfId="9" applyNumberFormat="1" applyFont="1" applyFill="1" applyBorder="1" applyAlignment="1">
      <alignment horizontal="center"/>
    </xf>
    <xf numFmtId="3" fontId="20" fillId="14" borderId="2" xfId="9" applyNumberFormat="1" applyFont="1" applyFill="1" applyBorder="1" applyAlignment="1">
      <alignment horizontal="center" vertical="center"/>
    </xf>
    <xf numFmtId="3" fontId="24" fillId="0" borderId="2" xfId="0" applyNumberFormat="1" applyFont="1" applyFill="1" applyBorder="1" applyAlignment="1">
      <alignment horizontal="right"/>
    </xf>
    <xf numFmtId="0" fontId="19" fillId="0" borderId="0" xfId="2" applyFont="1" applyFill="1" applyAlignment="1">
      <alignment vertical="center"/>
    </xf>
    <xf numFmtId="3" fontId="18" fillId="0" borderId="2" xfId="0" applyNumberFormat="1" applyFont="1" applyBorder="1"/>
    <xf numFmtId="3" fontId="18" fillId="0" borderId="10" xfId="0" applyNumberFormat="1" applyFont="1" applyBorder="1"/>
    <xf numFmtId="3" fontId="18" fillId="8" borderId="2" xfId="0" applyNumberFormat="1" applyFont="1" applyFill="1" applyBorder="1"/>
    <xf numFmtId="3" fontId="17" fillId="0" borderId="2" xfId="0" applyNumberFormat="1" applyFont="1" applyBorder="1"/>
    <xf numFmtId="4" fontId="18" fillId="0" borderId="0" xfId="0" applyNumberFormat="1" applyFont="1"/>
    <xf numFmtId="0" fontId="3" fillId="0" borderId="0" xfId="0" applyFont="1" applyAlignment="1">
      <alignment horizontal="left" vertical="center" wrapText="1"/>
    </xf>
    <xf numFmtId="0" fontId="29" fillId="0" borderId="2" xfId="0" applyFont="1" applyBorder="1" applyAlignment="1">
      <alignment horizontal="center" vertical="center" wrapText="1"/>
    </xf>
    <xf numFmtId="0" fontId="5" fillId="0" borderId="0" xfId="0" applyFont="1"/>
    <xf numFmtId="2" fontId="5" fillId="0" borderId="0" xfId="0" applyNumberFormat="1" applyFont="1" applyAlignment="1">
      <alignment vertical="center"/>
    </xf>
    <xf numFmtId="0" fontId="6" fillId="0" borderId="28" xfId="0" applyFont="1" applyBorder="1" applyAlignment="1">
      <alignment horizontal="center" vertical="center"/>
    </xf>
    <xf numFmtId="0" fontId="6" fillId="0" borderId="28" xfId="0" applyFont="1" applyBorder="1" applyAlignment="1">
      <alignment horizontal="center" vertical="center" wrapText="1"/>
    </xf>
    <xf numFmtId="9" fontId="6" fillId="0" borderId="28" xfId="0" applyNumberFormat="1" applyFont="1" applyBorder="1" applyAlignment="1">
      <alignment horizontal="center" vertical="center" wrapText="1"/>
    </xf>
    <xf numFmtId="0" fontId="6" fillId="0" borderId="28" xfId="6" applyFont="1" applyBorder="1" applyAlignment="1">
      <alignment vertical="center"/>
    </xf>
    <xf numFmtId="165" fontId="6" fillId="17" borderId="28" xfId="7" applyNumberFormat="1" applyFont="1" applyFill="1" applyBorder="1" applyAlignment="1">
      <alignment vertical="center"/>
    </xf>
    <xf numFmtId="165" fontId="6" fillId="0" borderId="28" xfId="5" applyNumberFormat="1" applyFont="1" applyBorder="1" applyAlignment="1">
      <alignment vertical="center"/>
    </xf>
    <xf numFmtId="0" fontId="6" fillId="0" borderId="28" xfId="0" applyFont="1" applyBorder="1" applyAlignment="1">
      <alignment vertical="center"/>
    </xf>
    <xf numFmtId="165" fontId="6" fillId="0" borderId="30" xfId="0" applyNumberFormat="1" applyFont="1" applyBorder="1" applyAlignment="1">
      <alignment horizontal="center" vertical="center"/>
    </xf>
    <xf numFmtId="165" fontId="6" fillId="12" borderId="30" xfId="0" applyNumberFormat="1" applyFont="1" applyFill="1" applyBorder="1" applyAlignment="1">
      <alignment horizontal="center" vertical="center"/>
    </xf>
    <xf numFmtId="0" fontId="30" fillId="0" borderId="0" xfId="6" applyFont="1" applyAlignment="1">
      <alignment vertical="center"/>
    </xf>
    <xf numFmtId="0" fontId="31" fillId="0" borderId="0" xfId="6" applyFont="1" applyAlignment="1">
      <alignment vertical="center"/>
    </xf>
    <xf numFmtId="165" fontId="30" fillId="0" borderId="0" xfId="7" applyNumberFormat="1" applyFont="1" applyAlignment="1">
      <alignment vertical="center"/>
    </xf>
    <xf numFmtId="0" fontId="3" fillId="0" borderId="28" xfId="0" applyFont="1" applyBorder="1" applyAlignment="1">
      <alignment horizontal="left" vertical="center" wrapText="1"/>
    </xf>
    <xf numFmtId="0" fontId="6" fillId="0" borderId="28" xfId="0" applyFont="1" applyBorder="1" applyAlignment="1">
      <alignment horizontal="right" vertical="center"/>
    </xf>
    <xf numFmtId="0" fontId="3" fillId="0" borderId="28" xfId="0" applyFont="1" applyBorder="1" applyAlignment="1">
      <alignment horizontal="center" vertical="center" wrapText="1"/>
    </xf>
    <xf numFmtId="0" fontId="17" fillId="0" borderId="10" xfId="0" applyFont="1" applyBorder="1" applyAlignment="1">
      <alignment vertical="center" wrapText="1"/>
    </xf>
    <xf numFmtId="0" fontId="17" fillId="0" borderId="2" xfId="0" applyFont="1" applyBorder="1" applyAlignment="1">
      <alignment horizontal="center" vertical="center" wrapText="1"/>
    </xf>
    <xf numFmtId="0" fontId="18" fillId="0" borderId="10" xfId="0" applyFont="1" applyBorder="1" applyAlignment="1">
      <alignment vertical="center" wrapText="1"/>
    </xf>
    <xf numFmtId="0" fontId="18" fillId="0" borderId="2" xfId="0" applyFont="1" applyBorder="1" applyAlignment="1">
      <alignment vertical="center" wrapText="1"/>
    </xf>
    <xf numFmtId="3" fontId="17" fillId="0" borderId="2" xfId="0" applyNumberFormat="1" applyFont="1" applyBorder="1" applyAlignment="1">
      <alignment horizontal="right" vertical="center"/>
    </xf>
    <xf numFmtId="3" fontId="29" fillId="0" borderId="0" xfId="0" applyNumberFormat="1" applyFont="1" applyAlignment="1">
      <alignment horizontal="right" vertical="center"/>
    </xf>
    <xf numFmtId="2" fontId="6" fillId="0" borderId="0" xfId="0" applyNumberFormat="1" applyFont="1" applyAlignment="1">
      <alignment vertical="center"/>
    </xf>
    <xf numFmtId="3" fontId="11" fillId="0" borderId="2" xfId="3"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xf>
    <xf numFmtId="3" fontId="20" fillId="0" borderId="2" xfId="3" applyNumberFormat="1" applyFont="1" applyFill="1" applyBorder="1" applyAlignment="1">
      <alignment horizontal="center" vertical="center" wrapText="1"/>
    </xf>
    <xf numFmtId="3" fontId="20" fillId="8" borderId="2" xfId="1" applyNumberFormat="1" applyFont="1" applyFill="1" applyBorder="1" applyAlignment="1">
      <alignment horizontal="center" vertical="center"/>
    </xf>
    <xf numFmtId="3" fontId="19" fillId="0" borderId="2" xfId="1" applyNumberFormat="1" applyFont="1" applyBorder="1" applyAlignment="1">
      <alignment horizontal="center" vertical="center"/>
    </xf>
    <xf numFmtId="0" fontId="24" fillId="0" borderId="13" xfId="0" applyFont="1" applyFill="1" applyBorder="1" applyAlignment="1">
      <alignment horizontal="left" vertical="top" wrapText="1"/>
    </xf>
    <xf numFmtId="0" fontId="16" fillId="7"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16" fillId="2" borderId="2" xfId="0" applyFont="1" applyFill="1" applyBorder="1" applyAlignment="1">
      <alignment horizontal="left" vertical="top" wrapText="1"/>
    </xf>
    <xf numFmtId="3" fontId="24" fillId="0" borderId="2" xfId="0" applyNumberFormat="1" applyFont="1" applyFill="1" applyBorder="1" applyAlignment="1">
      <alignment horizontal="right" vertical="center" wrapText="1"/>
    </xf>
    <xf numFmtId="3" fontId="24" fillId="2" borderId="2" xfId="0" applyNumberFormat="1" applyFont="1" applyFill="1" applyBorder="1" applyAlignment="1">
      <alignment horizontal="right" vertical="center" wrapText="1"/>
    </xf>
    <xf numFmtId="49" fontId="24" fillId="0" borderId="2" xfId="0" applyNumberFormat="1" applyFont="1" applyFill="1" applyBorder="1" applyAlignment="1">
      <alignment horizontal="center" vertical="center" wrapText="1"/>
    </xf>
    <xf numFmtId="0" fontId="24" fillId="0" borderId="6" xfId="0" applyFont="1" applyFill="1" applyBorder="1" applyAlignment="1">
      <alignment horizontal="left" vertical="top" wrapText="1"/>
    </xf>
    <xf numFmtId="0" fontId="16" fillId="7" borderId="15" xfId="0" applyFont="1" applyFill="1" applyBorder="1" applyAlignment="1">
      <alignment horizontal="left" vertical="top" wrapText="1"/>
    </xf>
    <xf numFmtId="0" fontId="16" fillId="0" borderId="6" xfId="0" applyFont="1" applyFill="1" applyBorder="1" applyAlignment="1">
      <alignment horizontal="left" vertical="top" wrapText="1"/>
    </xf>
    <xf numFmtId="0" fontId="24" fillId="0" borderId="2" xfId="0" applyFont="1" applyFill="1" applyBorder="1" applyAlignment="1">
      <alignment horizontal="center" vertical="center" wrapText="1"/>
    </xf>
    <xf numFmtId="0" fontId="24" fillId="5" borderId="2" xfId="0" applyFont="1" applyFill="1" applyBorder="1" applyAlignment="1">
      <alignment horizontal="left" vertical="top" wrapText="1"/>
    </xf>
    <xf numFmtId="0" fontId="24" fillId="5" borderId="2" xfId="0" applyFont="1" applyFill="1" applyBorder="1" applyAlignment="1">
      <alignment vertical="top" wrapText="1"/>
    </xf>
    <xf numFmtId="0" fontId="16" fillId="5" borderId="2" xfId="0" applyFont="1" applyFill="1" applyBorder="1" applyAlignment="1">
      <alignment horizontal="left" vertical="top" wrapText="1"/>
    </xf>
    <xf numFmtId="0" fontId="16" fillId="0" borderId="2" xfId="0" quotePrefix="1" applyFont="1" applyFill="1" applyBorder="1" applyAlignment="1">
      <alignment horizontal="left" vertical="top" wrapText="1"/>
    </xf>
    <xf numFmtId="0" fontId="24" fillId="11" borderId="2" xfId="0" applyFont="1" applyFill="1" applyBorder="1" applyAlignment="1">
      <alignment horizontal="left" vertical="top" wrapText="1"/>
    </xf>
    <xf numFmtId="0" fontId="24" fillId="3" borderId="2" xfId="0" applyFont="1" applyFill="1" applyBorder="1" applyAlignment="1">
      <alignment horizontal="left" vertical="top" wrapText="1"/>
    </xf>
    <xf numFmtId="0" fontId="24" fillId="16" borderId="2" xfId="0" applyFont="1" applyFill="1" applyBorder="1" applyAlignment="1">
      <alignment horizontal="left" vertical="top" wrapText="1"/>
    </xf>
    <xf numFmtId="0" fontId="24" fillId="12" borderId="6" xfId="0" applyFont="1" applyFill="1" applyBorder="1" applyAlignment="1">
      <alignment horizontal="left" vertical="top" wrapText="1"/>
    </xf>
    <xf numFmtId="0" fontId="24" fillId="12" borderId="2" xfId="0" applyFont="1" applyFill="1" applyBorder="1" applyAlignment="1">
      <alignment horizontal="left" vertical="top" wrapText="1"/>
    </xf>
    <xf numFmtId="0" fontId="24" fillId="15" borderId="2" xfId="0" applyFont="1" applyFill="1" applyBorder="1" applyAlignment="1">
      <alignment horizontal="left" vertical="top" wrapText="1"/>
    </xf>
    <xf numFmtId="0" fontId="24" fillId="5" borderId="6"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0" xfId="0" applyFont="1" applyFill="1" applyBorder="1" applyAlignment="1">
      <alignment vertical="top" wrapText="1"/>
    </xf>
    <xf numFmtId="0" fontId="16" fillId="0" borderId="0" xfId="0" applyFont="1" applyAlignment="1">
      <alignment horizontal="justify" vertical="center"/>
    </xf>
    <xf numFmtId="0" fontId="24" fillId="5" borderId="9" xfId="0" applyFont="1" applyFill="1" applyBorder="1" applyAlignment="1">
      <alignment horizontal="left" vertical="top" wrapText="1"/>
    </xf>
    <xf numFmtId="0" fontId="16" fillId="3" borderId="2" xfId="0" applyFont="1" applyFill="1" applyBorder="1" applyAlignment="1">
      <alignment horizontal="left" vertical="top" wrapText="1"/>
    </xf>
    <xf numFmtId="0" fontId="24" fillId="16" borderId="6" xfId="0" applyFont="1" applyFill="1" applyBorder="1" applyAlignment="1">
      <alignment horizontal="left" vertical="top" wrapText="1"/>
    </xf>
    <xf numFmtId="0" fontId="16" fillId="16" borderId="4" xfId="0" applyFont="1" applyFill="1" applyBorder="1" applyAlignment="1">
      <alignment horizontal="left" vertical="top" wrapText="1"/>
    </xf>
    <xf numFmtId="0" fontId="16" fillId="16" borderId="2" xfId="0" applyFont="1" applyFill="1" applyBorder="1" applyAlignment="1">
      <alignment horizontal="left" vertical="top" wrapText="1"/>
    </xf>
    <xf numFmtId="0" fontId="16" fillId="12" borderId="2" xfId="0" applyFont="1" applyFill="1" applyBorder="1" applyAlignment="1">
      <alignment horizontal="left" vertical="top" wrapText="1"/>
    </xf>
    <xf numFmtId="0" fontId="16" fillId="15" borderId="2" xfId="0" applyFont="1" applyFill="1" applyBorder="1" applyAlignment="1">
      <alignment horizontal="left" vertical="top" wrapText="1"/>
    </xf>
    <xf numFmtId="0" fontId="16" fillId="13" borderId="2" xfId="0" applyFont="1" applyFill="1" applyBorder="1" applyAlignment="1">
      <alignment horizontal="left" vertical="top" wrapText="1"/>
    </xf>
    <xf numFmtId="3" fontId="24" fillId="18" borderId="2" xfId="0" applyNumberFormat="1" applyFont="1" applyFill="1" applyBorder="1" applyAlignment="1">
      <alignment horizontal="right" vertical="center" wrapText="1"/>
    </xf>
    <xf numFmtId="3" fontId="19" fillId="2" borderId="2" xfId="0" applyNumberFormat="1" applyFont="1" applyFill="1" applyBorder="1" applyAlignment="1">
      <alignment horizontal="center" vertical="center" wrapText="1"/>
    </xf>
    <xf numFmtId="3" fontId="29" fillId="0" borderId="2" xfId="0" applyNumberFormat="1" applyFont="1" applyFill="1" applyBorder="1" applyAlignment="1">
      <alignment horizontal="right" vertical="center"/>
    </xf>
    <xf numFmtId="3" fontId="20" fillId="13" borderId="2" xfId="1" applyNumberFormat="1" applyFont="1" applyFill="1" applyBorder="1" applyAlignment="1">
      <alignment vertical="center"/>
    </xf>
    <xf numFmtId="0" fontId="19" fillId="2" borderId="0" xfId="2" applyFont="1" applyFill="1" applyAlignment="1">
      <alignment vertical="center"/>
    </xf>
    <xf numFmtId="3" fontId="29" fillId="13" borderId="2" xfId="0" applyNumberFormat="1" applyFont="1" applyFill="1" applyBorder="1" applyAlignment="1">
      <alignment horizontal="right" vertical="center"/>
    </xf>
    <xf numFmtId="3" fontId="20" fillId="13" borderId="2" xfId="1" applyNumberFormat="1" applyFont="1" applyFill="1" applyBorder="1" applyAlignment="1">
      <alignment horizontal="center" vertical="center"/>
    </xf>
    <xf numFmtId="3" fontId="24" fillId="13" borderId="2" xfId="0" applyNumberFormat="1" applyFont="1" applyFill="1" applyBorder="1" applyAlignment="1">
      <alignment horizontal="right" vertical="center"/>
    </xf>
    <xf numFmtId="3" fontId="11" fillId="13" borderId="2" xfId="1"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3" fontId="6" fillId="0" borderId="2"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xf>
    <xf numFmtId="0" fontId="8" fillId="0" borderId="2" xfId="1" applyFont="1" applyFill="1" applyBorder="1" applyAlignment="1">
      <alignment vertical="center" wrapText="1"/>
    </xf>
    <xf numFmtId="3" fontId="8"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49" fontId="8" fillId="0" borderId="2" xfId="8" applyNumberFormat="1" applyFont="1" applyFill="1" applyBorder="1" applyAlignment="1">
      <alignment vertical="center" wrapText="1"/>
    </xf>
    <xf numFmtId="0" fontId="3" fillId="0" borderId="2" xfId="0" applyFont="1" applyFill="1" applyBorder="1" applyAlignment="1">
      <alignment horizontal="right" vertical="center" wrapText="1"/>
    </xf>
    <xf numFmtId="0" fontId="8"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3" fontId="11" fillId="13" borderId="2" xfId="0" applyNumberFormat="1" applyFont="1" applyFill="1" applyBorder="1" applyAlignment="1">
      <alignment horizontal="center" vertical="center"/>
    </xf>
    <xf numFmtId="0" fontId="7" fillId="0" borderId="0" xfId="0" applyFont="1" applyFill="1" applyAlignment="1">
      <alignment vertical="center"/>
    </xf>
    <xf numFmtId="3" fontId="17" fillId="13" borderId="2" xfId="0" applyNumberFormat="1" applyFont="1" applyFill="1" applyBorder="1" applyAlignment="1">
      <alignment horizontal="right" vertical="center"/>
    </xf>
    <xf numFmtId="0" fontId="15" fillId="0" borderId="2" xfId="0" applyFont="1" applyFill="1" applyBorder="1" applyAlignment="1">
      <alignment horizontal="left" vertical="center" wrapText="1"/>
    </xf>
    <xf numFmtId="3" fontId="8" fillId="0" borderId="2" xfId="2" applyNumberFormat="1" applyFont="1" applyFill="1" applyBorder="1" applyAlignment="1">
      <alignment vertical="center"/>
    </xf>
    <xf numFmtId="2" fontId="6" fillId="0" borderId="2" xfId="2" applyNumberFormat="1" applyFont="1" applyFill="1" applyBorder="1" applyAlignment="1">
      <alignment vertical="center"/>
    </xf>
    <xf numFmtId="3" fontId="6" fillId="0" borderId="2" xfId="2" applyNumberFormat="1" applyFont="1" applyFill="1" applyBorder="1" applyAlignment="1">
      <alignment vertical="center"/>
    </xf>
    <xf numFmtId="0" fontId="8" fillId="0" borderId="2" xfId="1" applyFont="1" applyFill="1" applyBorder="1" applyAlignment="1">
      <alignment horizontal="left" vertical="center" wrapText="1"/>
    </xf>
    <xf numFmtId="3" fontId="8" fillId="0" borderId="2" xfId="1" applyNumberFormat="1" applyFont="1" applyFill="1" applyBorder="1" applyAlignment="1">
      <alignment horizontal="right" vertical="center"/>
    </xf>
    <xf numFmtId="2" fontId="6" fillId="0" borderId="2" xfId="0" applyNumberFormat="1" applyFont="1" applyFill="1" applyBorder="1" applyAlignment="1">
      <alignment vertical="center"/>
    </xf>
    <xf numFmtId="0" fontId="6" fillId="0" borderId="2" xfId="0" applyFont="1" applyFill="1" applyBorder="1" applyAlignment="1">
      <alignment vertical="center" wrapText="1"/>
    </xf>
    <xf numFmtId="3" fontId="6" fillId="0" borderId="2" xfId="0" applyNumberFormat="1" applyFont="1" applyFill="1" applyBorder="1" applyAlignment="1">
      <alignment vertical="center"/>
    </xf>
    <xf numFmtId="0" fontId="6" fillId="0" borderId="2" xfId="0" applyFont="1" applyFill="1" applyBorder="1" applyAlignment="1">
      <alignment vertical="center"/>
    </xf>
    <xf numFmtId="3" fontId="20" fillId="13" borderId="2" xfId="0" applyNumberFormat="1" applyFont="1" applyFill="1" applyBorder="1" applyAlignment="1">
      <alignment vertical="center"/>
    </xf>
    <xf numFmtId="0" fontId="24" fillId="0" borderId="2" xfId="0" applyFont="1" applyFill="1" applyBorder="1" applyAlignment="1">
      <alignment horizontal="right"/>
    </xf>
    <xf numFmtId="0" fontId="19" fillId="0" borderId="2" xfId="0" applyFont="1" applyFill="1" applyBorder="1" applyAlignment="1">
      <alignment horizontal="left" vertical="center" wrapText="1"/>
    </xf>
    <xf numFmtId="0" fontId="22" fillId="0" borderId="0" xfId="2" applyFont="1" applyAlignment="1">
      <alignment vertical="center"/>
    </xf>
    <xf numFmtId="0" fontId="29" fillId="0" borderId="15" xfId="0" applyFont="1" applyFill="1" applyBorder="1" applyAlignment="1">
      <alignment horizontal="right" vertical="center" wrapText="1"/>
    </xf>
    <xf numFmtId="0" fontId="32" fillId="0" borderId="0" xfId="0" applyFont="1"/>
    <xf numFmtId="0" fontId="34" fillId="0" borderId="0" xfId="0" applyFont="1" applyFill="1"/>
    <xf numFmtId="3" fontId="29" fillId="0" borderId="15" xfId="0" applyNumberFormat="1" applyFont="1" applyFill="1" applyBorder="1" applyAlignment="1">
      <alignment horizontal="right" vertical="center" wrapText="1"/>
    </xf>
    <xf numFmtId="0" fontId="33" fillId="0" borderId="0" xfId="0" applyFont="1"/>
    <xf numFmtId="0" fontId="22" fillId="0" borderId="0" xfId="0" applyFont="1" applyAlignment="1">
      <alignment vertical="center"/>
    </xf>
    <xf numFmtId="4" fontId="20" fillId="14" borderId="2" xfId="9" applyNumberFormat="1" applyFont="1" applyFill="1" applyBorder="1" applyAlignment="1">
      <alignment horizontal="center"/>
    </xf>
    <xf numFmtId="0" fontId="29" fillId="8" borderId="15" xfId="0" applyFont="1" applyFill="1" applyBorder="1" applyAlignment="1">
      <alignment horizontal="right" vertical="center" wrapText="1"/>
    </xf>
    <xf numFmtId="3" fontId="29" fillId="8" borderId="15" xfId="0" applyNumberFormat="1" applyFont="1" applyFill="1" applyBorder="1" applyAlignment="1">
      <alignment horizontal="right" vertical="center" wrapText="1"/>
    </xf>
    <xf numFmtId="0" fontId="19" fillId="2" borderId="2" xfId="3" applyFont="1" applyFill="1" applyBorder="1" applyAlignment="1">
      <alignment horizontal="center" vertical="center"/>
    </xf>
    <xf numFmtId="0" fontId="19" fillId="2" borderId="2" xfId="3" applyFont="1" applyFill="1" applyBorder="1" applyAlignment="1">
      <alignment horizontal="center" vertical="center" wrapText="1"/>
    </xf>
    <xf numFmtId="0" fontId="8" fillId="2" borderId="2" xfId="3" applyFont="1" applyFill="1" applyBorder="1" applyAlignment="1">
      <alignment horizontal="center" vertical="center"/>
    </xf>
    <xf numFmtId="0" fontId="8" fillId="2" borderId="2" xfId="3" applyFont="1" applyFill="1" applyBorder="1" applyAlignment="1">
      <alignment horizontal="center" vertical="center" wrapText="1"/>
    </xf>
    <xf numFmtId="0" fontId="24" fillId="5" borderId="14" xfId="0" applyFont="1" applyFill="1" applyBorder="1" applyAlignment="1">
      <alignment horizontal="center" vertical="top" wrapText="1"/>
    </xf>
    <xf numFmtId="0" fontId="24" fillId="5" borderId="15" xfId="0" applyFont="1" applyFill="1" applyBorder="1" applyAlignment="1">
      <alignment horizontal="center" vertical="top" wrapText="1"/>
    </xf>
    <xf numFmtId="0" fontId="16" fillId="3" borderId="10" xfId="0" applyFont="1" applyFill="1" applyBorder="1" applyAlignment="1">
      <alignment horizontal="left" vertical="top" wrapText="1"/>
    </xf>
    <xf numFmtId="0" fontId="16" fillId="3" borderId="14"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5" borderId="10" xfId="0" applyFont="1" applyFill="1" applyBorder="1" applyAlignment="1">
      <alignment horizontal="left" vertical="top" wrapText="1"/>
    </xf>
    <xf numFmtId="0" fontId="16" fillId="5" borderId="14" xfId="0" applyFont="1" applyFill="1" applyBorder="1" applyAlignment="1">
      <alignment horizontal="left" vertical="top" wrapText="1"/>
    </xf>
    <xf numFmtId="0" fontId="16" fillId="5" borderId="15" xfId="0" applyFont="1" applyFill="1" applyBorder="1" applyAlignment="1">
      <alignment horizontal="left" vertical="top" wrapText="1"/>
    </xf>
    <xf numFmtId="0" fontId="16" fillId="12" borderId="10" xfId="0" applyFont="1" applyFill="1" applyBorder="1" applyAlignment="1">
      <alignment horizontal="left" vertical="top" wrapText="1"/>
    </xf>
    <xf numFmtId="0" fontId="16" fillId="12" borderId="4" xfId="0" applyFont="1" applyFill="1" applyBorder="1" applyAlignment="1">
      <alignment horizontal="left" vertical="top" wrapText="1"/>
    </xf>
    <xf numFmtId="0" fontId="16" fillId="12" borderId="15" xfId="0" applyFont="1" applyFill="1" applyBorder="1" applyAlignment="1">
      <alignment horizontal="left" vertical="top" wrapText="1"/>
    </xf>
    <xf numFmtId="0" fontId="16" fillId="16" borderId="10" xfId="0" applyFont="1" applyFill="1" applyBorder="1" applyAlignment="1">
      <alignment horizontal="left" vertical="top" wrapText="1"/>
    </xf>
    <xf numFmtId="0" fontId="16" fillId="16" borderId="15" xfId="0" applyFont="1" applyFill="1" applyBorder="1" applyAlignment="1">
      <alignment horizontal="left" vertical="top" wrapText="1"/>
    </xf>
    <xf numFmtId="0" fontId="16" fillId="15" borderId="10" xfId="0" applyFont="1" applyFill="1" applyBorder="1" applyAlignment="1">
      <alignment horizontal="left" vertical="top" wrapText="1"/>
    </xf>
    <xf numFmtId="0" fontId="16" fillId="15" borderId="14" xfId="0" applyFont="1" applyFill="1" applyBorder="1" applyAlignment="1">
      <alignment horizontal="left" vertical="top" wrapText="1"/>
    </xf>
    <xf numFmtId="0" fontId="16" fillId="15" borderId="15" xfId="0" applyFont="1" applyFill="1" applyBorder="1" applyAlignment="1">
      <alignment horizontal="left" vertical="top" wrapText="1"/>
    </xf>
    <xf numFmtId="0" fontId="16" fillId="11" borderId="10" xfId="0" applyFont="1" applyFill="1" applyBorder="1" applyAlignment="1">
      <alignment horizontal="left" vertical="top" wrapText="1"/>
    </xf>
    <xf numFmtId="0" fontId="16" fillId="11" borderId="14" xfId="0" applyFont="1" applyFill="1" applyBorder="1" applyAlignment="1">
      <alignment horizontal="left" vertical="top" wrapText="1"/>
    </xf>
    <xf numFmtId="0" fontId="16" fillId="11" borderId="15" xfId="0" applyFont="1" applyFill="1" applyBorder="1" applyAlignment="1">
      <alignment horizontal="left" vertical="top" wrapText="1"/>
    </xf>
    <xf numFmtId="0" fontId="24" fillId="6" borderId="2" xfId="0" applyFont="1" applyFill="1" applyBorder="1" applyAlignment="1">
      <alignment horizontal="left" vertical="top" wrapText="1"/>
    </xf>
    <xf numFmtId="0" fontId="24" fillId="2" borderId="2" xfId="0" applyFont="1" applyFill="1" applyBorder="1" applyAlignment="1">
      <alignment horizontal="left" vertical="top" wrapText="1"/>
    </xf>
    <xf numFmtId="49" fontId="24" fillId="5" borderId="2" xfId="0" applyNumberFormat="1" applyFont="1" applyFill="1" applyBorder="1" applyAlignment="1">
      <alignment horizontal="center" vertical="center" wrapText="1"/>
    </xf>
    <xf numFmtId="3" fontId="24" fillId="12" borderId="2" xfId="0" applyNumberFormat="1" applyFont="1" applyFill="1" applyBorder="1" applyAlignment="1">
      <alignment horizontal="right" vertical="center" wrapText="1"/>
    </xf>
    <xf numFmtId="49" fontId="24" fillId="12" borderId="2" xfId="0" applyNumberFormat="1" applyFont="1" applyFill="1" applyBorder="1" applyAlignment="1">
      <alignment horizontal="center" vertical="center" wrapText="1"/>
    </xf>
    <xf numFmtId="3" fontId="16" fillId="2" borderId="2" xfId="0" applyNumberFormat="1" applyFont="1" applyFill="1" applyBorder="1" applyAlignment="1">
      <alignment horizontal="right" vertical="center" wrapText="1"/>
    </xf>
    <xf numFmtId="3" fontId="16" fillId="5" borderId="2" xfId="0" applyNumberFormat="1" applyFont="1" applyFill="1" applyBorder="1" applyAlignment="1">
      <alignment horizontal="right" vertical="center" wrapText="1"/>
    </xf>
    <xf numFmtId="3" fontId="24" fillId="6" borderId="2" xfId="0" applyNumberFormat="1" applyFont="1" applyFill="1" applyBorder="1" applyAlignment="1">
      <alignment horizontal="right" vertical="center" wrapText="1"/>
    </xf>
    <xf numFmtId="49" fontId="24" fillId="6" borderId="2" xfId="0" applyNumberFormat="1" applyFont="1" applyFill="1" applyBorder="1" applyAlignment="1">
      <alignment horizontal="center" vertical="center" wrapText="1"/>
    </xf>
    <xf numFmtId="0" fontId="16" fillId="0" borderId="2" xfId="0" applyFont="1" applyFill="1" applyBorder="1" applyAlignment="1">
      <alignment horizontal="right" vertical="center" wrapText="1"/>
    </xf>
    <xf numFmtId="3" fontId="16" fillId="5" borderId="2" xfId="0" applyNumberFormat="1" applyFont="1" applyFill="1" applyBorder="1" applyAlignment="1">
      <alignment horizontal="center" vertical="center" wrapText="1"/>
    </xf>
    <xf numFmtId="0" fontId="24" fillId="5" borderId="11" xfId="0" applyFont="1" applyFill="1" applyBorder="1" applyAlignment="1">
      <alignment vertical="top" wrapText="1"/>
    </xf>
    <xf numFmtId="3" fontId="24" fillId="5" borderId="2" xfId="0" applyNumberFormat="1" applyFont="1" applyFill="1" applyBorder="1" applyAlignment="1">
      <alignment horizontal="center" vertical="center" wrapText="1"/>
    </xf>
    <xf numFmtId="0" fontId="24" fillId="13" borderId="13" xfId="0" applyFont="1" applyFill="1" applyBorder="1" applyAlignment="1">
      <alignment horizontal="left" vertical="top" wrapText="1"/>
    </xf>
    <xf numFmtId="0" fontId="24" fillId="13" borderId="2" xfId="0" applyFont="1" applyFill="1" applyBorder="1" applyAlignment="1">
      <alignment horizontal="left" vertical="top" wrapText="1"/>
    </xf>
    <xf numFmtId="3" fontId="24" fillId="13" borderId="2" xfId="0" applyNumberFormat="1" applyFont="1" applyFill="1" applyBorder="1" applyAlignment="1">
      <alignment horizontal="right" vertical="center" wrapText="1"/>
    </xf>
    <xf numFmtId="49" fontId="24" fillId="13" borderId="2" xfId="0" applyNumberFormat="1" applyFont="1" applyFill="1" applyBorder="1" applyAlignment="1">
      <alignment horizontal="center" vertical="center" wrapText="1"/>
    </xf>
    <xf numFmtId="3" fontId="24" fillId="15" borderId="2" xfId="0" applyNumberFormat="1" applyFont="1" applyFill="1" applyBorder="1" applyAlignment="1">
      <alignment horizontal="right" vertical="center" wrapText="1"/>
    </xf>
    <xf numFmtId="49" fontId="24" fillId="15" borderId="2" xfId="0" applyNumberFormat="1" applyFont="1" applyFill="1" applyBorder="1" applyAlignment="1">
      <alignment horizontal="center" vertical="center" wrapText="1"/>
    </xf>
    <xf numFmtId="0" fontId="16" fillId="0" borderId="0" xfId="0" applyFont="1"/>
    <xf numFmtId="0" fontId="16" fillId="2" borderId="0" xfId="0" applyFont="1" applyFill="1"/>
    <xf numFmtId="3" fontId="20" fillId="13" borderId="2" xfId="2" applyNumberFormat="1" applyFont="1" applyFill="1" applyBorder="1" applyAlignment="1">
      <alignment vertical="center"/>
    </xf>
    <xf numFmtId="1" fontId="19" fillId="0" borderId="0" xfId="0" applyNumberFormat="1" applyFont="1" applyAlignment="1">
      <alignment vertical="center"/>
    </xf>
    <xf numFmtId="0" fontId="19" fillId="0" borderId="0" xfId="0" applyFont="1" applyAlignment="1">
      <alignment vertical="center"/>
    </xf>
    <xf numFmtId="0" fontId="19" fillId="0" borderId="2" xfId="2" applyFont="1" applyBorder="1" applyAlignment="1">
      <alignment vertical="center"/>
    </xf>
    <xf numFmtId="3" fontId="19" fillId="0" borderId="2" xfId="2" applyNumberFormat="1" applyFont="1" applyBorder="1" applyAlignment="1">
      <alignment vertical="center"/>
    </xf>
    <xf numFmtId="0" fontId="19" fillId="0" borderId="2" xfId="2" applyFont="1" applyBorder="1" applyAlignment="1">
      <alignment vertical="center" wrapText="1"/>
    </xf>
    <xf numFmtId="0" fontId="20" fillId="0" borderId="2" xfId="2" applyFont="1" applyBorder="1" applyAlignment="1">
      <alignment vertical="center"/>
    </xf>
    <xf numFmtId="3" fontId="20" fillId="0" borderId="2" xfId="2" applyNumberFormat="1" applyFont="1" applyBorder="1" applyAlignment="1">
      <alignment vertical="center"/>
    </xf>
    <xf numFmtId="3" fontId="20" fillId="0" borderId="2" xfId="2" applyNumberFormat="1" applyFont="1" applyFill="1" applyBorder="1" applyAlignment="1">
      <alignment vertical="center"/>
    </xf>
    <xf numFmtId="0" fontId="19" fillId="0" borderId="0" xfId="2" applyFont="1" applyAlignment="1">
      <alignment vertical="center"/>
    </xf>
    <xf numFmtId="0" fontId="19" fillId="2" borderId="2" xfId="2" applyFont="1" applyFill="1" applyBorder="1" applyAlignment="1">
      <alignment vertical="center"/>
    </xf>
    <xf numFmtId="0" fontId="19" fillId="0" borderId="2" xfId="2" applyFont="1" applyBorder="1" applyAlignment="1">
      <alignment horizontal="center" vertical="center"/>
    </xf>
    <xf numFmtId="2" fontId="19" fillId="0" borderId="2" xfId="2" applyNumberFormat="1" applyFont="1" applyBorder="1" applyAlignment="1">
      <alignment horizontal="center" vertical="center"/>
    </xf>
    <xf numFmtId="3" fontId="20" fillId="2" borderId="2" xfId="0" applyNumberFormat="1" applyFont="1" applyFill="1" applyBorder="1" applyAlignment="1">
      <alignment horizontal="center" vertical="center" wrapText="1"/>
    </xf>
    <xf numFmtId="0" fontId="20" fillId="0" borderId="0" xfId="4" applyFont="1" applyFill="1" applyAlignment="1">
      <alignment vertical="center"/>
    </xf>
    <xf numFmtId="0" fontId="19" fillId="0" borderId="2" xfId="4" applyFont="1" applyFill="1" applyBorder="1" applyAlignment="1">
      <alignment horizontal="center" vertical="center" wrapText="1"/>
    </xf>
    <xf numFmtId="2" fontId="19" fillId="0" borderId="2" xfId="2" applyNumberFormat="1" applyFont="1" applyBorder="1" applyAlignment="1">
      <alignment vertical="center"/>
    </xf>
    <xf numFmtId="0" fontId="20" fillId="0" borderId="0" xfId="0" applyFont="1" applyAlignment="1">
      <alignment vertical="center"/>
    </xf>
    <xf numFmtId="0" fontId="19" fillId="0" borderId="2" xfId="0" applyFont="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vertical="center"/>
    </xf>
    <xf numFmtId="0" fontId="20" fillId="0" borderId="2" xfId="0" applyFont="1" applyBorder="1" applyAlignment="1">
      <alignment horizontal="right" vertical="center"/>
    </xf>
    <xf numFmtId="0" fontId="20" fillId="0" borderId="2" xfId="0" applyNumberFormat="1" applyFont="1" applyBorder="1" applyAlignment="1">
      <alignment horizontal="center" vertical="center"/>
    </xf>
    <xf numFmtId="3" fontId="20" fillId="0" borderId="2" xfId="0" applyNumberFormat="1" applyFont="1" applyBorder="1" applyAlignment="1">
      <alignment horizontal="center" vertical="center"/>
    </xf>
    <xf numFmtId="3" fontId="19" fillId="0" borderId="0" xfId="0" applyNumberFormat="1" applyFont="1" applyAlignment="1">
      <alignment vertical="center"/>
    </xf>
    <xf numFmtId="0" fontId="25" fillId="0" borderId="0" xfId="0" applyFont="1" applyAlignment="1">
      <alignment horizontal="center"/>
    </xf>
    <xf numFmtId="0" fontId="8" fillId="0" borderId="0" xfId="2" applyFont="1" applyAlignment="1">
      <alignment vertical="center"/>
    </xf>
    <xf numFmtId="0" fontId="5" fillId="0" borderId="0" xfId="0" applyFont="1" applyFill="1" applyBorder="1" applyAlignment="1">
      <alignment horizontal="left" vertical="center" wrapText="1"/>
    </xf>
    <xf numFmtId="3" fontId="24" fillId="0" borderId="0" xfId="0" applyNumberFormat="1" applyFont="1" applyFill="1" applyBorder="1" applyAlignment="1">
      <alignment horizontal="right" vertical="center"/>
    </xf>
    <xf numFmtId="0" fontId="8" fillId="0" borderId="0" xfId="0" applyFont="1"/>
    <xf numFmtId="0" fontId="8" fillId="0" borderId="2" xfId="2" applyFont="1" applyBorder="1" applyAlignment="1">
      <alignment horizontal="center" vertical="center"/>
    </xf>
    <xf numFmtId="2" fontId="8" fillId="0" borderId="2" xfId="2" applyNumberFormat="1" applyFont="1" applyBorder="1" applyAlignment="1">
      <alignment horizontal="center" vertical="center"/>
    </xf>
    <xf numFmtId="3" fontId="20" fillId="0" borderId="2" xfId="0" applyNumberFormat="1" applyFont="1" applyFill="1" applyBorder="1" applyAlignment="1">
      <alignment horizontal="center" vertical="center" wrapText="1"/>
    </xf>
    <xf numFmtId="0" fontId="8" fillId="0" borderId="0" xfId="2" applyFont="1" applyFill="1" applyAlignment="1">
      <alignment vertical="center"/>
    </xf>
    <xf numFmtId="0" fontId="11" fillId="0" borderId="0" xfId="4" applyFont="1" applyFill="1" applyAlignment="1">
      <alignment vertical="center"/>
    </xf>
    <xf numFmtId="0" fontId="8" fillId="0" borderId="2" xfId="4" applyFont="1" applyFill="1" applyBorder="1" applyAlignment="1">
      <alignment horizontal="center" vertical="center" wrapText="1"/>
    </xf>
    <xf numFmtId="3" fontId="8" fillId="0" borderId="0" xfId="2" applyNumberFormat="1" applyFont="1" applyAlignment="1">
      <alignment vertical="center"/>
    </xf>
    <xf numFmtId="0" fontId="35" fillId="0" borderId="0" xfId="0" applyFont="1"/>
    <xf numFmtId="0" fontId="19" fillId="0" borderId="0" xfId="0" applyFont="1"/>
    <xf numFmtId="3" fontId="19" fillId="0" borderId="0" xfId="0" applyNumberFormat="1" applyFont="1"/>
    <xf numFmtId="3" fontId="19" fillId="0" borderId="0" xfId="2" applyNumberFormat="1" applyFont="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2" applyFont="1" applyFill="1" applyAlignment="1">
      <alignment vertical="center"/>
    </xf>
    <xf numFmtId="0" fontId="19" fillId="0" borderId="2" xfId="2" applyFont="1" applyFill="1" applyBorder="1" applyAlignment="1">
      <alignment horizontal="center" vertical="center" wrapText="1"/>
    </xf>
    <xf numFmtId="0" fontId="19" fillId="0" borderId="2" xfId="0" applyFont="1" applyFill="1" applyBorder="1" applyAlignment="1">
      <alignment vertical="center" wrapText="1"/>
    </xf>
    <xf numFmtId="3" fontId="19" fillId="0" borderId="2" xfId="0" applyNumberFormat="1" applyFont="1" applyFill="1" applyBorder="1" applyAlignment="1">
      <alignment vertical="center"/>
    </xf>
    <xf numFmtId="0" fontId="19" fillId="0" borderId="2" xfId="0" applyFont="1" applyFill="1" applyBorder="1" applyAlignment="1">
      <alignment vertical="center"/>
    </xf>
    <xf numFmtId="0" fontId="20" fillId="0" borderId="2" xfId="0" applyFont="1" applyFill="1" applyBorder="1" applyAlignment="1">
      <alignment horizontal="right" vertical="center"/>
    </xf>
    <xf numFmtId="164" fontId="19" fillId="0" borderId="2" xfId="0" applyNumberFormat="1" applyFont="1" applyFill="1" applyBorder="1" applyAlignment="1">
      <alignment vertical="center"/>
    </xf>
    <xf numFmtId="0" fontId="16" fillId="0" borderId="0" xfId="0" applyFont="1" applyFill="1"/>
    <xf numFmtId="0" fontId="16" fillId="0" borderId="2" xfId="0" applyFont="1" applyFill="1" applyBorder="1"/>
    <xf numFmtId="0" fontId="16" fillId="0" borderId="2" xfId="0" applyFont="1" applyFill="1" applyBorder="1" applyAlignment="1">
      <alignment horizontal="center" vertical="center" wrapText="1"/>
    </xf>
    <xf numFmtId="0" fontId="16" fillId="0" borderId="2" xfId="0" applyFont="1" applyFill="1" applyBorder="1" applyAlignment="1">
      <alignment wrapText="1"/>
    </xf>
    <xf numFmtId="3" fontId="24" fillId="0" borderId="2"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3" fontId="24" fillId="8" borderId="2" xfId="0" applyNumberFormat="1" applyFont="1" applyFill="1" applyBorder="1" applyAlignment="1">
      <alignment horizontal="right" vertical="center"/>
    </xf>
    <xf numFmtId="3" fontId="16" fillId="0" borderId="2" xfId="0" applyNumberFormat="1" applyFont="1" applyFill="1" applyBorder="1"/>
    <xf numFmtId="0" fontId="24" fillId="0" borderId="0" xfId="0" applyFont="1" applyFill="1" applyBorder="1" applyAlignment="1">
      <alignment wrapText="1"/>
    </xf>
    <xf numFmtId="0" fontId="24" fillId="0" borderId="2" xfId="0" applyFont="1" applyFill="1" applyBorder="1" applyAlignment="1">
      <alignment horizontal="center" vertical="center"/>
    </xf>
    <xf numFmtId="0" fontId="16" fillId="0" borderId="0" xfId="0" applyFont="1" applyFill="1" applyBorder="1"/>
    <xf numFmtId="0" fontId="20" fillId="0" borderId="2" xfId="0" applyFont="1" applyFill="1" applyBorder="1" applyAlignment="1">
      <alignment wrapText="1"/>
    </xf>
    <xf numFmtId="3" fontId="36" fillId="8" borderId="2" xfId="0" applyNumberFormat="1" applyFont="1" applyFill="1" applyBorder="1" applyAlignment="1">
      <alignment horizontal="center" vertical="center"/>
    </xf>
    <xf numFmtId="0" fontId="20" fillId="14" borderId="2" xfId="0" applyFont="1" applyFill="1" applyBorder="1" applyAlignment="1">
      <alignment wrapText="1"/>
    </xf>
    <xf numFmtId="0" fontId="37" fillId="0" borderId="2" xfId="0" applyFont="1" applyFill="1" applyBorder="1" applyAlignment="1">
      <alignment vertical="center" wrapText="1"/>
    </xf>
    <xf numFmtId="0" fontId="20" fillId="14" borderId="2" xfId="0" applyFont="1" applyFill="1" applyBorder="1"/>
    <xf numFmtId="0" fontId="16" fillId="0" borderId="2" xfId="0" applyFont="1" applyFill="1" applyBorder="1" applyAlignment="1">
      <alignment vertical="center"/>
    </xf>
    <xf numFmtId="0" fontId="20" fillId="14" borderId="2" xfId="0" applyFont="1" applyFill="1" applyBorder="1" applyAlignment="1">
      <alignment vertical="center"/>
    </xf>
    <xf numFmtId="0" fontId="20" fillId="14" borderId="2" xfId="0" applyFont="1" applyFill="1" applyBorder="1" applyAlignment="1">
      <alignment vertical="center" wrapText="1"/>
    </xf>
    <xf numFmtId="3" fontId="20" fillId="0" borderId="2" xfId="0" applyNumberFormat="1" applyFont="1" applyFill="1" applyBorder="1" applyAlignment="1">
      <alignment horizontal="center" vertical="center"/>
    </xf>
    <xf numFmtId="0" fontId="19" fillId="0" borderId="2" xfId="0" applyFont="1" applyFill="1" applyBorder="1" applyAlignment="1">
      <alignment horizontal="left" wrapText="1"/>
    </xf>
    <xf numFmtId="0" fontId="19" fillId="0" borderId="2" xfId="0" applyFont="1" applyFill="1" applyBorder="1" applyAlignment="1">
      <alignment wrapText="1"/>
    </xf>
    <xf numFmtId="0" fontId="19" fillId="0" borderId="2" xfId="0" applyFont="1" applyFill="1" applyBorder="1" applyAlignment="1">
      <alignment horizontal="left" vertical="center"/>
    </xf>
    <xf numFmtId="0" fontId="19" fillId="0" borderId="10" xfId="0" applyFont="1" applyFill="1" applyBorder="1" applyAlignment="1">
      <alignment horizontal="left" vertical="center"/>
    </xf>
    <xf numFmtId="3" fontId="16" fillId="0" borderId="0" xfId="0" applyNumberFormat="1" applyFont="1" applyFill="1"/>
    <xf numFmtId="0" fontId="20" fillId="0" borderId="2" xfId="0" applyFont="1" applyFill="1" applyBorder="1" applyAlignment="1">
      <alignment vertical="center"/>
    </xf>
    <xf numFmtId="0" fontId="20" fillId="0" borderId="2" xfId="0" applyFont="1" applyFill="1" applyBorder="1" applyAlignment="1">
      <alignment horizontal="center" vertical="center"/>
    </xf>
    <xf numFmtId="9" fontId="19" fillId="0" borderId="2" xfId="9" applyFont="1" applyFill="1" applyBorder="1" applyAlignment="1">
      <alignment horizontal="center" vertical="center"/>
    </xf>
    <xf numFmtId="0" fontId="20" fillId="0" borderId="2" xfId="0" applyFont="1" applyFill="1" applyBorder="1" applyAlignment="1">
      <alignment vertical="center" wrapText="1"/>
    </xf>
    <xf numFmtId="0" fontId="19" fillId="0" borderId="15" xfId="0" applyFont="1" applyFill="1" applyBorder="1" applyAlignment="1">
      <alignment vertical="center" wrapText="1"/>
    </xf>
    <xf numFmtId="3" fontId="16" fillId="0" borderId="0" xfId="0" applyNumberFormat="1" applyFont="1" applyFill="1" applyBorder="1"/>
    <xf numFmtId="0" fontId="36" fillId="0" borderId="0" xfId="0" applyFont="1"/>
    <xf numFmtId="3" fontId="16" fillId="0" borderId="0" xfId="0" applyNumberFormat="1" applyFont="1"/>
    <xf numFmtId="0" fontId="24" fillId="0" borderId="0" xfId="0" applyFont="1"/>
    <xf numFmtId="0" fontId="20" fillId="0" borderId="2" xfId="0" applyFont="1" applyFill="1" applyBorder="1" applyAlignment="1">
      <alignment horizontal="center" vertical="center" wrapText="1"/>
    </xf>
    <xf numFmtId="0" fontId="19" fillId="19" borderId="2" xfId="0" applyFont="1" applyFill="1" applyBorder="1" applyAlignment="1">
      <alignment horizontal="center" vertical="center"/>
    </xf>
    <xf numFmtId="166" fontId="19" fillId="19" borderId="2" xfId="0" applyNumberFormat="1" applyFont="1" applyFill="1" applyBorder="1" applyAlignment="1">
      <alignment horizontal="center" vertical="center"/>
    </xf>
    <xf numFmtId="167" fontId="19" fillId="19" borderId="2" xfId="0" applyNumberFormat="1" applyFont="1" applyFill="1" applyBorder="1" applyAlignment="1">
      <alignment horizontal="center" vertical="center"/>
    </xf>
    <xf numFmtId="3" fontId="19" fillId="19" borderId="2" xfId="0" applyNumberFormat="1" applyFont="1" applyFill="1" applyBorder="1" applyAlignment="1">
      <alignment horizontal="center" vertical="center"/>
    </xf>
    <xf numFmtId="2" fontId="19" fillId="2" borderId="2" xfId="2" applyNumberFormat="1" applyFont="1" applyFill="1" applyBorder="1" applyAlignment="1">
      <alignment horizontal="center" vertical="center"/>
    </xf>
    <xf numFmtId="3" fontId="19" fillId="0" borderId="2" xfId="3" applyNumberFormat="1" applyFont="1" applyBorder="1" applyAlignment="1">
      <alignment horizontal="center" vertical="center" wrapText="1"/>
    </xf>
    <xf numFmtId="3" fontId="20" fillId="0" borderId="2" xfId="3" applyNumberFormat="1" applyFont="1" applyBorder="1" applyAlignment="1">
      <alignment horizontal="center" vertical="center" wrapText="1"/>
    </xf>
    <xf numFmtId="0" fontId="20" fillId="2" borderId="2" xfId="3" applyFont="1" applyFill="1" applyBorder="1" applyAlignment="1">
      <alignment horizontal="left" vertical="center" wrapText="1"/>
    </xf>
    <xf numFmtId="0" fontId="19" fillId="0" borderId="0" xfId="2" applyFont="1" applyBorder="1" applyAlignment="1">
      <alignment horizontal="center" vertical="center"/>
    </xf>
    <xf numFmtId="2" fontId="19" fillId="0" borderId="0" xfId="2" applyNumberFormat="1" applyFont="1" applyBorder="1" applyAlignment="1">
      <alignment horizontal="center" vertical="center"/>
    </xf>
    <xf numFmtId="3" fontId="19" fillId="0" borderId="0" xfId="3" applyNumberFormat="1" applyFont="1" applyBorder="1" applyAlignment="1">
      <alignment horizontal="center" vertical="center" wrapText="1"/>
    </xf>
    <xf numFmtId="3" fontId="20" fillId="0" borderId="0" xfId="0" applyNumberFormat="1" applyFont="1" applyBorder="1" applyAlignment="1">
      <alignment horizontal="center" vertical="center" wrapText="1"/>
    </xf>
    <xf numFmtId="3" fontId="20" fillId="0" borderId="0" xfId="3" applyNumberFormat="1" applyFont="1" applyBorder="1" applyAlignment="1">
      <alignment horizontal="center" vertical="center" wrapText="1"/>
    </xf>
    <xf numFmtId="0" fontId="20" fillId="0" borderId="0" xfId="1" applyFont="1" applyAlignment="1">
      <alignment horizontal="center" vertical="center"/>
    </xf>
    <xf numFmtId="3" fontId="20" fillId="0" borderId="0" xfId="1" applyNumberFormat="1" applyFont="1" applyAlignment="1">
      <alignment horizontal="center" vertical="center"/>
    </xf>
    <xf numFmtId="3" fontId="20" fillId="0" borderId="0" xfId="1" applyNumberFormat="1" applyFont="1" applyFill="1" applyAlignment="1">
      <alignment horizontal="center" vertical="center"/>
    </xf>
    <xf numFmtId="0" fontId="24" fillId="0" borderId="0" xfId="1" applyFont="1" applyAlignment="1">
      <alignment vertical="center"/>
    </xf>
    <xf numFmtId="164" fontId="19" fillId="0" borderId="2" xfId="2" applyNumberFormat="1" applyFont="1" applyFill="1" applyBorder="1" applyAlignment="1">
      <alignment horizontal="center" vertical="center"/>
    </xf>
    <xf numFmtId="164" fontId="19" fillId="0" borderId="2" xfId="3"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0" fontId="19" fillId="0" borderId="2" xfId="3" applyFont="1" applyBorder="1" applyAlignment="1">
      <alignment horizontal="left" vertical="center" wrapText="1"/>
    </xf>
    <xf numFmtId="0" fontId="20" fillId="0" borderId="2" xfId="1" applyFont="1" applyBorder="1" applyAlignment="1">
      <alignment horizontal="right" vertical="center"/>
    </xf>
    <xf numFmtId="164" fontId="20" fillId="0" borderId="2" xfId="1" applyNumberFormat="1" applyFont="1" applyBorder="1" applyAlignment="1">
      <alignment horizontal="center" vertical="center"/>
    </xf>
    <xf numFmtId="0" fontId="20" fillId="0" borderId="0" xfId="1" applyFont="1" applyAlignment="1">
      <alignment horizontal="right" vertical="center"/>
    </xf>
    <xf numFmtId="0" fontId="16" fillId="0" borderId="0" xfId="0" applyFont="1" applyBorder="1" applyAlignment="1">
      <alignment horizontal="left" vertical="top"/>
    </xf>
    <xf numFmtId="0" fontId="16" fillId="2" borderId="0" xfId="0" applyFont="1" applyFill="1" applyBorder="1" applyAlignment="1">
      <alignment horizontal="left" vertical="top"/>
    </xf>
    <xf numFmtId="3" fontId="16" fillId="0" borderId="0" xfId="0" applyNumberFormat="1" applyFont="1" applyBorder="1" applyAlignment="1">
      <alignment horizontal="left" vertical="top"/>
    </xf>
    <xf numFmtId="3" fontId="16" fillId="2" borderId="0" xfId="0" applyNumberFormat="1" applyFont="1" applyFill="1" applyBorder="1" applyAlignment="1">
      <alignment horizontal="left" vertical="top"/>
    </xf>
    <xf numFmtId="49" fontId="16" fillId="0" borderId="0" xfId="0" applyNumberFormat="1" applyFont="1" applyBorder="1" applyAlignment="1">
      <alignment horizontal="left" vertical="top"/>
    </xf>
    <xf numFmtId="0" fontId="24" fillId="4" borderId="13" xfId="0" applyFont="1" applyFill="1" applyBorder="1" applyAlignment="1">
      <alignment horizontal="left" vertical="top" wrapText="1"/>
    </xf>
    <xf numFmtId="0" fontId="24" fillId="18" borderId="2" xfId="0" applyFont="1" applyFill="1" applyBorder="1" applyAlignment="1">
      <alignment horizontal="left" vertical="top" wrapText="1"/>
    </xf>
    <xf numFmtId="0" fontId="16" fillId="0" borderId="2" xfId="0" applyFont="1" applyFill="1" applyBorder="1" applyAlignment="1">
      <alignment horizontal="right" vertical="top" wrapText="1"/>
    </xf>
    <xf numFmtId="0" fontId="16" fillId="2" borderId="2" xfId="0" applyFont="1" applyFill="1" applyBorder="1" applyAlignment="1">
      <alignment horizontal="right" vertical="top" wrapText="1"/>
    </xf>
    <xf numFmtId="3" fontId="38" fillId="0" borderId="2" xfId="0" applyNumberFormat="1" applyFont="1" applyFill="1" applyBorder="1" applyAlignment="1">
      <alignment horizontal="center" vertical="center" wrapText="1"/>
    </xf>
    <xf numFmtId="3" fontId="38" fillId="2" borderId="2" xfId="0" applyNumberFormat="1" applyFont="1" applyFill="1" applyBorder="1" applyAlignment="1">
      <alignment horizontal="center" vertical="center" wrapText="1"/>
    </xf>
    <xf numFmtId="0" fontId="39" fillId="12" borderId="2" xfId="0" applyFont="1" applyFill="1" applyBorder="1" applyAlignment="1">
      <alignment horizontal="left" vertical="top" wrapText="1"/>
    </xf>
    <xf numFmtId="0" fontId="16" fillId="12" borderId="2" xfId="0" applyFont="1" applyFill="1" applyBorder="1" applyAlignment="1">
      <alignment horizontal="right" vertical="center" wrapText="1"/>
    </xf>
    <xf numFmtId="3" fontId="38" fillId="12" borderId="2" xfId="0" applyNumberFormat="1" applyFont="1" applyFill="1" applyBorder="1" applyAlignment="1">
      <alignment horizontal="center" vertical="center" wrapText="1"/>
    </xf>
    <xf numFmtId="49" fontId="16" fillId="12" borderId="2" xfId="0" applyNumberFormat="1" applyFont="1" applyFill="1" applyBorder="1" applyAlignment="1">
      <alignment horizontal="center" vertical="center" wrapText="1"/>
    </xf>
    <xf numFmtId="0" fontId="39" fillId="3" borderId="2" xfId="0" applyFont="1" applyFill="1" applyBorder="1" applyAlignment="1">
      <alignment horizontal="left" vertical="top" wrapText="1"/>
    </xf>
    <xf numFmtId="0" fontId="16" fillId="3" borderId="2" xfId="0" applyFont="1" applyFill="1" applyBorder="1" applyAlignment="1">
      <alignment horizontal="right" vertical="center" wrapText="1"/>
    </xf>
    <xf numFmtId="3" fontId="38" fillId="3" borderId="2"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0" fontId="39" fillId="16" borderId="2" xfId="0" applyFont="1" applyFill="1" applyBorder="1" applyAlignment="1">
      <alignment horizontal="left" vertical="top" wrapText="1"/>
    </xf>
    <xf numFmtId="0" fontId="16" fillId="16" borderId="2" xfId="0" applyFont="1" applyFill="1" applyBorder="1" applyAlignment="1">
      <alignment horizontal="right" vertical="center" wrapText="1"/>
    </xf>
    <xf numFmtId="3" fontId="38" fillId="16" borderId="2" xfId="0" applyNumberFormat="1" applyFont="1" applyFill="1" applyBorder="1" applyAlignment="1">
      <alignment horizontal="center" vertical="center" wrapText="1"/>
    </xf>
    <xf numFmtId="49" fontId="16" fillId="16" borderId="2" xfId="0" applyNumberFormat="1"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15" xfId="0" applyFont="1" applyFill="1" applyBorder="1" applyAlignment="1">
      <alignment horizontal="center" vertical="top" wrapText="1"/>
    </xf>
    <xf numFmtId="0" fontId="39" fillId="11" borderId="2" xfId="0" applyFont="1" applyFill="1" applyBorder="1" applyAlignment="1">
      <alignment horizontal="left" vertical="top" wrapText="1"/>
    </xf>
    <xf numFmtId="0" fontId="16" fillId="11" borderId="2" xfId="0" applyFont="1" applyFill="1" applyBorder="1" applyAlignment="1">
      <alignment horizontal="left" vertical="top" wrapText="1"/>
    </xf>
    <xf numFmtId="0" fontId="16" fillId="11" borderId="2" xfId="0" applyFont="1" applyFill="1" applyBorder="1" applyAlignment="1">
      <alignment horizontal="right" vertical="center" wrapText="1"/>
    </xf>
    <xf numFmtId="3" fontId="38" fillId="11" borderId="2" xfId="0" applyNumberFormat="1" applyFont="1" applyFill="1" applyBorder="1" applyAlignment="1">
      <alignment horizontal="center" vertical="center" wrapText="1"/>
    </xf>
    <xf numFmtId="49" fontId="16" fillId="11" borderId="2" xfId="0" applyNumberFormat="1" applyFont="1" applyFill="1" applyBorder="1" applyAlignment="1">
      <alignment horizontal="center" vertical="center" wrapText="1"/>
    </xf>
    <xf numFmtId="0" fontId="39" fillId="13" borderId="2" xfId="0" applyFont="1" applyFill="1" applyBorder="1" applyAlignment="1">
      <alignment horizontal="left" vertical="top" wrapText="1"/>
    </xf>
    <xf numFmtId="0" fontId="16" fillId="13" borderId="2" xfId="0" applyFont="1" applyFill="1" applyBorder="1" applyAlignment="1">
      <alignment horizontal="right" vertical="center" wrapText="1"/>
    </xf>
    <xf numFmtId="3" fontId="38" fillId="13" borderId="2" xfId="0" applyNumberFormat="1" applyFont="1" applyFill="1" applyBorder="1" applyAlignment="1">
      <alignment horizontal="center" vertical="center" wrapText="1"/>
    </xf>
    <xf numFmtId="49" fontId="16" fillId="13" borderId="2" xfId="0" applyNumberFormat="1" applyFont="1" applyFill="1" applyBorder="1" applyAlignment="1">
      <alignment horizontal="center" vertical="center" wrapText="1"/>
    </xf>
    <xf numFmtId="0" fontId="39" fillId="15" borderId="2" xfId="0" applyFont="1" applyFill="1" applyBorder="1" applyAlignment="1">
      <alignment horizontal="left" vertical="top" wrapText="1"/>
    </xf>
    <xf numFmtId="0" fontId="16" fillId="15" borderId="2" xfId="0" applyFont="1" applyFill="1" applyBorder="1" applyAlignment="1">
      <alignment horizontal="right" vertical="center" wrapText="1"/>
    </xf>
    <xf numFmtId="3" fontId="38" fillId="15" borderId="2" xfId="0" applyNumberFormat="1" applyFont="1" applyFill="1" applyBorder="1" applyAlignment="1">
      <alignment horizontal="center" vertical="center" wrapText="1"/>
    </xf>
    <xf numFmtId="49" fontId="16" fillId="15" borderId="2" xfId="0" applyNumberFormat="1" applyFont="1" applyFill="1" applyBorder="1" applyAlignment="1">
      <alignment horizontal="center" vertical="center" wrapText="1"/>
    </xf>
    <xf numFmtId="0" fontId="39" fillId="5" borderId="2" xfId="0" applyFont="1" applyFill="1" applyBorder="1" applyAlignment="1">
      <alignment horizontal="left" vertical="top" wrapText="1"/>
    </xf>
    <xf numFmtId="3" fontId="24" fillId="6" borderId="2" xfId="0" applyNumberFormat="1" applyFont="1" applyFill="1" applyBorder="1" applyAlignment="1">
      <alignment horizontal="right" vertical="top" wrapText="1"/>
    </xf>
    <xf numFmtId="3" fontId="16" fillId="0" borderId="2"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49" fontId="16" fillId="5" borderId="2" xfId="0" applyNumberFormat="1" applyFont="1" applyFill="1" applyBorder="1" applyAlignment="1">
      <alignment horizontal="right" vertical="center" wrapText="1"/>
    </xf>
    <xf numFmtId="49" fontId="16" fillId="5"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3" fontId="24" fillId="11" borderId="2" xfId="0" applyNumberFormat="1" applyFont="1" applyFill="1" applyBorder="1" applyAlignment="1">
      <alignment horizontal="right" vertical="center" wrapText="1"/>
    </xf>
    <xf numFmtId="49" fontId="24" fillId="11" borderId="2" xfId="0" applyNumberFormat="1" applyFont="1" applyFill="1" applyBorder="1" applyAlignment="1">
      <alignment horizontal="center" vertical="center" wrapText="1"/>
    </xf>
    <xf numFmtId="3" fontId="24" fillId="3" borderId="2" xfId="0" applyNumberFormat="1" applyFont="1" applyFill="1" applyBorder="1" applyAlignment="1">
      <alignment horizontal="right" vertical="center" wrapText="1"/>
    </xf>
    <xf numFmtId="49" fontId="24" fillId="3" borderId="2" xfId="0" applyNumberFormat="1" applyFont="1" applyFill="1" applyBorder="1" applyAlignment="1">
      <alignment horizontal="center" vertical="center" wrapText="1"/>
    </xf>
    <xf numFmtId="3" fontId="24" fillId="16" borderId="2" xfId="0" applyNumberFormat="1" applyFont="1" applyFill="1" applyBorder="1" applyAlignment="1">
      <alignment horizontal="right" vertical="center" wrapText="1"/>
    </xf>
    <xf numFmtId="49" fontId="24" fillId="16" borderId="2" xfId="0" applyNumberFormat="1" applyFont="1" applyFill="1" applyBorder="1" applyAlignment="1">
      <alignment horizontal="center" vertical="center" wrapText="1"/>
    </xf>
    <xf numFmtId="3" fontId="24" fillId="6" borderId="2" xfId="0" applyNumberFormat="1" applyFont="1" applyFill="1" applyBorder="1" applyAlignment="1">
      <alignment horizontal="center" vertical="center" wrapText="1"/>
    </xf>
    <xf numFmtId="0" fontId="17" fillId="0" borderId="0" xfId="0" applyFont="1" applyFill="1" applyAlignment="1"/>
    <xf numFmtId="0" fontId="27" fillId="0" borderId="0" xfId="0" applyFont="1" applyAlignment="1"/>
    <xf numFmtId="0" fontId="16" fillId="5" borderId="10" xfId="0" applyFont="1" applyFill="1" applyBorder="1" applyAlignment="1">
      <alignment horizontal="center" vertical="top" wrapText="1"/>
    </xf>
    <xf numFmtId="0" fontId="16" fillId="5" borderId="14" xfId="0" applyFont="1" applyFill="1" applyBorder="1" applyAlignment="1">
      <alignment horizontal="center" vertical="top" wrapText="1"/>
    </xf>
    <xf numFmtId="0" fontId="16" fillId="5" borderId="15" xfId="0" applyFont="1" applyFill="1" applyBorder="1" applyAlignment="1">
      <alignment horizontal="center" vertical="top" wrapText="1"/>
    </xf>
    <xf numFmtId="0" fontId="24" fillId="5" borderId="14" xfId="0" applyFont="1" applyFill="1" applyBorder="1" applyAlignment="1">
      <alignment horizontal="center" vertical="top" wrapText="1"/>
    </xf>
    <xf numFmtId="0" fontId="24" fillId="5" borderId="15"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15" xfId="0" applyFont="1" applyFill="1" applyBorder="1" applyAlignment="1">
      <alignment horizontal="center" vertical="top" wrapText="1"/>
    </xf>
    <xf numFmtId="0" fontId="24" fillId="6" borderId="10"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15" xfId="0" applyFont="1" applyFill="1" applyBorder="1" applyAlignment="1">
      <alignment horizontal="left" vertical="top" wrapText="1"/>
    </xf>
    <xf numFmtId="0" fontId="16" fillId="3" borderId="10" xfId="0" applyFont="1" applyFill="1" applyBorder="1" applyAlignment="1">
      <alignment horizontal="left" vertical="top" wrapText="1"/>
    </xf>
    <xf numFmtId="0" fontId="16" fillId="3" borderId="14" xfId="0" applyFont="1" applyFill="1" applyBorder="1" applyAlignment="1">
      <alignment horizontal="left" vertical="top" wrapText="1"/>
    </xf>
    <xf numFmtId="0" fontId="16" fillId="3" borderId="15" xfId="0" applyFont="1" applyFill="1" applyBorder="1" applyAlignment="1">
      <alignment horizontal="left" vertical="top" wrapText="1"/>
    </xf>
    <xf numFmtId="0" fontId="24" fillId="0" borderId="2" xfId="0" applyFont="1" applyBorder="1" applyAlignment="1">
      <alignment horizontal="center" vertical="center" wrapText="1"/>
    </xf>
    <xf numFmtId="0" fontId="16" fillId="5" borderId="10" xfId="0" applyFont="1" applyFill="1" applyBorder="1" applyAlignment="1">
      <alignment horizontal="left" vertical="top" wrapText="1"/>
    </xf>
    <xf numFmtId="0" fontId="16" fillId="5" borderId="14" xfId="0" applyFont="1" applyFill="1" applyBorder="1" applyAlignment="1">
      <alignment horizontal="left" vertical="top" wrapText="1"/>
    </xf>
    <xf numFmtId="0" fontId="16" fillId="5" borderId="15" xfId="0" applyFont="1" applyFill="1" applyBorder="1" applyAlignment="1">
      <alignment horizontal="left" vertical="top" wrapText="1"/>
    </xf>
    <xf numFmtId="0" fontId="16" fillId="12" borderId="10" xfId="0" applyFont="1" applyFill="1" applyBorder="1" applyAlignment="1">
      <alignment horizontal="left" vertical="top" wrapText="1"/>
    </xf>
    <xf numFmtId="0" fontId="16" fillId="12" borderId="4" xfId="0" applyFont="1" applyFill="1" applyBorder="1" applyAlignment="1">
      <alignment horizontal="left" vertical="top" wrapText="1"/>
    </xf>
    <xf numFmtId="0" fontId="16" fillId="12" borderId="15" xfId="0" applyFont="1" applyFill="1" applyBorder="1" applyAlignment="1">
      <alignment horizontal="left" vertical="top" wrapText="1"/>
    </xf>
    <xf numFmtId="0" fontId="16" fillId="5" borderId="3" xfId="0" applyFont="1" applyFill="1" applyBorder="1" applyAlignment="1">
      <alignment horizontal="left" vertical="top" wrapText="1"/>
    </xf>
    <xf numFmtId="0" fontId="16" fillId="16" borderId="10" xfId="0" applyFont="1" applyFill="1" applyBorder="1" applyAlignment="1">
      <alignment horizontal="left" vertical="top" wrapText="1"/>
    </xf>
    <xf numFmtId="0" fontId="16" fillId="16" borderId="14" xfId="0" applyFont="1" applyFill="1" applyBorder="1" applyAlignment="1">
      <alignment horizontal="left" vertical="top" wrapText="1"/>
    </xf>
    <xf numFmtId="0" fontId="16" fillId="16" borderId="15" xfId="0" applyFont="1" applyFill="1" applyBorder="1" applyAlignment="1">
      <alignment horizontal="left" vertical="top" wrapText="1"/>
    </xf>
    <xf numFmtId="0" fontId="16" fillId="15" borderId="10" xfId="0" applyFont="1" applyFill="1" applyBorder="1" applyAlignment="1">
      <alignment horizontal="left" vertical="top" wrapText="1"/>
    </xf>
    <xf numFmtId="0" fontId="16" fillId="15" borderId="14" xfId="0" applyFont="1" applyFill="1" applyBorder="1" applyAlignment="1">
      <alignment horizontal="left" vertical="top" wrapText="1"/>
    </xf>
    <xf numFmtId="0" fontId="16" fillId="15" borderId="15" xfId="0" applyFont="1" applyFill="1" applyBorder="1" applyAlignment="1">
      <alignment horizontal="left" vertical="top" wrapText="1"/>
    </xf>
    <xf numFmtId="0" fontId="16" fillId="11" borderId="10" xfId="0" applyFont="1" applyFill="1" applyBorder="1" applyAlignment="1">
      <alignment horizontal="left" vertical="top" wrapText="1"/>
    </xf>
    <xf numFmtId="0" fontId="16" fillId="11" borderId="14" xfId="0" applyFont="1" applyFill="1" applyBorder="1" applyAlignment="1">
      <alignment horizontal="left" vertical="top" wrapText="1"/>
    </xf>
    <xf numFmtId="0" fontId="16" fillId="11" borderId="15" xfId="0" applyFont="1" applyFill="1" applyBorder="1" applyAlignment="1">
      <alignment horizontal="left" vertical="top"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15" borderId="10" xfId="0" applyFont="1" applyFill="1" applyBorder="1" applyAlignment="1">
      <alignment horizontal="center" vertical="top" wrapText="1"/>
    </xf>
    <xf numFmtId="0" fontId="16" fillId="15" borderId="14" xfId="0" applyFont="1" applyFill="1" applyBorder="1" applyAlignment="1">
      <alignment horizontal="center" vertical="top" wrapText="1"/>
    </xf>
    <xf numFmtId="0" fontId="16" fillId="15" borderId="15" xfId="0" applyFont="1" applyFill="1" applyBorder="1" applyAlignment="1">
      <alignment horizontal="center" vertical="top" wrapText="1"/>
    </xf>
    <xf numFmtId="3" fontId="16" fillId="0" borderId="6" xfId="0" applyNumberFormat="1" applyFont="1" applyBorder="1" applyAlignment="1">
      <alignment horizontal="center" vertical="top" wrapText="1"/>
    </xf>
    <xf numFmtId="3" fontId="16" fillId="0" borderId="13" xfId="0" applyNumberFormat="1" applyFont="1" applyBorder="1" applyAlignment="1">
      <alignment horizontal="center" vertical="top" wrapText="1"/>
    </xf>
    <xf numFmtId="3" fontId="16" fillId="0" borderId="2" xfId="0" applyNumberFormat="1" applyFont="1" applyBorder="1" applyAlignment="1">
      <alignment horizontal="center" vertical="top" wrapText="1"/>
    </xf>
    <xf numFmtId="3" fontId="16" fillId="0" borderId="6"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1" fontId="16" fillId="0" borderId="6" xfId="0" applyNumberFormat="1" applyFont="1" applyFill="1" applyBorder="1" applyAlignment="1">
      <alignment horizontal="center" vertical="center"/>
    </xf>
    <xf numFmtId="1" fontId="16" fillId="0" borderId="13"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 fontId="16" fillId="0" borderId="10" xfId="0" applyNumberFormat="1" applyFont="1" applyFill="1" applyBorder="1" applyAlignment="1">
      <alignment horizontal="center" vertical="center"/>
    </xf>
    <xf numFmtId="0" fontId="16" fillId="11" borderId="10" xfId="0" applyFont="1" applyFill="1" applyBorder="1" applyAlignment="1">
      <alignment horizontal="center" vertical="top" wrapText="1"/>
    </xf>
    <xf numFmtId="0" fontId="16" fillId="11" borderId="14" xfId="0" applyFont="1" applyFill="1" applyBorder="1" applyAlignment="1">
      <alignment horizontal="center" vertical="top" wrapText="1"/>
    </xf>
    <xf numFmtId="0" fontId="16" fillId="11" borderId="15" xfId="0" applyFont="1" applyFill="1" applyBorder="1" applyAlignment="1">
      <alignment horizontal="center" vertical="top" wrapText="1"/>
    </xf>
    <xf numFmtId="0" fontId="16" fillId="12" borderId="10" xfId="0" applyFont="1" applyFill="1" applyBorder="1" applyAlignment="1">
      <alignment horizontal="center" vertical="top" wrapText="1"/>
    </xf>
    <xf numFmtId="0" fontId="16" fillId="12" borderId="14" xfId="0" applyFont="1" applyFill="1" applyBorder="1" applyAlignment="1">
      <alignment horizontal="center" vertical="top" wrapText="1"/>
    </xf>
    <xf numFmtId="0" fontId="16" fillId="12" borderId="15" xfId="0" applyFont="1" applyFill="1" applyBorder="1" applyAlignment="1">
      <alignment horizontal="center" vertical="top" wrapText="1"/>
    </xf>
    <xf numFmtId="0" fontId="16" fillId="13" borderId="10" xfId="0" applyFont="1" applyFill="1" applyBorder="1" applyAlignment="1">
      <alignment horizontal="center" vertical="top" wrapText="1"/>
    </xf>
    <xf numFmtId="0" fontId="16" fillId="13" borderId="14" xfId="0" applyFont="1" applyFill="1" applyBorder="1" applyAlignment="1">
      <alignment horizontal="center" vertical="top" wrapText="1"/>
    </xf>
    <xf numFmtId="0" fontId="16" fillId="13" borderId="15" xfId="0" applyFont="1" applyFill="1" applyBorder="1" applyAlignment="1">
      <alignment horizontal="center"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2" xfId="0" applyFont="1" applyBorder="1" applyAlignment="1">
      <alignment horizontal="center" vertical="center" wrapText="1"/>
    </xf>
    <xf numFmtId="3" fontId="36" fillId="0" borderId="0" xfId="0" applyNumberFormat="1" applyFont="1" applyFill="1" applyBorder="1" applyAlignment="1">
      <alignment horizontal="center" vertical="center" wrapText="1"/>
    </xf>
    <xf numFmtId="0" fontId="24" fillId="18" borderId="10" xfId="0" applyFont="1" applyFill="1" applyBorder="1" applyAlignment="1">
      <alignment horizontal="center" vertical="top" wrapText="1"/>
    </xf>
    <xf numFmtId="0" fontId="24" fillId="18" borderId="14" xfId="0" applyFont="1" applyFill="1" applyBorder="1" applyAlignment="1">
      <alignment horizontal="center" vertical="top" wrapText="1"/>
    </xf>
    <xf numFmtId="0" fontId="24" fillId="18" borderId="15" xfId="0" applyFont="1" applyFill="1" applyBorder="1" applyAlignment="1">
      <alignment horizontal="center" vertical="top" wrapText="1"/>
    </xf>
    <xf numFmtId="0" fontId="16" fillId="3" borderId="10" xfId="0" applyFont="1" applyFill="1" applyBorder="1" applyAlignment="1">
      <alignment horizontal="center" vertical="top" wrapText="1"/>
    </xf>
    <xf numFmtId="0" fontId="16" fillId="3" borderId="14" xfId="0" applyFont="1" applyFill="1" applyBorder="1" applyAlignment="1">
      <alignment horizontal="center" vertical="top" wrapText="1"/>
    </xf>
    <xf numFmtId="0" fontId="16" fillId="3" borderId="15" xfId="0" applyFont="1" applyFill="1" applyBorder="1" applyAlignment="1">
      <alignment horizontal="center" vertical="top" wrapText="1"/>
    </xf>
    <xf numFmtId="0" fontId="16" fillId="16" borderId="10"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16" fillId="16" borderId="15" xfId="0" applyFont="1" applyFill="1" applyBorder="1" applyAlignment="1">
      <alignment horizontal="center" vertical="top" wrapText="1"/>
    </xf>
    <xf numFmtId="49" fontId="16" fillId="0" borderId="6"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24" fillId="6" borderId="2" xfId="0" applyFont="1" applyFill="1" applyBorder="1" applyAlignment="1">
      <alignment horizontal="left" vertical="top" wrapText="1"/>
    </xf>
    <xf numFmtId="0" fontId="16" fillId="13" borderId="10" xfId="0" applyFont="1" applyFill="1" applyBorder="1" applyAlignment="1">
      <alignment horizontal="left" vertical="top" wrapText="1"/>
    </xf>
    <xf numFmtId="0" fontId="16" fillId="13" borderId="14" xfId="0" applyFont="1" applyFill="1" applyBorder="1" applyAlignment="1">
      <alignment horizontal="left" vertical="top" wrapText="1"/>
    </xf>
    <xf numFmtId="0" fontId="16" fillId="13" borderId="15" xfId="0" applyFont="1" applyFill="1" applyBorder="1" applyAlignment="1">
      <alignment horizontal="left" vertical="top" wrapText="1"/>
    </xf>
    <xf numFmtId="0" fontId="18" fillId="0" borderId="10" xfId="0"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0" fontId="27" fillId="0" borderId="0" xfId="0" applyFont="1" applyAlignment="1">
      <alignment horizontal="center" vertical="center" wrapText="1"/>
    </xf>
    <xf numFmtId="0" fontId="17" fillId="0" borderId="0" xfId="0" applyFont="1" applyFill="1" applyAlignment="1">
      <alignment horizontal="center" vertical="center" wrapText="1"/>
    </xf>
    <xf numFmtId="0" fontId="18" fillId="0" borderId="0" xfId="0" applyFont="1" applyAlignment="1">
      <alignment horizontal="left"/>
    </xf>
    <xf numFmtId="0" fontId="29" fillId="0" borderId="1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7" fillId="0" borderId="0" xfId="0" applyFont="1" applyFill="1" applyAlignment="1">
      <alignment horizontal="center" wrapText="1"/>
    </xf>
    <xf numFmtId="0" fontId="27" fillId="0" borderId="0" xfId="0" applyFont="1" applyAlignment="1">
      <alignment horizontal="center" wrapText="1"/>
    </xf>
    <xf numFmtId="0" fontId="18" fillId="0" borderId="0" xfId="0" applyFont="1" applyFill="1" applyAlignment="1">
      <alignment horizontal="center"/>
    </xf>
    <xf numFmtId="0" fontId="18" fillId="0" borderId="0" xfId="0" applyFont="1" applyFill="1" applyAlignment="1">
      <alignment horizontal="left"/>
    </xf>
    <xf numFmtId="0" fontId="19" fillId="2" borderId="2" xfId="3" applyFont="1" applyFill="1" applyBorder="1" applyAlignment="1">
      <alignment horizontal="center" vertical="center" wrapText="1"/>
    </xf>
    <xf numFmtId="0" fontId="20" fillId="2" borderId="2" xfId="3" applyFont="1" applyFill="1" applyBorder="1" applyAlignment="1">
      <alignment horizontal="center" vertical="center" wrapText="1"/>
    </xf>
    <xf numFmtId="0" fontId="19" fillId="2" borderId="2" xfId="3" applyFont="1" applyFill="1" applyBorder="1" applyAlignment="1">
      <alignment horizontal="center" vertical="center"/>
    </xf>
    <xf numFmtId="2" fontId="19" fillId="2" borderId="2" xfId="3" applyNumberFormat="1" applyFont="1" applyFill="1" applyBorder="1" applyAlignment="1">
      <alignment horizontal="center" vertical="center" wrapText="1"/>
    </xf>
    <xf numFmtId="0" fontId="19" fillId="0" borderId="2" xfId="3" applyFont="1" applyFill="1" applyBorder="1" applyAlignment="1">
      <alignment horizontal="center" vertical="center" wrapText="1"/>
    </xf>
    <xf numFmtId="0" fontId="19" fillId="0" borderId="6" xfId="3" applyFont="1" applyFill="1" applyBorder="1" applyAlignment="1">
      <alignment horizontal="center" vertical="center" wrapText="1"/>
    </xf>
    <xf numFmtId="0" fontId="19" fillId="0" borderId="13" xfId="3" applyFont="1" applyFill="1" applyBorder="1" applyAlignment="1">
      <alignment horizontal="center" vertical="center" wrapText="1"/>
    </xf>
    <xf numFmtId="0" fontId="19" fillId="2" borderId="6" xfId="3" applyFont="1" applyFill="1" applyBorder="1" applyAlignment="1">
      <alignment horizontal="center" vertical="center" wrapText="1"/>
    </xf>
    <xf numFmtId="0" fontId="19" fillId="2" borderId="13" xfId="3" applyFont="1" applyFill="1" applyBorder="1" applyAlignment="1">
      <alignment horizontal="center" vertical="center" wrapText="1"/>
    </xf>
    <xf numFmtId="0" fontId="27" fillId="0" borderId="0" xfId="0" applyFont="1" applyAlignment="1">
      <alignment horizontal="left" vertical="center"/>
    </xf>
    <xf numFmtId="0" fontId="25" fillId="0" borderId="0" xfId="0" applyFont="1" applyAlignment="1">
      <alignment horizontal="left"/>
    </xf>
    <xf numFmtId="0" fontId="8" fillId="2" borderId="2" xfId="3" applyFont="1" applyFill="1" applyBorder="1" applyAlignment="1">
      <alignment horizontal="center" vertical="center"/>
    </xf>
    <xf numFmtId="0" fontId="8" fillId="2" borderId="2" xfId="3" applyFont="1" applyFill="1" applyBorder="1" applyAlignment="1">
      <alignment horizontal="center" vertical="center" wrapText="1"/>
    </xf>
    <xf numFmtId="2" fontId="8" fillId="2" borderId="2" xfId="3"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9" fillId="9" borderId="26" xfId="0" applyFont="1" applyFill="1" applyBorder="1" applyAlignment="1">
      <alignment vertical="center" wrapText="1"/>
    </xf>
    <xf numFmtId="0" fontId="19" fillId="9" borderId="27" xfId="0" applyFont="1" applyFill="1" applyBorder="1" applyAlignment="1">
      <alignment vertical="center" wrapText="1"/>
    </xf>
    <xf numFmtId="2" fontId="19" fillId="2" borderId="10" xfId="3" applyNumberFormat="1" applyFont="1" applyFill="1" applyBorder="1" applyAlignment="1">
      <alignment horizontal="center" vertical="center" wrapText="1"/>
    </xf>
    <xf numFmtId="2" fontId="19" fillId="2" borderId="15" xfId="3" applyNumberFormat="1" applyFont="1" applyFill="1" applyBorder="1" applyAlignment="1">
      <alignment horizontal="center" vertical="center" wrapText="1"/>
    </xf>
    <xf numFmtId="0" fontId="19" fillId="9" borderId="21" xfId="0" applyFont="1" applyFill="1" applyBorder="1" applyAlignment="1">
      <alignment vertical="center" wrapText="1"/>
    </xf>
    <xf numFmtId="0" fontId="19" fillId="9" borderId="24" xfId="0" applyFont="1" applyFill="1" applyBorder="1" applyAlignment="1">
      <alignment vertical="center" wrapText="1"/>
    </xf>
    <xf numFmtId="0" fontId="19" fillId="9" borderId="22" xfId="0" applyFont="1" applyFill="1" applyBorder="1" applyAlignment="1">
      <alignment vertical="center" wrapText="1"/>
    </xf>
    <xf numFmtId="0" fontId="19" fillId="9" borderId="23" xfId="0" applyFont="1" applyFill="1" applyBorder="1" applyAlignment="1">
      <alignment vertical="center" wrapText="1"/>
    </xf>
    <xf numFmtId="0" fontId="19" fillId="2" borderId="6" xfId="3" applyFont="1" applyFill="1" applyBorder="1" applyAlignment="1">
      <alignment horizontal="center" vertical="center"/>
    </xf>
    <xf numFmtId="0" fontId="19" fillId="2" borderId="13" xfId="3" applyFont="1" applyFill="1" applyBorder="1" applyAlignment="1">
      <alignment horizontal="center" vertical="center"/>
    </xf>
    <xf numFmtId="0" fontId="19" fillId="2" borderId="10" xfId="3" applyFont="1" applyFill="1" applyBorder="1" applyAlignment="1">
      <alignment horizontal="center" vertical="center"/>
    </xf>
    <xf numFmtId="0" fontId="19" fillId="2" borderId="15" xfId="3" applyFont="1" applyFill="1" applyBorder="1" applyAlignment="1">
      <alignment horizontal="center" vertical="center"/>
    </xf>
    <xf numFmtId="165" fontId="19" fillId="9" borderId="21" xfId="5" applyNumberFormat="1" applyFont="1" applyFill="1" applyBorder="1" applyAlignment="1">
      <alignment horizontal="right" vertical="center" wrapText="1"/>
    </xf>
    <xf numFmtId="165" fontId="19" fillId="9" borderId="24" xfId="5" applyNumberFormat="1" applyFont="1" applyFill="1" applyBorder="1" applyAlignment="1">
      <alignment horizontal="right" vertical="center" wrapText="1"/>
    </xf>
    <xf numFmtId="0" fontId="19" fillId="9" borderId="16" xfId="0" applyFont="1" applyFill="1" applyBorder="1" applyAlignment="1">
      <alignment vertical="center" wrapText="1"/>
    </xf>
    <xf numFmtId="0" fontId="19" fillId="9" borderId="17" xfId="0" applyFont="1" applyFill="1" applyBorder="1" applyAlignment="1">
      <alignment vertical="center" wrapText="1"/>
    </xf>
    <xf numFmtId="0" fontId="19" fillId="9" borderId="18"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19" fillId="9" borderId="18" xfId="0" applyFont="1" applyFill="1" applyBorder="1" applyAlignment="1">
      <alignment vertical="center" wrapText="1"/>
    </xf>
    <xf numFmtId="0" fontId="19" fillId="9" borderId="19" xfId="0" applyFont="1" applyFill="1" applyBorder="1" applyAlignment="1">
      <alignment vertical="center" wrapText="1"/>
    </xf>
    <xf numFmtId="0" fontId="7" fillId="0" borderId="28" xfId="6" applyFont="1" applyBorder="1" applyAlignment="1">
      <alignment horizontal="center" vertical="center"/>
    </xf>
    <xf numFmtId="0" fontId="7" fillId="17" borderId="28" xfId="6" applyFont="1" applyFill="1" applyBorder="1" applyAlignment="1">
      <alignment horizontal="center" vertical="center" wrapText="1"/>
    </xf>
    <xf numFmtId="0" fontId="6" fillId="0" borderId="29" xfId="0" applyFont="1" applyBorder="1" applyAlignment="1">
      <alignment horizontal="center" vertical="center" wrapText="1"/>
    </xf>
    <xf numFmtId="0" fontId="25" fillId="0" borderId="0" xfId="0" applyFont="1" applyAlignment="1">
      <alignment horizontal="center" vertical="center" wrapText="1"/>
    </xf>
    <xf numFmtId="0" fontId="29" fillId="0" borderId="10" xfId="0" applyFont="1" applyBorder="1" applyAlignment="1">
      <alignment horizontal="center" vertical="center" wrapText="1"/>
    </xf>
    <xf numFmtId="0" fontId="29" fillId="0" borderId="15" xfId="0"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8" fillId="0" borderId="4" xfId="0" applyFont="1" applyFill="1" applyBorder="1" applyAlignment="1">
      <alignment horizontal="left" vertical="center" wrapText="1"/>
    </xf>
    <xf numFmtId="0" fontId="6"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6" fillId="0" borderId="2" xfId="0" applyFont="1" applyFill="1" applyBorder="1" applyAlignment="1">
      <alignment horizontal="right" vertical="center"/>
    </xf>
    <xf numFmtId="0" fontId="26" fillId="0" borderId="0" xfId="0" applyFont="1" applyFill="1" applyAlignment="1">
      <alignment horizontal="center" vertical="center" wrapText="1"/>
    </xf>
    <xf numFmtId="0" fontId="19" fillId="0" borderId="2" xfId="3" applyFont="1" applyBorder="1" applyAlignment="1">
      <alignment horizontal="center" vertical="center" wrapText="1"/>
    </xf>
    <xf numFmtId="0" fontId="24" fillId="0" borderId="2" xfId="0" applyFont="1" applyFill="1" applyBorder="1" applyAlignment="1">
      <alignment horizontal="right"/>
    </xf>
    <xf numFmtId="0" fontId="24" fillId="0" borderId="1" xfId="0" applyFont="1" applyFill="1" applyBorder="1" applyAlignment="1">
      <alignment horizontal="center" wrapText="1"/>
    </xf>
    <xf numFmtId="0" fontId="19" fillId="0" borderId="6" xfId="3" applyFont="1" applyBorder="1" applyAlignment="1">
      <alignment horizontal="center" vertical="center" wrapText="1"/>
    </xf>
    <xf numFmtId="0" fontId="19" fillId="0" borderId="13" xfId="3" applyFont="1" applyBorder="1" applyAlignment="1">
      <alignment horizontal="center" vertical="center" wrapText="1"/>
    </xf>
    <xf numFmtId="0" fontId="40" fillId="0" borderId="0" xfId="0" applyFont="1" applyFill="1" applyAlignment="1">
      <alignment horizontal="left"/>
    </xf>
    <xf numFmtId="0" fontId="40" fillId="0" borderId="0" xfId="0" applyFont="1" applyFill="1" applyAlignment="1">
      <alignment horizontal="center"/>
    </xf>
    <xf numFmtId="0" fontId="41" fillId="0" borderId="0" xfId="2"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cellXfs>
  <cellStyles count="10">
    <cellStyle name="Comma" xfId="5" builtinId="3"/>
    <cellStyle name="Comma 2" xfId="7" xr:uid="{00000000-0005-0000-0000-000001000000}"/>
    <cellStyle name="Normal" xfId="0" builtinId="0"/>
    <cellStyle name="Normal 10 2 2" xfId="1" xr:uid="{00000000-0005-0000-0000-000003000000}"/>
    <cellStyle name="Normal 2" xfId="6" xr:uid="{00000000-0005-0000-0000-000004000000}"/>
    <cellStyle name="Normal 2 2 2 2" xfId="3" xr:uid="{00000000-0005-0000-0000-000005000000}"/>
    <cellStyle name="Normal 39 5 2" xfId="2" xr:uid="{00000000-0005-0000-0000-000006000000}"/>
    <cellStyle name="Normal 39 7" xfId="4" xr:uid="{00000000-0005-0000-0000-000007000000}"/>
    <cellStyle name="Normal 4 2" xfId="8" xr:uid="{00000000-0005-0000-0000-000008000000}"/>
    <cellStyle name="Percent" xfId="9" builtinId="5"/>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ilvijaJ/Local%20Settings/Temporary%20Internet%20Files/Content.IE5/F51GHD5U/KristineS/My%20Documents/Bud&#382;ets%202012/Budzeta%20forma%2014_05%2001%202012%20(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Documents%20and%20Settings/Svetlana.Supulniece/Local%20Settings/Temporary%20Internet%20Files/Content.Outlook/J21U5MYL/LIC%20PP%20parrekins%20pec%202012%209m%20DB/LIC%20laboratorija/R0032%20-LIC%20darbs%20laboratorija%20citam%20ar%20palidz%20veidu%20AI%2031102012.xls?80C43452" TargetMode="External"/><Relationship Id="rId1" Type="http://schemas.openxmlformats.org/officeDocument/2006/relationships/externalLinkPath" Target="file:///\\80C43452\R0032%20-LIC%20darbs%20laboratorija%20citam%20ar%20palidz%20veidu%20AI%20311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bulatoro_pakalpojumu_nodala/Planosana_2012/SAVA/!_Grozijumi%202012.gada%20laikaa/Egija_Grozijumi%20ar%2001.10.2012_NEPIENEMTIE/Apaksas%20SAVA%20rikojum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3"/>
  <sheetViews>
    <sheetView zoomScale="70" zoomScaleNormal="70" zoomScaleSheetLayoutView="100" workbookViewId="0">
      <pane ySplit="5" topLeftCell="A47" activePane="bottomLeft" state="frozen"/>
      <selection pane="bottomLeft" activeCell="E59" sqref="E59"/>
    </sheetView>
  </sheetViews>
  <sheetFormatPr defaultColWidth="9.140625" defaultRowHeight="15.75" x14ac:dyDescent="0.25"/>
  <cols>
    <col min="1" max="1" width="16.7109375" style="285" customWidth="1"/>
    <col min="2" max="2" width="34.42578125" style="285" customWidth="1"/>
    <col min="3" max="3" width="24.28515625" style="285" customWidth="1"/>
    <col min="4" max="4" width="34.7109375" style="285" customWidth="1"/>
    <col min="5" max="5" width="29.5703125" style="285" customWidth="1"/>
    <col min="6" max="6" width="12" style="285" customWidth="1"/>
    <col min="7" max="7" width="11.7109375" style="285" customWidth="1"/>
    <col min="8" max="8" width="11.7109375" style="286" customWidth="1"/>
    <col min="9" max="9" width="9.42578125" style="285" bestFit="1" customWidth="1"/>
    <col min="10" max="10" width="13" style="286" customWidth="1"/>
    <col min="11" max="11" width="11.28515625" style="285" bestFit="1" customWidth="1"/>
    <col min="12" max="12" width="12.5703125" style="285" customWidth="1"/>
    <col min="13" max="13" width="11" style="285" customWidth="1"/>
    <col min="14" max="14" width="11.140625" style="285" customWidth="1"/>
    <col min="15" max="15" width="12.42578125" style="285" customWidth="1"/>
    <col min="16" max="16384" width="9.140625" style="285"/>
  </cols>
  <sheetData>
    <row r="1" spans="1:14" ht="18.75" x14ac:dyDescent="0.25">
      <c r="A1" s="518" t="s">
        <v>243</v>
      </c>
      <c r="B1" s="518"/>
      <c r="C1" s="518"/>
      <c r="D1" s="518"/>
      <c r="E1" s="518"/>
      <c r="F1" s="518"/>
      <c r="G1" s="518"/>
      <c r="H1" s="518"/>
      <c r="I1" s="518"/>
      <c r="J1" s="518"/>
      <c r="K1" s="518"/>
      <c r="L1" s="518"/>
      <c r="M1" s="518"/>
      <c r="N1" s="518"/>
    </row>
    <row r="2" spans="1:14" x14ac:dyDescent="0.25">
      <c r="A2" s="396"/>
      <c r="B2" s="396"/>
      <c r="C2" s="396"/>
      <c r="D2" s="396"/>
      <c r="E2" s="396"/>
      <c r="F2" s="396"/>
      <c r="G2" s="396"/>
      <c r="H2" s="397"/>
      <c r="I2" s="398"/>
      <c r="J2" s="399"/>
      <c r="K2" s="398"/>
      <c r="L2" s="398"/>
      <c r="M2" s="398"/>
      <c r="N2" s="400"/>
    </row>
    <row r="3" spans="1:14" ht="46.5" customHeight="1" x14ac:dyDescent="0.25">
      <c r="A3" s="466" t="s">
        <v>57</v>
      </c>
      <c r="B3" s="509" t="s">
        <v>58</v>
      </c>
      <c r="C3" s="510"/>
      <c r="D3" s="511"/>
      <c r="E3" s="483" t="s">
        <v>59</v>
      </c>
      <c r="F3" s="486" t="s">
        <v>60</v>
      </c>
      <c r="G3" s="486"/>
      <c r="H3" s="487"/>
      <c r="I3" s="493" t="s">
        <v>61</v>
      </c>
      <c r="J3" s="493"/>
      <c r="K3" s="493"/>
      <c r="L3" s="491"/>
      <c r="M3" s="491"/>
      <c r="N3" s="528" t="s">
        <v>62</v>
      </c>
    </row>
    <row r="4" spans="1:14" x14ac:dyDescent="0.25">
      <c r="A4" s="466"/>
      <c r="B4" s="512"/>
      <c r="C4" s="513"/>
      <c r="D4" s="514"/>
      <c r="E4" s="484"/>
      <c r="F4" s="498">
        <v>2020</v>
      </c>
      <c r="G4" s="496">
        <v>2021</v>
      </c>
      <c r="H4" s="498">
        <v>2022</v>
      </c>
      <c r="I4" s="498">
        <v>2020</v>
      </c>
      <c r="J4" s="498">
        <v>2021</v>
      </c>
      <c r="K4" s="499">
        <v>2022</v>
      </c>
      <c r="L4" s="491" t="s">
        <v>63</v>
      </c>
      <c r="M4" s="494" t="s">
        <v>64</v>
      </c>
      <c r="N4" s="529"/>
    </row>
    <row r="5" spans="1:14" x14ac:dyDescent="0.25">
      <c r="A5" s="466"/>
      <c r="B5" s="515"/>
      <c r="C5" s="516"/>
      <c r="D5" s="517"/>
      <c r="E5" s="485"/>
      <c r="F5" s="498"/>
      <c r="G5" s="497"/>
      <c r="H5" s="498"/>
      <c r="I5" s="498"/>
      <c r="J5" s="498"/>
      <c r="K5" s="499"/>
      <c r="L5" s="492"/>
      <c r="M5" s="495"/>
      <c r="N5" s="530"/>
    </row>
    <row r="6" spans="1:14" ht="47.25" x14ac:dyDescent="0.25">
      <c r="A6" s="401" t="s">
        <v>65</v>
      </c>
      <c r="B6" s="519"/>
      <c r="C6" s="520"/>
      <c r="D6" s="521"/>
      <c r="E6" s="402"/>
      <c r="F6" s="195">
        <f>F20</f>
        <v>1175866.56</v>
      </c>
      <c r="G6" s="195">
        <f t="shared" ref="G6:N6" si="0">G20</f>
        <v>1270866.56</v>
      </c>
      <c r="H6" s="195">
        <f t="shared" si="0"/>
        <v>1188366.56</v>
      </c>
      <c r="I6" s="195">
        <f t="shared" si="0"/>
        <v>0</v>
      </c>
      <c r="J6" s="195">
        <f t="shared" si="0"/>
        <v>3070464</v>
      </c>
      <c r="K6" s="195">
        <f t="shared" si="0"/>
        <v>3313694</v>
      </c>
      <c r="L6" s="195">
        <f t="shared" si="0"/>
        <v>0</v>
      </c>
      <c r="M6" s="195">
        <f t="shared" si="0"/>
        <v>3460032</v>
      </c>
      <c r="N6" s="195">
        <f t="shared" si="0"/>
        <v>0</v>
      </c>
    </row>
    <row r="7" spans="1:14" x14ac:dyDescent="0.25">
      <c r="A7" s="163" t="s">
        <v>66</v>
      </c>
      <c r="B7" s="457"/>
      <c r="C7" s="458"/>
      <c r="D7" s="459"/>
      <c r="E7" s="163"/>
      <c r="F7" s="403"/>
      <c r="G7" s="403"/>
      <c r="H7" s="404"/>
      <c r="I7" s="405"/>
      <c r="J7" s="406"/>
      <c r="K7" s="405"/>
      <c r="L7" s="405"/>
      <c r="M7" s="405"/>
      <c r="N7" s="18"/>
    </row>
    <row r="8" spans="1:14" ht="31.5" hidden="1" x14ac:dyDescent="0.25">
      <c r="A8" s="407" t="s">
        <v>171</v>
      </c>
      <c r="B8" s="503"/>
      <c r="C8" s="504"/>
      <c r="D8" s="505"/>
      <c r="E8" s="192"/>
      <c r="F8" s="408"/>
      <c r="G8" s="408"/>
      <c r="H8" s="408"/>
      <c r="I8" s="409"/>
      <c r="J8" s="409"/>
      <c r="K8" s="409"/>
      <c r="L8" s="409"/>
      <c r="M8" s="409"/>
      <c r="N8" s="410"/>
    </row>
    <row r="9" spans="1:14" hidden="1" x14ac:dyDescent="0.25">
      <c r="A9" s="163"/>
      <c r="B9" s="457"/>
      <c r="C9" s="458"/>
      <c r="D9" s="459"/>
      <c r="E9" s="163"/>
      <c r="F9" s="403"/>
      <c r="G9" s="403"/>
      <c r="H9" s="404"/>
      <c r="I9" s="405"/>
      <c r="J9" s="406"/>
      <c r="K9" s="405"/>
      <c r="L9" s="405"/>
      <c r="M9" s="405"/>
      <c r="N9" s="18"/>
    </row>
    <row r="10" spans="1:14" ht="31.5" hidden="1" x14ac:dyDescent="0.25">
      <c r="A10" s="411" t="s">
        <v>170</v>
      </c>
      <c r="B10" s="522"/>
      <c r="C10" s="523"/>
      <c r="D10" s="524"/>
      <c r="E10" s="188"/>
      <c r="F10" s="412"/>
      <c r="G10" s="412"/>
      <c r="H10" s="412"/>
      <c r="I10" s="413"/>
      <c r="J10" s="413"/>
      <c r="K10" s="413"/>
      <c r="L10" s="413"/>
      <c r="M10" s="413"/>
      <c r="N10" s="414"/>
    </row>
    <row r="11" spans="1:14" hidden="1" x14ac:dyDescent="0.25">
      <c r="A11" s="163"/>
      <c r="B11" s="457"/>
      <c r="C11" s="458"/>
      <c r="D11" s="459"/>
      <c r="E11" s="163"/>
      <c r="F11" s="403"/>
      <c r="G11" s="403"/>
      <c r="H11" s="404"/>
      <c r="I11" s="405"/>
      <c r="J11" s="406"/>
      <c r="K11" s="405"/>
      <c r="L11" s="405"/>
      <c r="M11" s="405"/>
      <c r="N11" s="18"/>
    </row>
    <row r="12" spans="1:14" ht="31.5" hidden="1" x14ac:dyDescent="0.25">
      <c r="A12" s="415" t="s">
        <v>232</v>
      </c>
      <c r="B12" s="525"/>
      <c r="C12" s="526"/>
      <c r="D12" s="527"/>
      <c r="E12" s="191"/>
      <c r="F12" s="416"/>
      <c r="G12" s="416"/>
      <c r="H12" s="416"/>
      <c r="I12" s="417"/>
      <c r="J12" s="417"/>
      <c r="K12" s="417"/>
      <c r="L12" s="417"/>
      <c r="M12" s="417"/>
      <c r="N12" s="418"/>
    </row>
    <row r="13" spans="1:14" hidden="1" x14ac:dyDescent="0.25">
      <c r="A13" s="163"/>
      <c r="B13" s="419"/>
      <c r="C13" s="420"/>
      <c r="D13" s="421"/>
      <c r="E13" s="163"/>
      <c r="F13" s="403"/>
      <c r="G13" s="403"/>
      <c r="H13" s="404"/>
      <c r="I13" s="405"/>
      <c r="J13" s="406"/>
      <c r="K13" s="405"/>
      <c r="L13" s="405"/>
      <c r="M13" s="405"/>
      <c r="N13" s="18"/>
    </row>
    <row r="14" spans="1:14" ht="31.5" hidden="1" x14ac:dyDescent="0.25">
      <c r="A14" s="422" t="s">
        <v>169</v>
      </c>
      <c r="B14" s="500"/>
      <c r="C14" s="501"/>
      <c r="D14" s="502"/>
      <c r="E14" s="423"/>
      <c r="F14" s="424"/>
      <c r="G14" s="424"/>
      <c r="H14" s="424"/>
      <c r="I14" s="425"/>
      <c r="J14" s="425"/>
      <c r="K14" s="425"/>
      <c r="L14" s="425"/>
      <c r="M14" s="425"/>
      <c r="N14" s="426"/>
    </row>
    <row r="15" spans="1:14" hidden="1" x14ac:dyDescent="0.25">
      <c r="A15" s="163"/>
      <c r="B15" s="457"/>
      <c r="C15" s="458"/>
      <c r="D15" s="459"/>
      <c r="E15" s="163"/>
      <c r="F15" s="403"/>
      <c r="G15" s="403"/>
      <c r="H15" s="404"/>
      <c r="I15" s="405"/>
      <c r="J15" s="406"/>
      <c r="K15" s="405"/>
      <c r="L15" s="405"/>
      <c r="M15" s="405"/>
      <c r="N15" s="18"/>
    </row>
    <row r="16" spans="1:14" ht="31.5" hidden="1" x14ac:dyDescent="0.25">
      <c r="A16" s="427" t="s">
        <v>172</v>
      </c>
      <c r="B16" s="506"/>
      <c r="C16" s="507"/>
      <c r="D16" s="508"/>
      <c r="E16" s="194"/>
      <c r="F16" s="428"/>
      <c r="G16" s="428"/>
      <c r="H16" s="428"/>
      <c r="I16" s="429"/>
      <c r="J16" s="429"/>
      <c r="K16" s="429"/>
      <c r="L16" s="429"/>
      <c r="M16" s="429"/>
      <c r="N16" s="430"/>
    </row>
    <row r="17" spans="1:15" hidden="1" x14ac:dyDescent="0.25">
      <c r="A17" s="163"/>
      <c r="B17" s="457"/>
      <c r="C17" s="458"/>
      <c r="D17" s="459"/>
      <c r="E17" s="163"/>
      <c r="F17" s="403"/>
      <c r="G17" s="403"/>
      <c r="H17" s="404"/>
      <c r="I17" s="405"/>
      <c r="J17" s="406"/>
      <c r="K17" s="405"/>
      <c r="L17" s="405"/>
      <c r="M17" s="405"/>
      <c r="N17" s="18"/>
    </row>
    <row r="18" spans="1:15" ht="78.75" hidden="1" x14ac:dyDescent="0.25">
      <c r="A18" s="431" t="s">
        <v>231</v>
      </c>
      <c r="B18" s="488"/>
      <c r="C18" s="489"/>
      <c r="D18" s="490"/>
      <c r="E18" s="193"/>
      <c r="F18" s="432"/>
      <c r="G18" s="432"/>
      <c r="H18" s="432"/>
      <c r="I18" s="433"/>
      <c r="J18" s="433"/>
      <c r="K18" s="433"/>
      <c r="L18" s="433"/>
      <c r="M18" s="433"/>
      <c r="N18" s="434"/>
    </row>
    <row r="19" spans="1:15" hidden="1" x14ac:dyDescent="0.25">
      <c r="A19" s="163"/>
      <c r="B19" s="419"/>
      <c r="C19" s="420"/>
      <c r="D19" s="421"/>
      <c r="E19" s="163"/>
      <c r="F19" s="403"/>
      <c r="G19" s="403"/>
      <c r="H19" s="404"/>
      <c r="I19" s="405"/>
      <c r="J19" s="406"/>
      <c r="K19" s="405"/>
      <c r="L19" s="405"/>
      <c r="M19" s="405"/>
      <c r="N19" s="18"/>
    </row>
    <row r="20" spans="1:15" ht="31.5" x14ac:dyDescent="0.25">
      <c r="A20" s="435" t="s">
        <v>67</v>
      </c>
      <c r="B20" s="452"/>
      <c r="C20" s="453"/>
      <c r="D20" s="454"/>
      <c r="E20" s="175"/>
      <c r="F20" s="272">
        <f t="shared" ref="F20:N20" si="1">F24+F106+F109+F113+F116+F119+F122+F125+F128+F139</f>
        <v>1175866.56</v>
      </c>
      <c r="G20" s="272">
        <f t="shared" si="1"/>
        <v>1270866.56</v>
      </c>
      <c r="H20" s="272">
        <f t="shared" si="1"/>
        <v>1188366.56</v>
      </c>
      <c r="I20" s="272">
        <f t="shared" si="1"/>
        <v>0</v>
      </c>
      <c r="J20" s="272">
        <f t="shared" si="1"/>
        <v>3070464</v>
      </c>
      <c r="K20" s="272">
        <f t="shared" si="1"/>
        <v>3313694</v>
      </c>
      <c r="L20" s="272">
        <f t="shared" si="1"/>
        <v>0</v>
      </c>
      <c r="M20" s="272">
        <f t="shared" si="1"/>
        <v>3460032</v>
      </c>
      <c r="N20" s="272">
        <f t="shared" si="1"/>
        <v>0</v>
      </c>
    </row>
    <row r="21" spans="1:15" x14ac:dyDescent="0.25">
      <c r="A21" s="163"/>
      <c r="B21" s="457"/>
      <c r="C21" s="458"/>
      <c r="D21" s="459"/>
      <c r="E21" s="163"/>
      <c r="F21" s="403"/>
      <c r="G21" s="403"/>
      <c r="H21" s="404"/>
      <c r="I21" s="405"/>
      <c r="J21" s="406"/>
      <c r="K21" s="405"/>
      <c r="L21" s="405"/>
      <c r="M21" s="405"/>
      <c r="N21" s="18"/>
    </row>
    <row r="22" spans="1:15" x14ac:dyDescent="0.25">
      <c r="A22" s="460" t="s">
        <v>68</v>
      </c>
      <c r="B22" s="461"/>
      <c r="C22" s="461"/>
      <c r="D22" s="462"/>
      <c r="E22" s="266"/>
      <c r="F22" s="436">
        <f>F24</f>
        <v>50000</v>
      </c>
      <c r="G22" s="436">
        <f t="shared" ref="G22:N22" si="2">G24</f>
        <v>50000</v>
      </c>
      <c r="H22" s="436">
        <f t="shared" si="2"/>
        <v>50000</v>
      </c>
      <c r="I22" s="436">
        <f t="shared" si="2"/>
        <v>0</v>
      </c>
      <c r="J22" s="436">
        <f t="shared" si="2"/>
        <v>0</v>
      </c>
      <c r="K22" s="436">
        <f t="shared" si="2"/>
        <v>0</v>
      </c>
      <c r="L22" s="436">
        <f t="shared" si="2"/>
        <v>0</v>
      </c>
      <c r="M22" s="436">
        <f t="shared" si="2"/>
        <v>0</v>
      </c>
      <c r="N22" s="436">
        <f t="shared" si="2"/>
        <v>0</v>
      </c>
    </row>
    <row r="23" spans="1:15" ht="127.5" customHeight="1" x14ac:dyDescent="0.25">
      <c r="A23" s="169"/>
      <c r="B23" s="170" t="s">
        <v>69</v>
      </c>
      <c r="C23" s="163" t="s">
        <v>205</v>
      </c>
      <c r="D23" s="171" t="s">
        <v>135</v>
      </c>
      <c r="E23" s="172"/>
      <c r="F23" s="104">
        <f>F24</f>
        <v>50000</v>
      </c>
      <c r="G23" s="104">
        <f>G24</f>
        <v>50000</v>
      </c>
      <c r="H23" s="271">
        <f>H24</f>
        <v>50000</v>
      </c>
      <c r="I23" s="437"/>
      <c r="J23" s="438"/>
      <c r="K23" s="437"/>
      <c r="L23" s="437"/>
      <c r="M23" s="437"/>
      <c r="N23" s="18" t="s">
        <v>70</v>
      </c>
    </row>
    <row r="24" spans="1:15" x14ac:dyDescent="0.25">
      <c r="A24" s="173"/>
      <c r="B24" s="467" t="s">
        <v>67</v>
      </c>
      <c r="C24" s="468"/>
      <c r="D24" s="469"/>
      <c r="E24" s="173"/>
      <c r="F24" s="89">
        <f>SUM(F25:F25)</f>
        <v>50000</v>
      </c>
      <c r="G24" s="89">
        <f>SUM(G25:G25)</f>
        <v>50000</v>
      </c>
      <c r="H24" s="89">
        <f>SUM(H25:H25)</f>
        <v>50000</v>
      </c>
      <c r="I24" s="89">
        <f t="shared" ref="I24:N24" si="3">SUM(I25:I25)</f>
        <v>0</v>
      </c>
      <c r="J24" s="89">
        <f t="shared" si="3"/>
        <v>0</v>
      </c>
      <c r="K24" s="89">
        <f t="shared" si="3"/>
        <v>0</v>
      </c>
      <c r="L24" s="89">
        <f t="shared" si="3"/>
        <v>0</v>
      </c>
      <c r="M24" s="89">
        <f t="shared" si="3"/>
        <v>0</v>
      </c>
      <c r="N24" s="89">
        <f t="shared" si="3"/>
        <v>0</v>
      </c>
    </row>
    <row r="25" spans="1:15" ht="63" x14ac:dyDescent="0.25">
      <c r="A25" s="174"/>
      <c r="B25" s="455"/>
      <c r="C25" s="455"/>
      <c r="D25" s="456"/>
      <c r="E25" s="175" t="s">
        <v>136</v>
      </c>
      <c r="F25" s="272">
        <v>50000</v>
      </c>
      <c r="G25" s="272">
        <v>50000</v>
      </c>
      <c r="H25" s="272">
        <v>50000</v>
      </c>
      <c r="I25" s="272">
        <v>0</v>
      </c>
      <c r="J25" s="272">
        <v>0</v>
      </c>
      <c r="K25" s="272">
        <v>0</v>
      </c>
      <c r="L25" s="272">
        <v>0</v>
      </c>
      <c r="M25" s="272">
        <v>0</v>
      </c>
      <c r="N25" s="439" t="s">
        <v>295</v>
      </c>
      <c r="O25" s="286"/>
    </row>
    <row r="26" spans="1:15" ht="161.25" customHeight="1" x14ac:dyDescent="0.25">
      <c r="A26" s="164"/>
      <c r="B26" s="162" t="s">
        <v>71</v>
      </c>
      <c r="C26" s="163" t="s">
        <v>72</v>
      </c>
      <c r="D26" s="176" t="s">
        <v>137</v>
      </c>
      <c r="E26" s="164"/>
      <c r="F26" s="164"/>
      <c r="G26" s="164"/>
      <c r="H26" s="267"/>
      <c r="I26" s="166"/>
      <c r="J26" s="167"/>
      <c r="K26" s="166"/>
      <c r="L26" s="166"/>
      <c r="M26" s="166"/>
      <c r="N26" s="18"/>
    </row>
    <row r="27" spans="1:15" x14ac:dyDescent="0.25">
      <c r="A27" s="173"/>
      <c r="B27" s="467" t="s">
        <v>67</v>
      </c>
      <c r="C27" s="468"/>
      <c r="D27" s="469"/>
      <c r="E27" s="173"/>
      <c r="F27" s="173"/>
      <c r="G27" s="173"/>
      <c r="H27" s="173"/>
      <c r="I27" s="89"/>
      <c r="J27" s="89"/>
      <c r="K27" s="89"/>
      <c r="L27" s="89"/>
      <c r="M27" s="89"/>
      <c r="N27" s="268"/>
    </row>
    <row r="28" spans="1:15" x14ac:dyDescent="0.25">
      <c r="A28" s="174"/>
      <c r="B28" s="455"/>
      <c r="C28" s="455"/>
      <c r="D28" s="456"/>
      <c r="E28" s="175" t="s">
        <v>294</v>
      </c>
      <c r="F28" s="272"/>
      <c r="G28" s="272"/>
      <c r="H28" s="272"/>
      <c r="I28" s="276"/>
      <c r="J28" s="276"/>
      <c r="K28" s="276"/>
      <c r="L28" s="276"/>
      <c r="M28" s="276"/>
      <c r="N28" s="440"/>
      <c r="O28" s="286"/>
    </row>
    <row r="29" spans="1:15" ht="117.75" customHeight="1" x14ac:dyDescent="0.25">
      <c r="A29" s="164"/>
      <c r="B29" s="162" t="s">
        <v>352</v>
      </c>
      <c r="C29" s="163" t="s">
        <v>73</v>
      </c>
      <c r="D29" s="163" t="s">
        <v>138</v>
      </c>
      <c r="E29" s="164"/>
      <c r="F29" s="339"/>
      <c r="G29" s="339"/>
      <c r="H29" s="441"/>
      <c r="I29" s="437"/>
      <c r="J29" s="438"/>
      <c r="K29" s="437"/>
      <c r="L29" s="437"/>
      <c r="M29" s="437"/>
      <c r="N29" s="18"/>
    </row>
    <row r="30" spans="1:15" x14ac:dyDescent="0.25">
      <c r="A30" s="173"/>
      <c r="B30" s="467" t="s">
        <v>67</v>
      </c>
      <c r="C30" s="468"/>
      <c r="D30" s="469"/>
      <c r="E30" s="173"/>
      <c r="F30" s="442"/>
      <c r="G30" s="442"/>
      <c r="H30" s="442"/>
      <c r="I30" s="278"/>
      <c r="J30" s="278"/>
      <c r="K30" s="278"/>
      <c r="L30" s="278"/>
      <c r="M30" s="278"/>
      <c r="N30" s="268"/>
    </row>
    <row r="31" spans="1:15" x14ac:dyDescent="0.25">
      <c r="A31" s="174"/>
      <c r="B31" s="455"/>
      <c r="C31" s="455"/>
      <c r="D31" s="456"/>
      <c r="E31" s="175" t="s">
        <v>294</v>
      </c>
      <c r="F31" s="272"/>
      <c r="G31" s="272"/>
      <c r="H31" s="272"/>
      <c r="I31" s="276"/>
      <c r="J31" s="276"/>
      <c r="K31" s="276"/>
      <c r="L31" s="276"/>
      <c r="M31" s="276"/>
      <c r="N31" s="440"/>
      <c r="O31" s="286"/>
    </row>
    <row r="32" spans="1:15" ht="135.75" customHeight="1" x14ac:dyDescent="0.25">
      <c r="A32" s="164"/>
      <c r="B32" s="162" t="s">
        <v>353</v>
      </c>
      <c r="C32" s="163" t="s">
        <v>74</v>
      </c>
      <c r="D32" s="163" t="s">
        <v>139</v>
      </c>
      <c r="E32" s="164"/>
      <c r="F32" s="164"/>
      <c r="G32" s="164"/>
      <c r="H32" s="267"/>
      <c r="I32" s="166"/>
      <c r="J32" s="167"/>
      <c r="K32" s="166"/>
      <c r="L32" s="166"/>
      <c r="M32" s="166"/>
      <c r="N32" s="168"/>
    </row>
    <row r="33" spans="1:15" x14ac:dyDescent="0.25">
      <c r="A33" s="173"/>
      <c r="B33" s="467" t="s">
        <v>67</v>
      </c>
      <c r="C33" s="468"/>
      <c r="D33" s="469"/>
      <c r="E33" s="173"/>
      <c r="F33" s="173"/>
      <c r="G33" s="173"/>
      <c r="H33" s="173"/>
      <c r="I33" s="89"/>
      <c r="J33" s="89"/>
      <c r="K33" s="89"/>
      <c r="L33" s="89"/>
      <c r="M33" s="89"/>
      <c r="N33" s="268"/>
    </row>
    <row r="34" spans="1:15" x14ac:dyDescent="0.25">
      <c r="A34" s="174"/>
      <c r="B34" s="455"/>
      <c r="C34" s="455"/>
      <c r="D34" s="456"/>
      <c r="E34" s="175" t="s">
        <v>294</v>
      </c>
      <c r="F34" s="272"/>
      <c r="G34" s="272"/>
      <c r="H34" s="272"/>
      <c r="I34" s="276"/>
      <c r="J34" s="276"/>
      <c r="K34" s="276"/>
      <c r="L34" s="276"/>
      <c r="M34" s="276"/>
      <c r="N34" s="440"/>
      <c r="O34" s="286"/>
    </row>
    <row r="35" spans="1:15" ht="106.5" customHeight="1" x14ac:dyDescent="0.25">
      <c r="A35" s="164"/>
      <c r="B35" s="162" t="s">
        <v>354</v>
      </c>
      <c r="C35" s="163" t="s">
        <v>274</v>
      </c>
      <c r="D35" s="163" t="s">
        <v>279</v>
      </c>
      <c r="E35" s="164"/>
      <c r="F35" s="164"/>
      <c r="G35" s="164"/>
      <c r="H35" s="267"/>
      <c r="I35" s="166"/>
      <c r="J35" s="167"/>
      <c r="K35" s="166"/>
      <c r="L35" s="166"/>
      <c r="M35" s="166"/>
      <c r="N35" s="168"/>
    </row>
    <row r="36" spans="1:15" ht="15" customHeight="1" x14ac:dyDescent="0.25">
      <c r="A36" s="173"/>
      <c r="B36" s="467" t="s">
        <v>67</v>
      </c>
      <c r="C36" s="468"/>
      <c r="D36" s="469"/>
      <c r="E36" s="173"/>
      <c r="F36" s="173"/>
      <c r="G36" s="173"/>
      <c r="H36" s="173"/>
      <c r="I36" s="89"/>
      <c r="J36" s="89"/>
      <c r="K36" s="89"/>
      <c r="L36" s="89"/>
      <c r="M36" s="89"/>
      <c r="N36" s="268"/>
    </row>
    <row r="37" spans="1:15" x14ac:dyDescent="0.25">
      <c r="A37" s="174"/>
      <c r="B37" s="455"/>
      <c r="C37" s="455"/>
      <c r="D37" s="456"/>
      <c r="E37" s="175" t="s">
        <v>294</v>
      </c>
      <c r="F37" s="272"/>
      <c r="G37" s="272"/>
      <c r="H37" s="272"/>
      <c r="I37" s="276"/>
      <c r="J37" s="276"/>
      <c r="K37" s="276"/>
      <c r="L37" s="276"/>
      <c r="M37" s="276"/>
      <c r="N37" s="440"/>
      <c r="O37" s="286"/>
    </row>
    <row r="38" spans="1:15" x14ac:dyDescent="0.25">
      <c r="A38" s="177"/>
      <c r="B38" s="480" t="s">
        <v>169</v>
      </c>
      <c r="C38" s="481"/>
      <c r="D38" s="482"/>
      <c r="E38" s="177"/>
      <c r="F38" s="177"/>
      <c r="G38" s="177"/>
      <c r="H38" s="177"/>
      <c r="I38" s="443"/>
      <c r="J38" s="443"/>
      <c r="K38" s="443"/>
      <c r="L38" s="443"/>
      <c r="M38" s="443"/>
      <c r="N38" s="444"/>
    </row>
    <row r="39" spans="1:15" x14ac:dyDescent="0.25">
      <c r="A39" s="177"/>
      <c r="B39" s="263"/>
      <c r="C39" s="264"/>
      <c r="D39" s="265"/>
      <c r="E39" s="265" t="s">
        <v>294</v>
      </c>
      <c r="F39" s="177"/>
      <c r="G39" s="177"/>
      <c r="H39" s="177"/>
      <c r="I39" s="443"/>
      <c r="J39" s="443"/>
      <c r="K39" s="443"/>
      <c r="L39" s="443"/>
      <c r="M39" s="443"/>
      <c r="N39" s="444"/>
    </row>
    <row r="40" spans="1:15" ht="71.25" customHeight="1" x14ac:dyDescent="0.25">
      <c r="A40" s="164"/>
      <c r="B40" s="162" t="s">
        <v>75</v>
      </c>
      <c r="C40" s="163" t="s">
        <v>140</v>
      </c>
      <c r="D40" s="163" t="s">
        <v>356</v>
      </c>
      <c r="E40" s="164"/>
      <c r="F40" s="164"/>
      <c r="G40" s="164"/>
      <c r="H40" s="267"/>
      <c r="I40" s="166"/>
      <c r="J40" s="167"/>
      <c r="K40" s="166"/>
      <c r="L40" s="166"/>
      <c r="M40" s="166"/>
      <c r="N40" s="168"/>
    </row>
    <row r="41" spans="1:15" x14ac:dyDescent="0.25">
      <c r="A41" s="178"/>
      <c r="B41" s="463" t="s">
        <v>170</v>
      </c>
      <c r="C41" s="464"/>
      <c r="D41" s="465"/>
      <c r="E41" s="178"/>
      <c r="F41" s="178"/>
      <c r="G41" s="178"/>
      <c r="H41" s="178"/>
      <c r="I41" s="445"/>
      <c r="J41" s="445"/>
      <c r="K41" s="445"/>
      <c r="L41" s="445"/>
      <c r="M41" s="445"/>
      <c r="N41" s="446"/>
    </row>
    <row r="42" spans="1:15" x14ac:dyDescent="0.25">
      <c r="A42" s="178"/>
      <c r="B42" s="463"/>
      <c r="C42" s="464"/>
      <c r="D42" s="465"/>
      <c r="E42" s="188" t="s">
        <v>294</v>
      </c>
      <c r="F42" s="178"/>
      <c r="G42" s="178"/>
      <c r="H42" s="178"/>
      <c r="I42" s="445"/>
      <c r="J42" s="445"/>
      <c r="K42" s="445"/>
      <c r="L42" s="445"/>
      <c r="M42" s="445"/>
      <c r="N42" s="446"/>
    </row>
    <row r="43" spans="1:15" ht="210.75" customHeight="1" x14ac:dyDescent="0.25">
      <c r="A43" s="164"/>
      <c r="B43" s="162" t="s">
        <v>277</v>
      </c>
      <c r="C43" s="163" t="s">
        <v>140</v>
      </c>
      <c r="D43" s="163" t="s">
        <v>278</v>
      </c>
      <c r="E43" s="164"/>
      <c r="F43" s="164"/>
      <c r="G43" s="164"/>
      <c r="H43" s="267"/>
      <c r="I43" s="166"/>
      <c r="J43" s="167"/>
      <c r="K43" s="166"/>
      <c r="L43" s="166"/>
      <c r="M43" s="166"/>
      <c r="N43" s="168"/>
    </row>
    <row r="44" spans="1:15" x14ac:dyDescent="0.25">
      <c r="A44" s="177"/>
      <c r="B44" s="480" t="s">
        <v>169</v>
      </c>
      <c r="C44" s="481"/>
      <c r="D44" s="482"/>
      <c r="E44" s="177"/>
      <c r="F44" s="177"/>
      <c r="G44" s="177"/>
      <c r="H44" s="177"/>
      <c r="I44" s="443"/>
      <c r="J44" s="443"/>
      <c r="K44" s="443"/>
      <c r="L44" s="443"/>
      <c r="M44" s="443"/>
      <c r="N44" s="444"/>
    </row>
    <row r="45" spans="1:15" x14ac:dyDescent="0.25">
      <c r="A45" s="177"/>
      <c r="B45" s="263"/>
      <c r="C45" s="264"/>
      <c r="D45" s="265"/>
      <c r="E45" s="265" t="s">
        <v>294</v>
      </c>
      <c r="F45" s="177"/>
      <c r="G45" s="177"/>
      <c r="H45" s="177"/>
      <c r="I45" s="443"/>
      <c r="J45" s="443"/>
      <c r="K45" s="443"/>
      <c r="L45" s="443"/>
      <c r="M45" s="443"/>
      <c r="N45" s="444"/>
    </row>
    <row r="46" spans="1:15" ht="136.5" customHeight="1" x14ac:dyDescent="0.25">
      <c r="A46" s="164"/>
      <c r="B46" s="162" t="s">
        <v>365</v>
      </c>
      <c r="C46" s="163" t="s">
        <v>275</v>
      </c>
      <c r="D46" s="163" t="s">
        <v>141</v>
      </c>
      <c r="E46" s="164"/>
      <c r="F46" s="164"/>
      <c r="G46" s="164"/>
      <c r="H46" s="267"/>
      <c r="I46" s="166"/>
      <c r="J46" s="167"/>
      <c r="K46" s="166"/>
      <c r="L46" s="166"/>
      <c r="M46" s="166"/>
      <c r="N46" s="168"/>
    </row>
    <row r="47" spans="1:15" x14ac:dyDescent="0.25">
      <c r="A47" s="173"/>
      <c r="B47" s="467" t="s">
        <v>67</v>
      </c>
      <c r="C47" s="468"/>
      <c r="D47" s="469"/>
      <c r="E47" s="173"/>
      <c r="F47" s="173"/>
      <c r="G47" s="173"/>
      <c r="H47" s="173"/>
      <c r="I47" s="89"/>
      <c r="J47" s="89"/>
      <c r="K47" s="89"/>
      <c r="L47" s="89"/>
      <c r="M47" s="89"/>
      <c r="N47" s="268"/>
    </row>
    <row r="48" spans="1:15" x14ac:dyDescent="0.25">
      <c r="A48" s="174"/>
      <c r="B48" s="455"/>
      <c r="C48" s="455"/>
      <c r="D48" s="456"/>
      <c r="E48" s="175" t="s">
        <v>294</v>
      </c>
      <c r="F48" s="272"/>
      <c r="G48" s="272"/>
      <c r="H48" s="272"/>
      <c r="I48" s="276"/>
      <c r="J48" s="276"/>
      <c r="K48" s="276"/>
      <c r="L48" s="276"/>
      <c r="M48" s="276"/>
      <c r="N48" s="440"/>
      <c r="O48" s="286"/>
    </row>
    <row r="49" spans="1:14" ht="69.75" customHeight="1" x14ac:dyDescent="0.25">
      <c r="A49" s="164"/>
      <c r="B49" s="162" t="s">
        <v>276</v>
      </c>
      <c r="C49" s="163" t="s">
        <v>280</v>
      </c>
      <c r="D49" s="163" t="s">
        <v>369</v>
      </c>
      <c r="E49" s="164"/>
      <c r="F49" s="164"/>
      <c r="G49" s="164"/>
      <c r="H49" s="267"/>
      <c r="I49" s="166"/>
      <c r="J49" s="167"/>
      <c r="K49" s="166"/>
      <c r="L49" s="166"/>
      <c r="M49" s="166"/>
      <c r="N49" s="168"/>
    </row>
    <row r="50" spans="1:14" x14ac:dyDescent="0.25">
      <c r="A50" s="178"/>
      <c r="B50" s="463" t="s">
        <v>170</v>
      </c>
      <c r="C50" s="464"/>
      <c r="D50" s="465"/>
      <c r="E50" s="178"/>
      <c r="F50" s="178"/>
      <c r="G50" s="178"/>
      <c r="H50" s="178"/>
      <c r="I50" s="445"/>
      <c r="J50" s="445"/>
      <c r="K50" s="445"/>
      <c r="L50" s="445"/>
      <c r="M50" s="445"/>
      <c r="N50" s="446"/>
    </row>
    <row r="51" spans="1:14" x14ac:dyDescent="0.25">
      <c r="A51" s="178"/>
      <c r="B51" s="463"/>
      <c r="C51" s="464"/>
      <c r="D51" s="465"/>
      <c r="E51" s="188" t="s">
        <v>294</v>
      </c>
      <c r="F51" s="178"/>
      <c r="G51" s="178"/>
      <c r="H51" s="178"/>
      <c r="I51" s="445"/>
      <c r="J51" s="445"/>
      <c r="K51" s="445"/>
      <c r="L51" s="445"/>
      <c r="M51" s="445"/>
      <c r="N51" s="446"/>
    </row>
    <row r="52" spans="1:14" ht="68.25" customHeight="1" x14ac:dyDescent="0.25">
      <c r="A52" s="164"/>
      <c r="B52" s="162" t="s">
        <v>366</v>
      </c>
      <c r="C52" s="163" t="s">
        <v>293</v>
      </c>
      <c r="D52" s="163" t="s">
        <v>368</v>
      </c>
      <c r="E52" s="164"/>
      <c r="F52" s="164"/>
      <c r="G52" s="164"/>
      <c r="H52" s="267"/>
      <c r="I52" s="166"/>
      <c r="J52" s="167"/>
      <c r="K52" s="166"/>
      <c r="L52" s="166"/>
      <c r="M52" s="166"/>
      <c r="N52" s="168"/>
    </row>
    <row r="53" spans="1:14" x14ac:dyDescent="0.25">
      <c r="A53" s="178"/>
      <c r="B53" s="463" t="s">
        <v>170</v>
      </c>
      <c r="C53" s="464"/>
      <c r="D53" s="465"/>
      <c r="E53" s="178"/>
      <c r="F53" s="178"/>
      <c r="G53" s="178"/>
      <c r="H53" s="178"/>
      <c r="I53" s="445"/>
      <c r="J53" s="445"/>
      <c r="K53" s="445"/>
      <c r="L53" s="445"/>
      <c r="M53" s="445"/>
      <c r="N53" s="446"/>
    </row>
    <row r="54" spans="1:14" x14ac:dyDescent="0.25">
      <c r="A54" s="178"/>
      <c r="B54" s="249"/>
      <c r="C54" s="250"/>
      <c r="D54" s="251"/>
      <c r="E54" s="188" t="s">
        <v>294</v>
      </c>
      <c r="F54" s="178"/>
      <c r="G54" s="178"/>
      <c r="H54" s="178"/>
      <c r="I54" s="445"/>
      <c r="J54" s="445"/>
      <c r="K54" s="445"/>
      <c r="L54" s="445"/>
      <c r="M54" s="445"/>
      <c r="N54" s="446"/>
    </row>
    <row r="55" spans="1:14" x14ac:dyDescent="0.25">
      <c r="A55" s="179"/>
      <c r="B55" s="474" t="s">
        <v>233</v>
      </c>
      <c r="C55" s="475"/>
      <c r="D55" s="476"/>
      <c r="E55" s="191"/>
      <c r="F55" s="179"/>
      <c r="G55" s="179"/>
      <c r="H55" s="179"/>
      <c r="I55" s="447"/>
      <c r="J55" s="447"/>
      <c r="K55" s="447"/>
      <c r="L55" s="447"/>
      <c r="M55" s="447"/>
      <c r="N55" s="448"/>
    </row>
    <row r="56" spans="1:14" x14ac:dyDescent="0.25">
      <c r="A56" s="189"/>
      <c r="B56" s="258"/>
      <c r="C56" s="190"/>
      <c r="D56" s="259"/>
      <c r="E56" s="191" t="s">
        <v>294</v>
      </c>
      <c r="F56" s="179"/>
      <c r="G56" s="179"/>
      <c r="H56" s="179"/>
      <c r="I56" s="447"/>
      <c r="J56" s="447"/>
      <c r="K56" s="447"/>
      <c r="L56" s="447"/>
      <c r="M56" s="447"/>
      <c r="N56" s="448"/>
    </row>
    <row r="57" spans="1:14" x14ac:dyDescent="0.25">
      <c r="A57" s="180"/>
      <c r="B57" s="470" t="s">
        <v>171</v>
      </c>
      <c r="C57" s="471"/>
      <c r="D57" s="472"/>
      <c r="E57" s="192"/>
      <c r="F57" s="181"/>
      <c r="G57" s="181"/>
      <c r="H57" s="181"/>
      <c r="I57" s="269"/>
      <c r="J57" s="269"/>
      <c r="K57" s="269"/>
      <c r="L57" s="269"/>
      <c r="M57" s="269"/>
      <c r="N57" s="270"/>
    </row>
    <row r="58" spans="1:14" x14ac:dyDescent="0.25">
      <c r="A58" s="180"/>
      <c r="B58" s="255"/>
      <c r="C58" s="256"/>
      <c r="D58" s="257"/>
      <c r="E58" s="192" t="s">
        <v>294</v>
      </c>
      <c r="F58" s="181"/>
      <c r="G58" s="181"/>
      <c r="H58" s="181"/>
      <c r="I58" s="269"/>
      <c r="J58" s="269"/>
      <c r="K58" s="269"/>
      <c r="L58" s="269"/>
      <c r="M58" s="269"/>
      <c r="N58" s="270"/>
    </row>
    <row r="59" spans="1:14" ht="72.75" customHeight="1" x14ac:dyDescent="0.25">
      <c r="A59" s="164"/>
      <c r="B59" s="162" t="s">
        <v>367</v>
      </c>
      <c r="C59" s="163" t="s">
        <v>282</v>
      </c>
      <c r="D59" s="163" t="s">
        <v>281</v>
      </c>
      <c r="E59" s="164"/>
      <c r="F59" s="164"/>
      <c r="G59" s="164"/>
      <c r="H59" s="267"/>
      <c r="I59" s="166"/>
      <c r="J59" s="167"/>
      <c r="K59" s="166"/>
      <c r="L59" s="166"/>
      <c r="M59" s="166"/>
      <c r="N59" s="168"/>
    </row>
    <row r="60" spans="1:14" x14ac:dyDescent="0.25">
      <c r="A60" s="180"/>
      <c r="B60" s="255" t="s">
        <v>171</v>
      </c>
      <c r="C60" s="256"/>
      <c r="D60" s="257"/>
      <c r="E60" s="192" t="s">
        <v>294</v>
      </c>
      <c r="F60" s="181"/>
      <c r="G60" s="181"/>
      <c r="H60" s="181"/>
      <c r="I60" s="269"/>
      <c r="J60" s="269"/>
      <c r="K60" s="269"/>
      <c r="L60" s="269"/>
      <c r="M60" s="269"/>
      <c r="N60" s="270"/>
    </row>
    <row r="61" spans="1:14" x14ac:dyDescent="0.25">
      <c r="A61" s="180"/>
      <c r="B61" s="255"/>
      <c r="C61" s="256"/>
      <c r="D61" s="257"/>
      <c r="E61" s="192"/>
      <c r="F61" s="181"/>
      <c r="G61" s="181"/>
      <c r="H61" s="181"/>
      <c r="I61" s="269"/>
      <c r="J61" s="269"/>
      <c r="K61" s="269"/>
      <c r="L61" s="269"/>
      <c r="M61" s="269"/>
      <c r="N61" s="270"/>
    </row>
    <row r="62" spans="1:14" ht="18.600000000000001" customHeight="1" x14ac:dyDescent="0.25">
      <c r="A62" s="182"/>
      <c r="B62" s="477" t="s">
        <v>231</v>
      </c>
      <c r="C62" s="478"/>
      <c r="D62" s="479"/>
      <c r="E62" s="193"/>
      <c r="F62" s="182"/>
      <c r="G62" s="182"/>
      <c r="H62" s="182"/>
      <c r="I62" s="283"/>
      <c r="J62" s="283"/>
      <c r="K62" s="283"/>
      <c r="L62" s="283"/>
      <c r="M62" s="283"/>
      <c r="N62" s="284"/>
    </row>
    <row r="63" spans="1:14" x14ac:dyDescent="0.25">
      <c r="A63" s="182"/>
      <c r="B63" s="260"/>
      <c r="C63" s="261"/>
      <c r="D63" s="262"/>
      <c r="E63" s="193" t="s">
        <v>294</v>
      </c>
      <c r="F63" s="182"/>
      <c r="G63" s="182"/>
      <c r="H63" s="182"/>
      <c r="I63" s="283"/>
      <c r="J63" s="283"/>
      <c r="K63" s="283"/>
      <c r="L63" s="283"/>
      <c r="M63" s="283"/>
      <c r="N63" s="284"/>
    </row>
    <row r="64" spans="1:14" x14ac:dyDescent="0.25">
      <c r="A64" s="173"/>
      <c r="B64" s="252" t="s">
        <v>67</v>
      </c>
      <c r="C64" s="253"/>
      <c r="D64" s="254"/>
      <c r="E64" s="175"/>
      <c r="F64" s="173"/>
      <c r="G64" s="173"/>
      <c r="H64" s="173"/>
      <c r="I64" s="89"/>
      <c r="J64" s="89"/>
      <c r="K64" s="89"/>
      <c r="L64" s="89"/>
      <c r="M64" s="89"/>
      <c r="N64" s="268"/>
    </row>
    <row r="65" spans="1:14" x14ac:dyDescent="0.25">
      <c r="A65" s="173"/>
      <c r="B65" s="252"/>
      <c r="C65" s="253"/>
      <c r="D65" s="254"/>
      <c r="E65" s="175" t="s">
        <v>294</v>
      </c>
      <c r="F65" s="173"/>
      <c r="G65" s="173"/>
      <c r="H65" s="173"/>
      <c r="I65" s="89"/>
      <c r="J65" s="89"/>
      <c r="K65" s="89"/>
      <c r="L65" s="89"/>
      <c r="M65" s="89"/>
      <c r="N65" s="268"/>
    </row>
    <row r="66" spans="1:14" ht="133.5" customHeight="1" x14ac:dyDescent="0.25">
      <c r="A66" s="164"/>
      <c r="B66" s="163" t="s">
        <v>370</v>
      </c>
      <c r="C66" s="163" t="s">
        <v>283</v>
      </c>
      <c r="D66" s="163" t="s">
        <v>284</v>
      </c>
      <c r="E66" s="164"/>
      <c r="F66" s="164"/>
      <c r="G66" s="164"/>
      <c r="H66" s="164"/>
      <c r="I66" s="166"/>
      <c r="J66" s="166"/>
      <c r="K66" s="166"/>
      <c r="L66" s="166"/>
      <c r="M66" s="166"/>
      <c r="N66" s="168"/>
    </row>
    <row r="67" spans="1:14" ht="18.75" customHeight="1" x14ac:dyDescent="0.25">
      <c r="A67" s="173"/>
      <c r="B67" s="252" t="s">
        <v>67</v>
      </c>
      <c r="C67" s="253"/>
      <c r="D67" s="254"/>
      <c r="E67" s="175" t="s">
        <v>294</v>
      </c>
      <c r="F67" s="173"/>
      <c r="G67" s="173"/>
      <c r="H67" s="173"/>
      <c r="I67" s="89"/>
      <c r="J67" s="89"/>
      <c r="K67" s="89"/>
      <c r="L67" s="89"/>
      <c r="M67" s="89"/>
      <c r="N67" s="268"/>
    </row>
    <row r="68" spans="1:14" ht="18.75" customHeight="1" x14ac:dyDescent="0.25">
      <c r="A68" s="173"/>
      <c r="B68" s="252"/>
      <c r="C68" s="253"/>
      <c r="D68" s="254"/>
      <c r="E68" s="173"/>
      <c r="F68" s="173"/>
      <c r="G68" s="173"/>
      <c r="H68" s="173"/>
      <c r="I68" s="89"/>
      <c r="J68" s="89"/>
      <c r="K68" s="89"/>
      <c r="L68" s="89"/>
      <c r="M68" s="89"/>
      <c r="N68" s="268"/>
    </row>
    <row r="69" spans="1:14" ht="133.5" customHeight="1" x14ac:dyDescent="0.25">
      <c r="A69" s="164"/>
      <c r="B69" s="163" t="s">
        <v>371</v>
      </c>
      <c r="C69" s="163" t="s">
        <v>355</v>
      </c>
      <c r="D69" s="163" t="s">
        <v>284</v>
      </c>
      <c r="E69" s="164"/>
      <c r="F69" s="164"/>
      <c r="G69" s="164"/>
      <c r="H69" s="164"/>
      <c r="I69" s="166"/>
      <c r="J69" s="166"/>
      <c r="K69" s="166"/>
      <c r="L69" s="166"/>
      <c r="M69" s="166"/>
      <c r="N69" s="168"/>
    </row>
    <row r="70" spans="1:14" ht="18.75" customHeight="1" x14ac:dyDescent="0.25">
      <c r="A70" s="173"/>
      <c r="B70" s="175" t="s">
        <v>357</v>
      </c>
      <c r="C70" s="175"/>
      <c r="D70" s="175"/>
      <c r="E70" s="175" t="s">
        <v>294</v>
      </c>
      <c r="F70" s="173"/>
      <c r="G70" s="173"/>
      <c r="H70" s="173"/>
      <c r="I70" s="89"/>
      <c r="J70" s="89"/>
      <c r="K70" s="89"/>
      <c r="L70" s="89"/>
      <c r="M70" s="89"/>
      <c r="N70" s="268"/>
    </row>
    <row r="71" spans="1:14" x14ac:dyDescent="0.25">
      <c r="A71" s="173"/>
      <c r="B71" s="175"/>
      <c r="C71" s="175"/>
      <c r="D71" s="175"/>
      <c r="E71" s="175"/>
      <c r="F71" s="173"/>
      <c r="G71" s="173"/>
      <c r="H71" s="173"/>
      <c r="I71" s="89"/>
      <c r="J71" s="89"/>
      <c r="K71" s="89"/>
      <c r="L71" s="89"/>
      <c r="M71" s="89"/>
      <c r="N71" s="268"/>
    </row>
    <row r="72" spans="1:14" x14ac:dyDescent="0.25">
      <c r="A72" s="531" t="s">
        <v>77</v>
      </c>
      <c r="B72" s="531"/>
      <c r="C72" s="531"/>
      <c r="D72" s="531"/>
      <c r="E72" s="266"/>
      <c r="F72" s="266"/>
      <c r="G72" s="266"/>
      <c r="H72" s="266"/>
      <c r="I72" s="449"/>
      <c r="J72" s="449"/>
      <c r="K72" s="449"/>
      <c r="L72" s="449"/>
      <c r="M72" s="449"/>
      <c r="N72" s="273"/>
    </row>
    <row r="73" spans="1:14" ht="146.44999999999999" customHeight="1" x14ac:dyDescent="0.25">
      <c r="A73" s="164"/>
      <c r="B73" s="162" t="s">
        <v>358</v>
      </c>
      <c r="C73" s="163" t="s">
        <v>142</v>
      </c>
      <c r="D73" s="163" t="s">
        <v>138</v>
      </c>
      <c r="E73" s="164"/>
      <c r="F73" s="164"/>
      <c r="G73" s="164"/>
      <c r="H73" s="267"/>
      <c r="I73" s="166"/>
      <c r="J73" s="167"/>
      <c r="K73" s="166"/>
      <c r="L73" s="166"/>
      <c r="M73" s="166"/>
      <c r="N73" s="168"/>
    </row>
    <row r="74" spans="1:14" x14ac:dyDescent="0.25">
      <c r="A74" s="173"/>
      <c r="B74" s="467" t="s">
        <v>67</v>
      </c>
      <c r="C74" s="468"/>
      <c r="D74" s="469"/>
      <c r="E74" s="173"/>
      <c r="F74" s="173"/>
      <c r="G74" s="173"/>
      <c r="H74" s="173"/>
      <c r="I74" s="89"/>
      <c r="J74" s="89"/>
      <c r="K74" s="89"/>
      <c r="L74" s="89"/>
      <c r="M74" s="89"/>
      <c r="N74" s="268"/>
    </row>
    <row r="75" spans="1:14" x14ac:dyDescent="0.25">
      <c r="A75" s="173"/>
      <c r="B75" s="252"/>
      <c r="C75" s="253"/>
      <c r="D75" s="254"/>
      <c r="E75" s="175" t="s">
        <v>294</v>
      </c>
      <c r="F75" s="173"/>
      <c r="G75" s="173"/>
      <c r="H75" s="173"/>
      <c r="I75" s="89"/>
      <c r="J75" s="89"/>
      <c r="K75" s="89"/>
      <c r="L75" s="89"/>
      <c r="M75" s="89"/>
      <c r="N75" s="268"/>
    </row>
    <row r="76" spans="1:14" ht="137.25" customHeight="1" x14ac:dyDescent="0.25">
      <c r="A76" s="164"/>
      <c r="B76" s="162" t="s">
        <v>359</v>
      </c>
      <c r="C76" s="163" t="s">
        <v>142</v>
      </c>
      <c r="D76" s="163" t="s">
        <v>138</v>
      </c>
      <c r="E76" s="164"/>
      <c r="F76" s="164"/>
      <c r="G76" s="164"/>
      <c r="H76" s="267"/>
      <c r="I76" s="166"/>
      <c r="J76" s="167"/>
      <c r="K76" s="166"/>
      <c r="L76" s="166"/>
      <c r="M76" s="166"/>
      <c r="N76" s="168"/>
    </row>
    <row r="77" spans="1:14" x14ac:dyDescent="0.25">
      <c r="A77" s="173"/>
      <c r="B77" s="467" t="s">
        <v>67</v>
      </c>
      <c r="C77" s="468"/>
      <c r="D77" s="469"/>
      <c r="E77" s="173"/>
      <c r="F77" s="173"/>
      <c r="G77" s="173"/>
      <c r="H77" s="173"/>
      <c r="I77" s="89"/>
      <c r="J77" s="89"/>
      <c r="K77" s="89"/>
      <c r="L77" s="89"/>
      <c r="M77" s="89"/>
      <c r="N77" s="268"/>
    </row>
    <row r="78" spans="1:14" x14ac:dyDescent="0.25">
      <c r="A78" s="173"/>
      <c r="B78" s="252"/>
      <c r="C78" s="253"/>
      <c r="D78" s="254"/>
      <c r="E78" s="175" t="s">
        <v>294</v>
      </c>
      <c r="F78" s="173"/>
      <c r="G78" s="173"/>
      <c r="H78" s="173"/>
      <c r="I78" s="89"/>
      <c r="J78" s="89"/>
      <c r="K78" s="89"/>
      <c r="L78" s="89"/>
      <c r="M78" s="89"/>
      <c r="N78" s="268"/>
    </row>
    <row r="79" spans="1:14" ht="227.25" customHeight="1" x14ac:dyDescent="0.25">
      <c r="A79" s="164"/>
      <c r="B79" s="162" t="s">
        <v>374</v>
      </c>
      <c r="C79" s="163" t="s">
        <v>288</v>
      </c>
      <c r="D79" s="163" t="s">
        <v>138</v>
      </c>
      <c r="E79" s="164"/>
      <c r="F79" s="164"/>
      <c r="G79" s="164"/>
      <c r="H79" s="267"/>
      <c r="I79" s="166"/>
      <c r="J79" s="167"/>
      <c r="K79" s="166"/>
      <c r="L79" s="166"/>
      <c r="M79" s="166"/>
      <c r="N79" s="168"/>
    </row>
    <row r="80" spans="1:14" x14ac:dyDescent="0.25">
      <c r="A80" s="173"/>
      <c r="B80" s="467" t="s">
        <v>67</v>
      </c>
      <c r="C80" s="468"/>
      <c r="D80" s="469"/>
      <c r="E80" s="173"/>
      <c r="F80" s="173"/>
      <c r="G80" s="173"/>
      <c r="H80" s="173"/>
      <c r="I80" s="89"/>
      <c r="J80" s="89"/>
      <c r="K80" s="89"/>
      <c r="L80" s="89"/>
      <c r="M80" s="89"/>
      <c r="N80" s="268"/>
    </row>
    <row r="81" spans="1:14" x14ac:dyDescent="0.25">
      <c r="A81" s="173"/>
      <c r="B81" s="252"/>
      <c r="C81" s="253"/>
      <c r="D81" s="254"/>
      <c r="E81" s="175" t="s">
        <v>294</v>
      </c>
      <c r="F81" s="173"/>
      <c r="G81" s="173"/>
      <c r="H81" s="173"/>
      <c r="I81" s="89"/>
      <c r="J81" s="89"/>
      <c r="K81" s="89"/>
      <c r="L81" s="89"/>
      <c r="M81" s="89"/>
      <c r="N81" s="268"/>
    </row>
    <row r="82" spans="1:14" ht="210" customHeight="1" x14ac:dyDescent="0.25">
      <c r="A82" s="164"/>
      <c r="B82" s="162" t="s">
        <v>291</v>
      </c>
      <c r="C82" s="163" t="s">
        <v>143</v>
      </c>
      <c r="D82" s="163" t="s">
        <v>78</v>
      </c>
      <c r="E82" s="164"/>
      <c r="F82" s="164"/>
      <c r="G82" s="164"/>
      <c r="H82" s="267"/>
      <c r="I82" s="166"/>
      <c r="J82" s="167"/>
      <c r="K82" s="166"/>
      <c r="L82" s="166"/>
      <c r="M82" s="166"/>
      <c r="N82" s="168"/>
    </row>
    <row r="83" spans="1:14" x14ac:dyDescent="0.25">
      <c r="A83" s="173"/>
      <c r="B83" s="467" t="s">
        <v>67</v>
      </c>
      <c r="C83" s="468"/>
      <c r="D83" s="469"/>
      <c r="E83" s="173"/>
      <c r="F83" s="173"/>
      <c r="G83" s="173"/>
      <c r="H83" s="173"/>
      <c r="I83" s="89"/>
      <c r="J83" s="89"/>
      <c r="K83" s="89"/>
      <c r="L83" s="89"/>
      <c r="M83" s="89"/>
      <c r="N83" s="268"/>
    </row>
    <row r="84" spans="1:14" x14ac:dyDescent="0.25">
      <c r="A84" s="173"/>
      <c r="B84" s="252"/>
      <c r="C84" s="253"/>
      <c r="D84" s="254"/>
      <c r="E84" s="175" t="s">
        <v>294</v>
      </c>
      <c r="F84" s="173"/>
      <c r="G84" s="173"/>
      <c r="H84" s="173"/>
      <c r="I84" s="89"/>
      <c r="J84" s="89"/>
      <c r="K84" s="89"/>
      <c r="L84" s="89"/>
      <c r="M84" s="89"/>
      <c r="N84" s="268"/>
    </row>
    <row r="85" spans="1:14" ht="128.25" customHeight="1" x14ac:dyDescent="0.25">
      <c r="A85" s="164"/>
      <c r="B85" s="162" t="s">
        <v>285</v>
      </c>
      <c r="C85" s="163" t="s">
        <v>289</v>
      </c>
      <c r="D85" s="163" t="s">
        <v>286</v>
      </c>
      <c r="E85" s="164"/>
      <c r="F85" s="164"/>
      <c r="G85" s="164"/>
      <c r="H85" s="267"/>
      <c r="I85" s="166"/>
      <c r="J85" s="167"/>
      <c r="K85" s="166"/>
      <c r="L85" s="166"/>
      <c r="M85" s="166"/>
      <c r="N85" s="168"/>
    </row>
    <row r="86" spans="1:14" x14ac:dyDescent="0.25">
      <c r="A86" s="183"/>
      <c r="B86" s="473" t="s">
        <v>67</v>
      </c>
      <c r="C86" s="468"/>
      <c r="D86" s="469"/>
      <c r="E86" s="173"/>
      <c r="F86" s="173"/>
      <c r="G86" s="173"/>
      <c r="H86" s="173"/>
      <c r="I86" s="89"/>
      <c r="J86" s="89"/>
      <c r="K86" s="89"/>
      <c r="L86" s="89"/>
      <c r="M86" s="89"/>
      <c r="N86" s="268"/>
    </row>
    <row r="87" spans="1:14" x14ac:dyDescent="0.25">
      <c r="A87" s="173"/>
      <c r="B87" s="252"/>
      <c r="C87" s="253"/>
      <c r="D87" s="254"/>
      <c r="E87" s="175" t="s">
        <v>294</v>
      </c>
      <c r="F87" s="173"/>
      <c r="G87" s="173"/>
      <c r="H87" s="173"/>
      <c r="I87" s="89"/>
      <c r="J87" s="89"/>
      <c r="K87" s="89"/>
      <c r="L87" s="89"/>
      <c r="M87" s="89"/>
      <c r="N87" s="268"/>
    </row>
    <row r="88" spans="1:14" ht="135.6" customHeight="1" x14ac:dyDescent="0.25">
      <c r="A88" s="164"/>
      <c r="B88" s="162" t="s">
        <v>287</v>
      </c>
      <c r="C88" s="163" t="s">
        <v>79</v>
      </c>
      <c r="D88" s="163" t="s">
        <v>76</v>
      </c>
      <c r="E88" s="164"/>
      <c r="F88" s="164"/>
      <c r="G88" s="164"/>
      <c r="H88" s="267"/>
      <c r="I88" s="166"/>
      <c r="J88" s="167"/>
      <c r="K88" s="166"/>
      <c r="L88" s="166"/>
      <c r="M88" s="166"/>
      <c r="N88" s="168"/>
    </row>
    <row r="89" spans="1:14" x14ac:dyDescent="0.25">
      <c r="A89" s="183"/>
      <c r="B89" s="473" t="s">
        <v>67</v>
      </c>
      <c r="C89" s="468"/>
      <c r="D89" s="469"/>
      <c r="E89" s="173"/>
      <c r="F89" s="173"/>
      <c r="G89" s="173"/>
      <c r="H89" s="173"/>
      <c r="I89" s="89"/>
      <c r="J89" s="89"/>
      <c r="K89" s="89"/>
      <c r="L89" s="89"/>
      <c r="M89" s="89"/>
      <c r="N89" s="268"/>
    </row>
    <row r="90" spans="1:14" x14ac:dyDescent="0.25">
      <c r="A90" s="173"/>
      <c r="B90" s="252"/>
      <c r="C90" s="253"/>
      <c r="D90" s="254"/>
      <c r="E90" s="175" t="s">
        <v>294</v>
      </c>
      <c r="F90" s="173"/>
      <c r="G90" s="173"/>
      <c r="H90" s="173"/>
      <c r="I90" s="89"/>
      <c r="J90" s="89"/>
      <c r="K90" s="89"/>
      <c r="L90" s="89"/>
      <c r="M90" s="89"/>
      <c r="N90" s="268"/>
    </row>
    <row r="91" spans="1:14" x14ac:dyDescent="0.25">
      <c r="A91" s="180"/>
      <c r="B91" s="470" t="s">
        <v>171</v>
      </c>
      <c r="C91" s="471"/>
      <c r="D91" s="472"/>
      <c r="E91" s="181"/>
      <c r="F91" s="181"/>
      <c r="G91" s="181"/>
      <c r="H91" s="181"/>
      <c r="I91" s="269"/>
      <c r="J91" s="269"/>
      <c r="K91" s="269"/>
      <c r="L91" s="269"/>
      <c r="M91" s="269"/>
      <c r="N91" s="270"/>
    </row>
    <row r="92" spans="1:14" x14ac:dyDescent="0.25">
      <c r="A92" s="180"/>
      <c r="B92" s="470"/>
      <c r="C92" s="471"/>
      <c r="D92" s="472"/>
      <c r="E92" s="192" t="s">
        <v>294</v>
      </c>
      <c r="F92" s="181"/>
      <c r="G92" s="181"/>
      <c r="H92" s="181"/>
      <c r="I92" s="269"/>
      <c r="J92" s="269"/>
      <c r="K92" s="269"/>
      <c r="L92" s="269"/>
      <c r="M92" s="269"/>
      <c r="N92" s="270"/>
    </row>
    <row r="93" spans="1:14" x14ac:dyDescent="0.25">
      <c r="A93" s="460" t="s">
        <v>80</v>
      </c>
      <c r="B93" s="461"/>
      <c r="C93" s="461"/>
      <c r="D93" s="462"/>
      <c r="E93" s="266"/>
      <c r="F93" s="273">
        <f>F106+F109</f>
        <v>92500</v>
      </c>
      <c r="G93" s="273">
        <f t="shared" ref="G93:N93" si="4">G106+G109</f>
        <v>119500</v>
      </c>
      <c r="H93" s="273">
        <f t="shared" si="4"/>
        <v>37000</v>
      </c>
      <c r="I93" s="273">
        <f t="shared" si="4"/>
        <v>0</v>
      </c>
      <c r="J93" s="273">
        <f t="shared" si="4"/>
        <v>0</v>
      </c>
      <c r="K93" s="273">
        <f t="shared" si="4"/>
        <v>0</v>
      </c>
      <c r="L93" s="273">
        <f t="shared" si="4"/>
        <v>0</v>
      </c>
      <c r="M93" s="273">
        <f t="shared" si="4"/>
        <v>0</v>
      </c>
      <c r="N93" s="273">
        <f t="shared" si="4"/>
        <v>0</v>
      </c>
    </row>
    <row r="94" spans="1:14" ht="88.5" customHeight="1" x14ac:dyDescent="0.25">
      <c r="A94" s="161"/>
      <c r="B94" s="162" t="s">
        <v>81</v>
      </c>
      <c r="C94" s="163" t="s">
        <v>82</v>
      </c>
      <c r="D94" s="163" t="s">
        <v>83</v>
      </c>
      <c r="E94" s="164"/>
      <c r="F94" s="164"/>
      <c r="G94" s="164"/>
      <c r="H94" s="267"/>
      <c r="I94" s="166"/>
      <c r="J94" s="167"/>
      <c r="K94" s="166"/>
      <c r="L94" s="166"/>
      <c r="M94" s="166"/>
      <c r="N94" s="168"/>
    </row>
    <row r="95" spans="1:14" x14ac:dyDescent="0.25">
      <c r="A95" s="184"/>
      <c r="B95" s="467" t="s">
        <v>67</v>
      </c>
      <c r="C95" s="468"/>
      <c r="D95" s="469"/>
      <c r="E95" s="173"/>
      <c r="F95" s="173"/>
      <c r="G95" s="173"/>
      <c r="H95" s="173"/>
      <c r="I95" s="89"/>
      <c r="J95" s="89"/>
      <c r="K95" s="89"/>
      <c r="L95" s="89"/>
      <c r="M95" s="89"/>
      <c r="N95" s="268"/>
    </row>
    <row r="96" spans="1:14" x14ac:dyDescent="0.25">
      <c r="A96" s="173"/>
      <c r="B96" s="252"/>
      <c r="C96" s="253"/>
      <c r="D96" s="254"/>
      <c r="E96" s="175" t="s">
        <v>294</v>
      </c>
      <c r="F96" s="173"/>
      <c r="G96" s="173"/>
      <c r="H96" s="173"/>
      <c r="I96" s="89"/>
      <c r="J96" s="89"/>
      <c r="K96" s="89"/>
      <c r="L96" s="89"/>
      <c r="M96" s="89"/>
      <c r="N96" s="268"/>
    </row>
    <row r="97" spans="1:14" ht="136.5" customHeight="1" x14ac:dyDescent="0.25">
      <c r="A97" s="161"/>
      <c r="B97" s="162" t="s">
        <v>360</v>
      </c>
      <c r="C97" s="163" t="s">
        <v>361</v>
      </c>
      <c r="D97" s="163" t="s">
        <v>362</v>
      </c>
      <c r="E97" s="164"/>
      <c r="F97" s="164"/>
      <c r="G97" s="164"/>
      <c r="H97" s="267"/>
      <c r="I97" s="166"/>
      <c r="J97" s="167"/>
      <c r="K97" s="166"/>
      <c r="L97" s="166"/>
      <c r="M97" s="166"/>
      <c r="N97" s="168"/>
    </row>
    <row r="98" spans="1:14" x14ac:dyDescent="0.25">
      <c r="A98" s="184"/>
      <c r="B98" s="467" t="s">
        <v>67</v>
      </c>
      <c r="C98" s="468"/>
      <c r="D98" s="469"/>
      <c r="E98" s="173"/>
      <c r="F98" s="173"/>
      <c r="G98" s="173"/>
      <c r="H98" s="173"/>
      <c r="I98" s="89"/>
      <c r="J98" s="89"/>
      <c r="K98" s="89"/>
      <c r="L98" s="89"/>
      <c r="M98" s="89"/>
      <c r="N98" s="268"/>
    </row>
    <row r="99" spans="1:14" x14ac:dyDescent="0.25">
      <c r="A99" s="173"/>
      <c r="B99" s="252"/>
      <c r="C99" s="253"/>
      <c r="D99" s="254"/>
      <c r="E99" s="175" t="s">
        <v>294</v>
      </c>
      <c r="F99" s="173"/>
      <c r="G99" s="173"/>
      <c r="H99" s="173"/>
      <c r="I99" s="89"/>
      <c r="J99" s="89"/>
      <c r="K99" s="89"/>
      <c r="L99" s="89"/>
      <c r="M99" s="89"/>
      <c r="N99" s="268"/>
    </row>
    <row r="100" spans="1:14" x14ac:dyDescent="0.25">
      <c r="A100" s="181"/>
      <c r="B100" s="470" t="s">
        <v>171</v>
      </c>
      <c r="C100" s="471"/>
      <c r="D100" s="472"/>
      <c r="E100" s="181"/>
      <c r="F100" s="181"/>
      <c r="G100" s="181"/>
      <c r="H100" s="181"/>
      <c r="I100" s="269"/>
      <c r="J100" s="269"/>
      <c r="K100" s="269"/>
      <c r="L100" s="269"/>
      <c r="M100" s="269"/>
      <c r="N100" s="270"/>
    </row>
    <row r="101" spans="1:14" x14ac:dyDescent="0.25">
      <c r="A101" s="181"/>
      <c r="B101" s="470"/>
      <c r="C101" s="471"/>
      <c r="D101" s="472"/>
      <c r="E101" s="192" t="s">
        <v>294</v>
      </c>
      <c r="F101" s="181"/>
      <c r="G101" s="181"/>
      <c r="H101" s="181"/>
      <c r="I101" s="269"/>
      <c r="J101" s="269"/>
      <c r="K101" s="269"/>
      <c r="L101" s="269"/>
      <c r="M101" s="269"/>
      <c r="N101" s="270"/>
    </row>
    <row r="102" spans="1:14" ht="63" x14ac:dyDescent="0.25">
      <c r="A102" s="161"/>
      <c r="B102" s="162" t="s">
        <v>84</v>
      </c>
      <c r="C102" s="163" t="s">
        <v>144</v>
      </c>
      <c r="D102" s="163" t="s">
        <v>85</v>
      </c>
      <c r="E102" s="164"/>
      <c r="F102" s="164"/>
      <c r="G102" s="164"/>
      <c r="H102" s="267"/>
      <c r="I102" s="166"/>
      <c r="J102" s="167"/>
      <c r="K102" s="166"/>
      <c r="L102" s="166"/>
      <c r="M102" s="166"/>
      <c r="N102" s="168"/>
    </row>
    <row r="103" spans="1:14" x14ac:dyDescent="0.25">
      <c r="A103" s="184"/>
      <c r="B103" s="467" t="s">
        <v>67</v>
      </c>
      <c r="C103" s="468"/>
      <c r="D103" s="469"/>
      <c r="E103" s="173"/>
      <c r="F103" s="173"/>
      <c r="G103" s="173"/>
      <c r="H103" s="173"/>
      <c r="I103" s="89"/>
      <c r="J103" s="89"/>
      <c r="K103" s="89"/>
      <c r="L103" s="89"/>
      <c r="M103" s="89"/>
      <c r="N103" s="268"/>
    </row>
    <row r="104" spans="1:14" x14ac:dyDescent="0.25">
      <c r="A104" s="173"/>
      <c r="B104" s="252"/>
      <c r="C104" s="253"/>
      <c r="D104" s="254"/>
      <c r="E104" s="175" t="s">
        <v>294</v>
      </c>
      <c r="F104" s="173"/>
      <c r="G104" s="173"/>
      <c r="H104" s="173"/>
      <c r="I104" s="89"/>
      <c r="J104" s="89"/>
      <c r="K104" s="89"/>
      <c r="L104" s="89"/>
      <c r="M104" s="89"/>
      <c r="N104" s="268"/>
    </row>
    <row r="105" spans="1:14" ht="69" customHeight="1" x14ac:dyDescent="0.25">
      <c r="A105" s="161"/>
      <c r="B105" s="162" t="s">
        <v>86</v>
      </c>
      <c r="C105" s="163" t="s">
        <v>87</v>
      </c>
      <c r="D105" s="163" t="s">
        <v>244</v>
      </c>
      <c r="E105" s="164"/>
      <c r="F105" s="104">
        <f t="shared" ref="F105:M106" si="5">F106</f>
        <v>10000</v>
      </c>
      <c r="G105" s="104">
        <f t="shared" si="5"/>
        <v>37000</v>
      </c>
      <c r="H105" s="271">
        <f t="shared" si="5"/>
        <v>37000</v>
      </c>
      <c r="I105" s="271">
        <f t="shared" si="5"/>
        <v>0</v>
      </c>
      <c r="J105" s="271">
        <f t="shared" si="5"/>
        <v>0</v>
      </c>
      <c r="K105" s="271">
        <f t="shared" si="5"/>
        <v>0</v>
      </c>
      <c r="L105" s="271">
        <f t="shared" si="5"/>
        <v>0</v>
      </c>
      <c r="M105" s="271">
        <f t="shared" si="5"/>
        <v>0</v>
      </c>
      <c r="N105" s="18" t="s">
        <v>70</v>
      </c>
    </row>
    <row r="106" spans="1:14" x14ac:dyDescent="0.25">
      <c r="A106" s="184"/>
      <c r="B106" s="467" t="s">
        <v>67</v>
      </c>
      <c r="C106" s="468"/>
      <c r="D106" s="469"/>
      <c r="E106" s="173"/>
      <c r="F106" s="89">
        <f t="shared" si="5"/>
        <v>10000</v>
      </c>
      <c r="G106" s="89">
        <f t="shared" si="5"/>
        <v>37000</v>
      </c>
      <c r="H106" s="89">
        <f t="shared" si="5"/>
        <v>37000</v>
      </c>
      <c r="I106" s="89">
        <f t="shared" si="5"/>
        <v>0</v>
      </c>
      <c r="J106" s="89">
        <f t="shared" si="5"/>
        <v>0</v>
      </c>
      <c r="K106" s="89">
        <f t="shared" si="5"/>
        <v>0</v>
      </c>
      <c r="L106" s="89">
        <f t="shared" si="5"/>
        <v>0</v>
      </c>
      <c r="M106" s="89">
        <f t="shared" si="5"/>
        <v>0</v>
      </c>
      <c r="N106" s="268"/>
    </row>
    <row r="107" spans="1:14" ht="63" x14ac:dyDescent="0.25">
      <c r="A107" s="185"/>
      <c r="B107" s="455"/>
      <c r="C107" s="455"/>
      <c r="D107" s="456"/>
      <c r="E107" s="175" t="s">
        <v>136</v>
      </c>
      <c r="F107" s="272">
        <v>10000</v>
      </c>
      <c r="G107" s="272">
        <v>37000</v>
      </c>
      <c r="H107" s="272">
        <v>37000</v>
      </c>
      <c r="I107" s="272">
        <v>0</v>
      </c>
      <c r="J107" s="272">
        <v>0</v>
      </c>
      <c r="K107" s="272">
        <v>0</v>
      </c>
      <c r="L107" s="272">
        <v>0</v>
      </c>
      <c r="M107" s="272">
        <v>0</v>
      </c>
      <c r="N107" s="268"/>
    </row>
    <row r="108" spans="1:14" ht="73.5" customHeight="1" x14ac:dyDescent="0.25">
      <c r="A108" s="161"/>
      <c r="B108" s="162" t="s">
        <v>145</v>
      </c>
      <c r="C108" s="186" t="s">
        <v>292</v>
      </c>
      <c r="D108" s="163" t="s">
        <v>244</v>
      </c>
      <c r="E108" s="163"/>
      <c r="F108" s="104">
        <f t="shared" ref="F108:M109" si="6">F109</f>
        <v>82500</v>
      </c>
      <c r="G108" s="104">
        <f t="shared" si="6"/>
        <v>82500</v>
      </c>
      <c r="H108" s="104">
        <f t="shared" si="6"/>
        <v>0</v>
      </c>
      <c r="I108" s="104">
        <f t="shared" si="6"/>
        <v>0</v>
      </c>
      <c r="J108" s="104">
        <f t="shared" si="6"/>
        <v>0</v>
      </c>
      <c r="K108" s="104">
        <f t="shared" si="6"/>
        <v>0</v>
      </c>
      <c r="L108" s="104">
        <f t="shared" si="6"/>
        <v>0</v>
      </c>
      <c r="M108" s="104">
        <f t="shared" si="6"/>
        <v>0</v>
      </c>
      <c r="N108" s="18" t="s">
        <v>186</v>
      </c>
    </row>
    <row r="109" spans="1:14" x14ac:dyDescent="0.25">
      <c r="A109" s="187"/>
      <c r="B109" s="473" t="s">
        <v>67</v>
      </c>
      <c r="C109" s="468"/>
      <c r="D109" s="469"/>
      <c r="E109" s="175"/>
      <c r="F109" s="89">
        <f t="shared" si="6"/>
        <v>82500</v>
      </c>
      <c r="G109" s="89">
        <f t="shared" si="6"/>
        <v>82500</v>
      </c>
      <c r="H109" s="89">
        <f t="shared" si="6"/>
        <v>0</v>
      </c>
      <c r="I109" s="89">
        <f t="shared" si="6"/>
        <v>0</v>
      </c>
      <c r="J109" s="89">
        <f t="shared" si="6"/>
        <v>0</v>
      </c>
      <c r="K109" s="89">
        <f t="shared" si="6"/>
        <v>0</v>
      </c>
      <c r="L109" s="89">
        <f t="shared" si="6"/>
        <v>0</v>
      </c>
      <c r="M109" s="89">
        <f t="shared" si="6"/>
        <v>0</v>
      </c>
      <c r="N109" s="268"/>
    </row>
    <row r="110" spans="1:14" ht="63" x14ac:dyDescent="0.25">
      <c r="A110" s="185"/>
      <c r="B110" s="455"/>
      <c r="C110" s="455"/>
      <c r="D110" s="456"/>
      <c r="E110" s="175" t="s">
        <v>136</v>
      </c>
      <c r="F110" s="272">
        <v>82500</v>
      </c>
      <c r="G110" s="272">
        <v>82500</v>
      </c>
      <c r="H110" s="272">
        <v>0</v>
      </c>
      <c r="I110" s="272">
        <v>0</v>
      </c>
      <c r="J110" s="272">
        <v>0</v>
      </c>
      <c r="K110" s="272">
        <v>0</v>
      </c>
      <c r="L110" s="272">
        <v>0</v>
      </c>
      <c r="M110" s="272">
        <v>0</v>
      </c>
      <c r="N110" s="268"/>
    </row>
    <row r="111" spans="1:14" x14ac:dyDescent="0.25">
      <c r="A111" s="460" t="s">
        <v>88</v>
      </c>
      <c r="B111" s="461"/>
      <c r="C111" s="461"/>
      <c r="D111" s="462"/>
      <c r="E111" s="266"/>
      <c r="F111" s="273">
        <f t="shared" ref="F111:M111" si="7">SUM(F113,F116,F119,F122,F125,F128,F139)</f>
        <v>1033366.56</v>
      </c>
      <c r="G111" s="273">
        <f t="shared" si="7"/>
        <v>1101366.56</v>
      </c>
      <c r="H111" s="273">
        <f t="shared" si="7"/>
        <v>1101366.56</v>
      </c>
      <c r="I111" s="273">
        <f t="shared" si="7"/>
        <v>0</v>
      </c>
      <c r="J111" s="273">
        <f t="shared" si="7"/>
        <v>3070464</v>
      </c>
      <c r="K111" s="273">
        <f t="shared" si="7"/>
        <v>3313694</v>
      </c>
      <c r="L111" s="273">
        <f t="shared" si="7"/>
        <v>0</v>
      </c>
      <c r="M111" s="273">
        <f t="shared" si="7"/>
        <v>3460032</v>
      </c>
      <c r="N111" s="274"/>
    </row>
    <row r="112" spans="1:14" ht="355.5" customHeight="1" x14ac:dyDescent="0.25">
      <c r="A112" s="161"/>
      <c r="B112" s="163" t="s">
        <v>158</v>
      </c>
      <c r="C112" s="163" t="s">
        <v>159</v>
      </c>
      <c r="D112" s="163" t="s">
        <v>89</v>
      </c>
      <c r="E112" s="164"/>
      <c r="F112" s="275">
        <v>0</v>
      </c>
      <c r="G112" s="104">
        <f>G113</f>
        <v>68000</v>
      </c>
      <c r="H112" s="271">
        <f>H113</f>
        <v>68000</v>
      </c>
      <c r="I112" s="271">
        <f t="shared" ref="I112:M113" si="8">I113</f>
        <v>0</v>
      </c>
      <c r="J112" s="271">
        <f t="shared" si="8"/>
        <v>0</v>
      </c>
      <c r="K112" s="271">
        <f t="shared" si="8"/>
        <v>0</v>
      </c>
      <c r="L112" s="271">
        <f t="shared" si="8"/>
        <v>0</v>
      </c>
      <c r="M112" s="271">
        <f t="shared" si="8"/>
        <v>0</v>
      </c>
      <c r="N112" s="18" t="s">
        <v>70</v>
      </c>
    </row>
    <row r="113" spans="1:14" x14ac:dyDescent="0.25">
      <c r="A113" s="184"/>
      <c r="B113" s="467" t="s">
        <v>67</v>
      </c>
      <c r="C113" s="468"/>
      <c r="D113" s="469"/>
      <c r="E113" s="173"/>
      <c r="F113" s="89">
        <f>F114</f>
        <v>0</v>
      </c>
      <c r="G113" s="89">
        <f>G114</f>
        <v>68000</v>
      </c>
      <c r="H113" s="89">
        <f>H114</f>
        <v>68000</v>
      </c>
      <c r="I113" s="89">
        <f t="shared" si="8"/>
        <v>0</v>
      </c>
      <c r="J113" s="89">
        <f t="shared" si="8"/>
        <v>0</v>
      </c>
      <c r="K113" s="89">
        <f t="shared" si="8"/>
        <v>0</v>
      </c>
      <c r="L113" s="89">
        <f t="shared" si="8"/>
        <v>0</v>
      </c>
      <c r="M113" s="89">
        <f t="shared" si="8"/>
        <v>0</v>
      </c>
      <c r="N113" s="268"/>
    </row>
    <row r="114" spans="1:14" ht="63" x14ac:dyDescent="0.25">
      <c r="A114" s="185"/>
      <c r="B114" s="455"/>
      <c r="C114" s="455"/>
      <c r="D114" s="456"/>
      <c r="E114" s="175" t="s">
        <v>136</v>
      </c>
      <c r="F114" s="272">
        <v>0</v>
      </c>
      <c r="G114" s="272">
        <v>68000</v>
      </c>
      <c r="H114" s="272">
        <v>68000</v>
      </c>
      <c r="I114" s="272">
        <v>0</v>
      </c>
      <c r="J114" s="272">
        <v>0</v>
      </c>
      <c r="K114" s="272">
        <v>0</v>
      </c>
      <c r="L114" s="272">
        <v>0</v>
      </c>
      <c r="M114" s="272">
        <v>0</v>
      </c>
      <c r="N114" s="268"/>
    </row>
    <row r="115" spans="1:14" ht="192" customHeight="1" x14ac:dyDescent="0.25">
      <c r="A115" s="161"/>
      <c r="B115" s="162" t="s">
        <v>203</v>
      </c>
      <c r="C115" s="163" t="s">
        <v>204</v>
      </c>
      <c r="D115" s="163" t="s">
        <v>160</v>
      </c>
      <c r="E115" s="164"/>
      <c r="F115" s="104">
        <f>F116</f>
        <v>1027210</v>
      </c>
      <c r="G115" s="104">
        <f t="shared" ref="G115:M115" si="9">G116</f>
        <v>1027210</v>
      </c>
      <c r="H115" s="104">
        <f t="shared" si="9"/>
        <v>1027210</v>
      </c>
      <c r="I115" s="104">
        <f t="shared" si="9"/>
        <v>0</v>
      </c>
      <c r="J115" s="104">
        <f t="shared" si="9"/>
        <v>2052138</v>
      </c>
      <c r="K115" s="104">
        <f t="shared" si="9"/>
        <v>2052138</v>
      </c>
      <c r="L115" s="104">
        <f t="shared" si="9"/>
        <v>0</v>
      </c>
      <c r="M115" s="104">
        <f t="shared" si="9"/>
        <v>2052138</v>
      </c>
      <c r="N115" s="18"/>
    </row>
    <row r="116" spans="1:14" x14ac:dyDescent="0.25">
      <c r="A116" s="184"/>
      <c r="B116" s="467" t="s">
        <v>67</v>
      </c>
      <c r="C116" s="468"/>
      <c r="D116" s="469"/>
      <c r="E116" s="173"/>
      <c r="F116" s="103">
        <f>F117</f>
        <v>1027210</v>
      </c>
      <c r="G116" s="103">
        <f t="shared" ref="G116:M116" si="10">G117</f>
        <v>1027210</v>
      </c>
      <c r="H116" s="103">
        <f t="shared" si="10"/>
        <v>1027210</v>
      </c>
      <c r="I116" s="103">
        <f t="shared" si="10"/>
        <v>0</v>
      </c>
      <c r="J116" s="103">
        <f t="shared" si="10"/>
        <v>2052138</v>
      </c>
      <c r="K116" s="103">
        <f t="shared" si="10"/>
        <v>2052138</v>
      </c>
      <c r="L116" s="103">
        <f t="shared" si="10"/>
        <v>0</v>
      </c>
      <c r="M116" s="103">
        <f t="shared" si="10"/>
        <v>2052138</v>
      </c>
      <c r="N116" s="268"/>
    </row>
    <row r="117" spans="1:14" ht="63" x14ac:dyDescent="0.25">
      <c r="A117" s="185"/>
      <c r="B117" s="455"/>
      <c r="C117" s="455"/>
      <c r="D117" s="456"/>
      <c r="E117" s="175" t="s">
        <v>161</v>
      </c>
      <c r="F117" s="272">
        <v>1027210</v>
      </c>
      <c r="G117" s="272">
        <v>1027210</v>
      </c>
      <c r="H117" s="272">
        <v>1027210</v>
      </c>
      <c r="I117" s="272">
        <v>0</v>
      </c>
      <c r="J117" s="89">
        <v>2052138</v>
      </c>
      <c r="K117" s="89">
        <v>2052138</v>
      </c>
      <c r="L117" s="276">
        <v>0</v>
      </c>
      <c r="M117" s="89">
        <v>2052138</v>
      </c>
      <c r="N117" s="268"/>
    </row>
    <row r="118" spans="1:14" ht="248.25" customHeight="1" x14ac:dyDescent="0.25">
      <c r="A118" s="161"/>
      <c r="B118" s="162" t="s">
        <v>202</v>
      </c>
      <c r="C118" s="163" t="s">
        <v>90</v>
      </c>
      <c r="D118" s="163" t="s">
        <v>166</v>
      </c>
      <c r="E118" s="164"/>
      <c r="F118" s="104">
        <f>F119</f>
        <v>0</v>
      </c>
      <c r="G118" s="104">
        <f>G119</f>
        <v>0</v>
      </c>
      <c r="H118" s="104">
        <f>H119</f>
        <v>0</v>
      </c>
      <c r="I118" s="104">
        <f>I119</f>
        <v>0</v>
      </c>
      <c r="J118" s="104">
        <f t="shared" ref="J118:M118" si="11">J119</f>
        <v>25728</v>
      </c>
      <c r="K118" s="104">
        <f t="shared" si="11"/>
        <v>25728</v>
      </c>
      <c r="L118" s="104">
        <f>L119</f>
        <v>0</v>
      </c>
      <c r="M118" s="104">
        <f t="shared" si="11"/>
        <v>25728</v>
      </c>
      <c r="N118" s="18"/>
    </row>
    <row r="119" spans="1:14" x14ac:dyDescent="0.25">
      <c r="A119" s="184"/>
      <c r="B119" s="467" t="s">
        <v>67</v>
      </c>
      <c r="C119" s="468"/>
      <c r="D119" s="469"/>
      <c r="E119" s="173"/>
      <c r="F119" s="103">
        <f t="shared" ref="F119:G119" si="12">F120</f>
        <v>0</v>
      </c>
      <c r="G119" s="103">
        <f t="shared" si="12"/>
        <v>0</v>
      </c>
      <c r="H119" s="103">
        <f t="shared" ref="H119:M119" si="13">H120</f>
        <v>0</v>
      </c>
      <c r="I119" s="103">
        <f t="shared" si="13"/>
        <v>0</v>
      </c>
      <c r="J119" s="103">
        <f t="shared" si="13"/>
        <v>25728</v>
      </c>
      <c r="K119" s="103">
        <f t="shared" si="13"/>
        <v>25728</v>
      </c>
      <c r="L119" s="103">
        <f t="shared" si="13"/>
        <v>0</v>
      </c>
      <c r="M119" s="103">
        <f t="shared" si="13"/>
        <v>25728</v>
      </c>
      <c r="N119" s="268"/>
    </row>
    <row r="120" spans="1:14" ht="63" x14ac:dyDescent="0.25">
      <c r="A120" s="185"/>
      <c r="B120" s="455"/>
      <c r="C120" s="455"/>
      <c r="D120" s="456"/>
      <c r="E120" s="175" t="s">
        <v>161</v>
      </c>
      <c r="F120" s="272">
        <v>0</v>
      </c>
      <c r="G120" s="272">
        <v>0</v>
      </c>
      <c r="H120" s="272">
        <v>0</v>
      </c>
      <c r="I120" s="272">
        <v>0</v>
      </c>
      <c r="J120" s="272">
        <v>25728</v>
      </c>
      <c r="K120" s="272">
        <v>25728</v>
      </c>
      <c r="L120" s="272">
        <v>0</v>
      </c>
      <c r="M120" s="272">
        <v>25728</v>
      </c>
      <c r="N120" s="268"/>
    </row>
    <row r="121" spans="1:14" ht="359.25" customHeight="1" x14ac:dyDescent="0.25">
      <c r="A121" s="161"/>
      <c r="B121" s="162" t="s">
        <v>91</v>
      </c>
      <c r="C121" s="176" t="s">
        <v>390</v>
      </c>
      <c r="D121" s="163" t="s">
        <v>162</v>
      </c>
      <c r="E121" s="164"/>
      <c r="F121" s="104">
        <f t="shared" ref="F121:I122" si="14">F122</f>
        <v>0</v>
      </c>
      <c r="G121" s="104">
        <f t="shared" si="14"/>
        <v>0</v>
      </c>
      <c r="H121" s="104">
        <f t="shared" si="14"/>
        <v>0</v>
      </c>
      <c r="I121" s="104">
        <f t="shared" si="14"/>
        <v>0</v>
      </c>
      <c r="J121" s="104">
        <f t="shared" ref="J121:M122" si="15">J122</f>
        <v>270588</v>
      </c>
      <c r="K121" s="104">
        <f t="shared" si="15"/>
        <v>215880</v>
      </c>
      <c r="L121" s="104">
        <f t="shared" si="15"/>
        <v>0</v>
      </c>
      <c r="M121" s="104">
        <f t="shared" si="15"/>
        <v>215880</v>
      </c>
      <c r="N121" s="18"/>
    </row>
    <row r="122" spans="1:14" x14ac:dyDescent="0.25">
      <c r="A122" s="184"/>
      <c r="B122" s="467" t="s">
        <v>67</v>
      </c>
      <c r="C122" s="468"/>
      <c r="D122" s="469"/>
      <c r="E122" s="173"/>
      <c r="F122" s="103">
        <f t="shared" si="14"/>
        <v>0</v>
      </c>
      <c r="G122" s="103">
        <f t="shared" si="14"/>
        <v>0</v>
      </c>
      <c r="H122" s="103">
        <f t="shared" si="14"/>
        <v>0</v>
      </c>
      <c r="I122" s="103">
        <f t="shared" si="14"/>
        <v>0</v>
      </c>
      <c r="J122" s="103">
        <f t="shared" ref="J122:M122" si="16">J123</f>
        <v>270588</v>
      </c>
      <c r="K122" s="103">
        <f t="shared" si="16"/>
        <v>215880</v>
      </c>
      <c r="L122" s="103">
        <f t="shared" si="15"/>
        <v>0</v>
      </c>
      <c r="M122" s="103">
        <f t="shared" si="16"/>
        <v>215880</v>
      </c>
      <c r="N122" s="268"/>
    </row>
    <row r="123" spans="1:14" ht="63" x14ac:dyDescent="0.25">
      <c r="A123" s="185"/>
      <c r="B123" s="455"/>
      <c r="C123" s="455"/>
      <c r="D123" s="456"/>
      <c r="E123" s="175" t="s">
        <v>161</v>
      </c>
      <c r="F123" s="272">
        <v>0</v>
      </c>
      <c r="G123" s="272">
        <v>0</v>
      </c>
      <c r="H123" s="272">
        <v>0</v>
      </c>
      <c r="I123" s="272">
        <v>0</v>
      </c>
      <c r="J123" s="272">
        <v>270588</v>
      </c>
      <c r="K123" s="272">
        <v>215880</v>
      </c>
      <c r="L123" s="272">
        <v>0</v>
      </c>
      <c r="M123" s="272">
        <v>215880</v>
      </c>
      <c r="N123" s="268"/>
    </row>
    <row r="124" spans="1:14" ht="180" customHeight="1" x14ac:dyDescent="0.25">
      <c r="A124" s="161"/>
      <c r="B124" s="162" t="s">
        <v>92</v>
      </c>
      <c r="C124" s="163" t="s">
        <v>93</v>
      </c>
      <c r="D124" s="163" t="s">
        <v>163</v>
      </c>
      <c r="E124" s="164"/>
      <c r="F124" s="104">
        <f t="shared" ref="F124:I124" si="17">F125</f>
        <v>0</v>
      </c>
      <c r="G124" s="104">
        <f t="shared" si="17"/>
        <v>0</v>
      </c>
      <c r="H124" s="104">
        <f t="shared" si="17"/>
        <v>0</v>
      </c>
      <c r="I124" s="104">
        <f t="shared" si="17"/>
        <v>0</v>
      </c>
      <c r="J124" s="104">
        <f t="shared" ref="J124:M124" si="18">J125</f>
        <v>221551</v>
      </c>
      <c r="K124" s="104">
        <f t="shared" si="18"/>
        <v>221551</v>
      </c>
      <c r="L124" s="104">
        <f t="shared" si="18"/>
        <v>0</v>
      </c>
      <c r="M124" s="104">
        <f t="shared" si="18"/>
        <v>221551</v>
      </c>
      <c r="N124" s="18"/>
    </row>
    <row r="125" spans="1:14" x14ac:dyDescent="0.25">
      <c r="A125" s="184"/>
      <c r="B125" s="467" t="s">
        <v>67</v>
      </c>
      <c r="C125" s="468"/>
      <c r="D125" s="469"/>
      <c r="E125" s="173"/>
      <c r="F125" s="103">
        <f t="shared" ref="F125:I125" si="19">F126</f>
        <v>0</v>
      </c>
      <c r="G125" s="103">
        <f t="shared" si="19"/>
        <v>0</v>
      </c>
      <c r="H125" s="103">
        <f t="shared" si="19"/>
        <v>0</v>
      </c>
      <c r="I125" s="103">
        <f t="shared" si="19"/>
        <v>0</v>
      </c>
      <c r="J125" s="103">
        <f t="shared" ref="J125:M125" si="20">J126</f>
        <v>221551</v>
      </c>
      <c r="K125" s="103">
        <f t="shared" si="20"/>
        <v>221551</v>
      </c>
      <c r="L125" s="103">
        <f t="shared" si="20"/>
        <v>0</v>
      </c>
      <c r="M125" s="103">
        <f t="shared" si="20"/>
        <v>221551</v>
      </c>
      <c r="N125" s="268"/>
    </row>
    <row r="126" spans="1:14" ht="63" x14ac:dyDescent="0.25">
      <c r="A126" s="185"/>
      <c r="B126" s="455"/>
      <c r="C126" s="455"/>
      <c r="D126" s="456"/>
      <c r="E126" s="175" t="s">
        <v>161</v>
      </c>
      <c r="F126" s="272">
        <v>0</v>
      </c>
      <c r="G126" s="272">
        <v>0</v>
      </c>
      <c r="H126" s="272">
        <v>0</v>
      </c>
      <c r="I126" s="272">
        <v>0</v>
      </c>
      <c r="J126" s="276">
        <v>221551</v>
      </c>
      <c r="K126" s="276">
        <v>221551</v>
      </c>
      <c r="L126" s="272">
        <v>0</v>
      </c>
      <c r="M126" s="276">
        <v>221551</v>
      </c>
      <c r="N126" s="268"/>
    </row>
    <row r="127" spans="1:14" ht="151.5" customHeight="1" x14ac:dyDescent="0.25">
      <c r="A127" s="161"/>
      <c r="B127" s="162" t="s">
        <v>94</v>
      </c>
      <c r="C127" s="163" t="s">
        <v>95</v>
      </c>
      <c r="D127" s="163" t="s">
        <v>245</v>
      </c>
      <c r="E127" s="164"/>
      <c r="F127" s="104">
        <f t="shared" ref="F127:I127" si="21">F128</f>
        <v>0</v>
      </c>
      <c r="G127" s="104">
        <f t="shared" si="21"/>
        <v>0</v>
      </c>
      <c r="H127" s="104">
        <f t="shared" si="21"/>
        <v>0</v>
      </c>
      <c r="I127" s="104">
        <f t="shared" si="21"/>
        <v>0</v>
      </c>
      <c r="J127" s="104">
        <f t="shared" ref="J127:M127" si="22">J128</f>
        <v>434759</v>
      </c>
      <c r="K127" s="104">
        <f t="shared" si="22"/>
        <v>434759</v>
      </c>
      <c r="L127" s="104">
        <f t="shared" si="22"/>
        <v>0</v>
      </c>
      <c r="M127" s="104">
        <f t="shared" si="22"/>
        <v>434759</v>
      </c>
      <c r="N127" s="18"/>
    </row>
    <row r="128" spans="1:14" x14ac:dyDescent="0.25">
      <c r="A128" s="184"/>
      <c r="B128" s="467" t="s">
        <v>67</v>
      </c>
      <c r="C128" s="468"/>
      <c r="D128" s="469"/>
      <c r="E128" s="173"/>
      <c r="F128" s="103">
        <f t="shared" ref="F128:I128" si="23">SUM(F129:F131)</f>
        <v>0</v>
      </c>
      <c r="G128" s="103">
        <f t="shared" si="23"/>
        <v>0</v>
      </c>
      <c r="H128" s="103">
        <f t="shared" si="23"/>
        <v>0</v>
      </c>
      <c r="I128" s="103">
        <f t="shared" si="23"/>
        <v>0</v>
      </c>
      <c r="J128" s="103">
        <f t="shared" ref="J128:M128" si="24">SUM(J129:J131)</f>
        <v>434759</v>
      </c>
      <c r="K128" s="103">
        <f t="shared" si="24"/>
        <v>434759</v>
      </c>
      <c r="L128" s="103">
        <f t="shared" ref="L128" si="25">SUM(L129:L131)</f>
        <v>0</v>
      </c>
      <c r="M128" s="103">
        <f t="shared" si="24"/>
        <v>434759</v>
      </c>
      <c r="N128" s="268"/>
    </row>
    <row r="129" spans="1:16" ht="63" x14ac:dyDescent="0.25">
      <c r="A129" s="185"/>
      <c r="B129" s="455"/>
      <c r="C129" s="455"/>
      <c r="D129" s="456"/>
      <c r="E129" s="175" t="s">
        <v>161</v>
      </c>
      <c r="F129" s="272">
        <v>0</v>
      </c>
      <c r="G129" s="272">
        <v>0</v>
      </c>
      <c r="H129" s="272">
        <v>0</v>
      </c>
      <c r="I129" s="272">
        <v>0</v>
      </c>
      <c r="J129" s="272">
        <v>239840</v>
      </c>
      <c r="K129" s="272">
        <v>239840</v>
      </c>
      <c r="L129" s="272">
        <v>0</v>
      </c>
      <c r="M129" s="272">
        <v>239840</v>
      </c>
      <c r="N129" s="268"/>
    </row>
    <row r="130" spans="1:16" ht="63" x14ac:dyDescent="0.25">
      <c r="A130" s="185"/>
      <c r="B130" s="247"/>
      <c r="C130" s="247"/>
      <c r="D130" s="248"/>
      <c r="E130" s="175" t="s">
        <v>191</v>
      </c>
      <c r="F130" s="272">
        <v>0</v>
      </c>
      <c r="G130" s="272">
        <v>0</v>
      </c>
      <c r="H130" s="272">
        <v>0</v>
      </c>
      <c r="I130" s="272">
        <v>0</v>
      </c>
      <c r="J130" s="272">
        <v>155763</v>
      </c>
      <c r="K130" s="272">
        <v>155763</v>
      </c>
      <c r="L130" s="272">
        <v>0</v>
      </c>
      <c r="M130" s="272">
        <v>155763</v>
      </c>
      <c r="N130" s="268"/>
    </row>
    <row r="131" spans="1:16" ht="63" x14ac:dyDescent="0.25">
      <c r="A131" s="185"/>
      <c r="B131" s="455"/>
      <c r="C131" s="455"/>
      <c r="D131" s="456"/>
      <c r="E131" s="175" t="s">
        <v>164</v>
      </c>
      <c r="F131" s="272">
        <v>0</v>
      </c>
      <c r="G131" s="272">
        <v>0</v>
      </c>
      <c r="H131" s="272">
        <v>0</v>
      </c>
      <c r="I131" s="272">
        <v>0</v>
      </c>
      <c r="J131" s="272">
        <v>39156</v>
      </c>
      <c r="K131" s="272">
        <v>39156</v>
      </c>
      <c r="L131" s="272">
        <v>0</v>
      </c>
      <c r="M131" s="272">
        <v>39156</v>
      </c>
      <c r="N131" s="268"/>
    </row>
    <row r="132" spans="1:16" ht="120.75" customHeight="1" x14ac:dyDescent="0.25">
      <c r="A132" s="161"/>
      <c r="B132" s="162" t="s">
        <v>96</v>
      </c>
      <c r="C132" s="163" t="s">
        <v>99</v>
      </c>
      <c r="D132" s="163" t="s">
        <v>100</v>
      </c>
      <c r="E132" s="164"/>
      <c r="F132" s="163"/>
      <c r="G132" s="163"/>
      <c r="H132" s="165"/>
      <c r="I132" s="166"/>
      <c r="J132" s="167"/>
      <c r="K132" s="166"/>
      <c r="L132" s="166"/>
      <c r="M132" s="166"/>
      <c r="N132" s="168"/>
    </row>
    <row r="133" spans="1:16" x14ac:dyDescent="0.25">
      <c r="A133" s="184"/>
      <c r="B133" s="467" t="s">
        <v>67</v>
      </c>
      <c r="C133" s="468"/>
      <c r="D133" s="469"/>
      <c r="E133" s="173"/>
      <c r="F133" s="175"/>
      <c r="G133" s="175"/>
      <c r="H133" s="175"/>
      <c r="I133" s="89"/>
      <c r="J133" s="89"/>
      <c r="K133" s="89"/>
      <c r="L133" s="89"/>
      <c r="M133" s="89"/>
      <c r="N133" s="268"/>
    </row>
    <row r="134" spans="1:16" x14ac:dyDescent="0.25">
      <c r="A134" s="173"/>
      <c r="B134" s="252"/>
      <c r="C134" s="253"/>
      <c r="D134" s="254"/>
      <c r="E134" s="175" t="s">
        <v>294</v>
      </c>
      <c r="F134" s="173"/>
      <c r="G134" s="173"/>
      <c r="H134" s="173"/>
      <c r="I134" s="89"/>
      <c r="J134" s="89"/>
      <c r="K134" s="89"/>
      <c r="L134" s="89"/>
      <c r="M134" s="89"/>
      <c r="N134" s="268"/>
    </row>
    <row r="135" spans="1:16" ht="270" customHeight="1" x14ac:dyDescent="0.25">
      <c r="A135" s="161"/>
      <c r="B135" s="162" t="s">
        <v>97</v>
      </c>
      <c r="C135" s="163" t="s">
        <v>98</v>
      </c>
      <c r="D135" s="163" t="s">
        <v>167</v>
      </c>
      <c r="E135" s="164"/>
      <c r="F135" s="163"/>
      <c r="G135" s="163"/>
      <c r="H135" s="165"/>
      <c r="I135" s="166"/>
      <c r="J135" s="167"/>
      <c r="K135" s="166"/>
      <c r="L135" s="166"/>
      <c r="M135" s="166"/>
      <c r="N135" s="168"/>
    </row>
    <row r="136" spans="1:16" x14ac:dyDescent="0.25">
      <c r="A136" s="184"/>
      <c r="B136" s="467" t="s">
        <v>67</v>
      </c>
      <c r="C136" s="468"/>
      <c r="D136" s="469"/>
      <c r="E136" s="173"/>
      <c r="F136" s="175"/>
      <c r="G136" s="175"/>
      <c r="H136" s="175"/>
      <c r="I136" s="89"/>
      <c r="J136" s="89"/>
      <c r="K136" s="89"/>
      <c r="L136" s="89"/>
      <c r="M136" s="89"/>
      <c r="N136" s="268"/>
    </row>
    <row r="137" spans="1:16" x14ac:dyDescent="0.25">
      <c r="A137" s="173"/>
      <c r="B137" s="252"/>
      <c r="C137" s="253"/>
      <c r="D137" s="254"/>
      <c r="E137" s="175" t="s">
        <v>294</v>
      </c>
      <c r="F137" s="173"/>
      <c r="G137" s="173"/>
      <c r="H137" s="173"/>
      <c r="I137" s="89"/>
      <c r="J137" s="89"/>
      <c r="K137" s="89"/>
      <c r="L137" s="89"/>
      <c r="M137" s="89"/>
      <c r="N137" s="268"/>
    </row>
    <row r="138" spans="1:16" ht="80.25" customHeight="1" x14ac:dyDescent="0.25">
      <c r="A138" s="161"/>
      <c r="B138" s="162" t="s">
        <v>101</v>
      </c>
      <c r="C138" s="163" t="s">
        <v>102</v>
      </c>
      <c r="D138" s="163" t="s">
        <v>103</v>
      </c>
      <c r="E138" s="164"/>
      <c r="F138" s="104">
        <f t="shared" ref="F138:J138" si="26">F139</f>
        <v>6156.5599999999995</v>
      </c>
      <c r="G138" s="104">
        <f t="shared" si="26"/>
        <v>6156.5599999999995</v>
      </c>
      <c r="H138" s="104">
        <f t="shared" si="26"/>
        <v>6156.5599999999995</v>
      </c>
      <c r="I138" s="104">
        <f t="shared" si="26"/>
        <v>0</v>
      </c>
      <c r="J138" s="104">
        <f t="shared" si="26"/>
        <v>65700</v>
      </c>
      <c r="K138" s="104">
        <f t="shared" ref="K138:L138" si="27">K139</f>
        <v>363638</v>
      </c>
      <c r="L138" s="104">
        <f t="shared" si="27"/>
        <v>0</v>
      </c>
      <c r="M138" s="104">
        <f>M139</f>
        <v>509976</v>
      </c>
      <c r="N138" s="18"/>
    </row>
    <row r="139" spans="1:16" x14ac:dyDescent="0.25">
      <c r="A139" s="184"/>
      <c r="B139" s="467" t="s">
        <v>67</v>
      </c>
      <c r="C139" s="468"/>
      <c r="D139" s="469"/>
      <c r="E139" s="173"/>
      <c r="F139" s="103">
        <f t="shared" ref="F139:J139" si="28">SUM(F140:F142)</f>
        <v>6156.5599999999995</v>
      </c>
      <c r="G139" s="103">
        <f t="shared" si="28"/>
        <v>6156.5599999999995</v>
      </c>
      <c r="H139" s="103">
        <f t="shared" si="28"/>
        <v>6156.5599999999995</v>
      </c>
      <c r="I139" s="103">
        <f t="shared" si="28"/>
        <v>0</v>
      </c>
      <c r="J139" s="103">
        <f t="shared" si="28"/>
        <v>65700</v>
      </c>
      <c r="K139" s="103">
        <f>SUM(K140:K142)</f>
        <v>363638</v>
      </c>
      <c r="L139" s="103">
        <f>SUM(L140:L142)</f>
        <v>0</v>
      </c>
      <c r="M139" s="103">
        <f>SUM(M140:M142)</f>
        <v>509976</v>
      </c>
      <c r="N139" s="268"/>
    </row>
    <row r="140" spans="1:16" ht="81" customHeight="1" x14ac:dyDescent="0.25">
      <c r="A140" s="185"/>
      <c r="B140" s="455"/>
      <c r="C140" s="455"/>
      <c r="D140" s="456"/>
      <c r="E140" s="175" t="s">
        <v>187</v>
      </c>
      <c r="F140" s="272">
        <v>0</v>
      </c>
      <c r="G140" s="272">
        <v>0</v>
      </c>
      <c r="H140" s="272">
        <v>0</v>
      </c>
      <c r="I140" s="272">
        <v>0</v>
      </c>
      <c r="J140" s="272">
        <v>0</v>
      </c>
      <c r="K140" s="272">
        <v>7756</v>
      </c>
      <c r="L140" s="272">
        <v>0</v>
      </c>
      <c r="M140" s="272">
        <v>15512</v>
      </c>
      <c r="N140" s="268"/>
      <c r="O140" s="369"/>
      <c r="P140" s="369"/>
    </row>
    <row r="141" spans="1:16" ht="47.25" x14ac:dyDescent="0.25">
      <c r="A141" s="277"/>
      <c r="B141" s="247"/>
      <c r="C141" s="247"/>
      <c r="D141" s="248"/>
      <c r="E141" s="175" t="s">
        <v>207</v>
      </c>
      <c r="F141" s="272">
        <v>6156.5599999999995</v>
      </c>
      <c r="G141" s="272">
        <v>6156.5599999999995</v>
      </c>
      <c r="H141" s="272">
        <v>6156.5599999999995</v>
      </c>
      <c r="I141" s="272">
        <v>0</v>
      </c>
      <c r="J141" s="272">
        <v>65700</v>
      </c>
      <c r="K141" s="272">
        <v>65700</v>
      </c>
      <c r="L141" s="272">
        <v>0</v>
      </c>
      <c r="M141" s="272">
        <v>65700</v>
      </c>
      <c r="N141" s="278"/>
      <c r="O141" s="369"/>
      <c r="P141" s="369"/>
    </row>
    <row r="142" spans="1:16" ht="57" customHeight="1" x14ac:dyDescent="0.25">
      <c r="A142" s="277"/>
      <c r="B142" s="247"/>
      <c r="C142" s="247"/>
      <c r="D142" s="248"/>
      <c r="E142" s="175" t="s">
        <v>208</v>
      </c>
      <c r="F142" s="272">
        <v>0</v>
      </c>
      <c r="G142" s="272">
        <v>0</v>
      </c>
      <c r="H142" s="272">
        <v>0</v>
      </c>
      <c r="I142" s="272">
        <v>0</v>
      </c>
      <c r="J142" s="272">
        <v>0</v>
      </c>
      <c r="K142" s="272">
        <v>290182</v>
      </c>
      <c r="L142" s="272">
        <v>0</v>
      </c>
      <c r="M142" s="272">
        <v>428764</v>
      </c>
      <c r="N142" s="268"/>
      <c r="O142" s="369"/>
      <c r="P142" s="369"/>
    </row>
    <row r="143" spans="1:16" ht="225.75" customHeight="1" x14ac:dyDescent="0.25">
      <c r="A143" s="161"/>
      <c r="B143" s="162" t="s">
        <v>290</v>
      </c>
      <c r="C143" s="163" t="s">
        <v>104</v>
      </c>
      <c r="D143" s="163" t="s">
        <v>165</v>
      </c>
      <c r="E143" s="164"/>
      <c r="F143" s="163"/>
      <c r="G143" s="163"/>
      <c r="H143" s="165"/>
      <c r="I143" s="166"/>
      <c r="J143" s="167"/>
      <c r="K143" s="166"/>
      <c r="L143" s="166"/>
      <c r="M143" s="166"/>
      <c r="N143" s="168"/>
    </row>
    <row r="144" spans="1:16" x14ac:dyDescent="0.25">
      <c r="A144" s="279"/>
      <c r="B144" s="532" t="s">
        <v>172</v>
      </c>
      <c r="C144" s="533"/>
      <c r="D144" s="534"/>
      <c r="E144" s="280"/>
      <c r="F144" s="194"/>
      <c r="G144" s="194"/>
      <c r="H144" s="194"/>
      <c r="I144" s="281"/>
      <c r="J144" s="281"/>
      <c r="K144" s="281"/>
      <c r="L144" s="281"/>
      <c r="M144" s="281"/>
      <c r="N144" s="282"/>
    </row>
    <row r="145" spans="1:14" ht="78.75" customHeight="1" x14ac:dyDescent="0.25">
      <c r="A145" s="279"/>
      <c r="B145" s="532"/>
      <c r="C145" s="533"/>
      <c r="D145" s="534"/>
      <c r="E145" s="194" t="s">
        <v>373</v>
      </c>
      <c r="F145" s="194"/>
      <c r="G145" s="194"/>
      <c r="H145" s="194"/>
      <c r="I145" s="281"/>
      <c r="J145" s="281"/>
      <c r="K145" s="281"/>
      <c r="L145" s="281"/>
      <c r="M145" s="281"/>
      <c r="N145" s="282"/>
    </row>
    <row r="146" spans="1:14" ht="99" customHeight="1" x14ac:dyDescent="0.25">
      <c r="A146" s="161"/>
      <c r="B146" s="162" t="s">
        <v>105</v>
      </c>
      <c r="C146" s="163" t="s">
        <v>168</v>
      </c>
      <c r="D146" s="163" t="s">
        <v>106</v>
      </c>
      <c r="E146" s="164"/>
      <c r="F146" s="163"/>
      <c r="G146" s="163"/>
      <c r="H146" s="165"/>
      <c r="I146" s="166"/>
      <c r="J146" s="167"/>
      <c r="K146" s="166"/>
      <c r="L146" s="166"/>
      <c r="M146" s="166"/>
      <c r="N146" s="168"/>
    </row>
    <row r="147" spans="1:14" x14ac:dyDescent="0.25">
      <c r="A147" s="184"/>
      <c r="B147" s="467" t="s">
        <v>67</v>
      </c>
      <c r="C147" s="468"/>
      <c r="D147" s="469"/>
      <c r="E147" s="173"/>
      <c r="F147" s="175"/>
      <c r="G147" s="175"/>
      <c r="H147" s="175"/>
      <c r="I147" s="89"/>
      <c r="J147" s="89"/>
      <c r="K147" s="89"/>
      <c r="L147" s="89"/>
      <c r="M147" s="89"/>
      <c r="N147" s="268"/>
    </row>
    <row r="148" spans="1:14" x14ac:dyDescent="0.25">
      <c r="A148" s="173"/>
      <c r="B148" s="252"/>
      <c r="C148" s="253"/>
      <c r="D148" s="254"/>
      <c r="E148" s="175" t="s">
        <v>294</v>
      </c>
      <c r="F148" s="173"/>
      <c r="G148" s="173"/>
      <c r="H148" s="173"/>
      <c r="I148" s="89"/>
      <c r="J148" s="89"/>
      <c r="K148" s="89"/>
      <c r="L148" s="89"/>
      <c r="M148" s="89"/>
      <c r="N148" s="268"/>
    </row>
    <row r="149" spans="1:14" ht="49.5" customHeight="1" x14ac:dyDescent="0.25">
      <c r="A149" s="161"/>
      <c r="B149" s="162" t="s">
        <v>364</v>
      </c>
      <c r="C149" s="163" t="s">
        <v>372</v>
      </c>
      <c r="D149" s="163" t="s">
        <v>363</v>
      </c>
      <c r="E149" s="164"/>
      <c r="F149" s="163"/>
      <c r="G149" s="163"/>
      <c r="H149" s="165"/>
      <c r="I149" s="166"/>
      <c r="J149" s="167"/>
      <c r="K149" s="166"/>
      <c r="L149" s="166"/>
      <c r="M149" s="166"/>
      <c r="N149" s="168"/>
    </row>
    <row r="150" spans="1:14" ht="18.600000000000001" customHeight="1" x14ac:dyDescent="0.25">
      <c r="A150" s="182"/>
      <c r="B150" s="477" t="s">
        <v>231</v>
      </c>
      <c r="C150" s="478"/>
      <c r="D150" s="479"/>
      <c r="E150" s="193"/>
      <c r="F150" s="182"/>
      <c r="G150" s="182"/>
      <c r="H150" s="182"/>
      <c r="I150" s="283"/>
      <c r="J150" s="283"/>
      <c r="K150" s="283"/>
      <c r="L150" s="283"/>
      <c r="M150" s="283"/>
      <c r="N150" s="284"/>
    </row>
    <row r="151" spans="1:14" x14ac:dyDescent="0.25">
      <c r="A151" s="182"/>
      <c r="B151" s="260"/>
      <c r="C151" s="261"/>
      <c r="D151" s="262"/>
      <c r="E151" s="193" t="s">
        <v>294</v>
      </c>
      <c r="F151" s="182"/>
      <c r="G151" s="182"/>
      <c r="H151" s="182"/>
      <c r="I151" s="283"/>
      <c r="J151" s="283"/>
      <c r="K151" s="283"/>
      <c r="L151" s="283"/>
      <c r="M151" s="283"/>
      <c r="N151" s="284"/>
    </row>
    <row r="152" spans="1:14" x14ac:dyDescent="0.25">
      <c r="A152" s="184"/>
      <c r="B152" s="467" t="s">
        <v>67</v>
      </c>
      <c r="C152" s="468"/>
      <c r="D152" s="469"/>
      <c r="E152" s="173"/>
      <c r="F152" s="175"/>
      <c r="G152" s="175"/>
      <c r="H152" s="175"/>
      <c r="I152" s="89"/>
      <c r="J152" s="89"/>
      <c r="K152" s="89"/>
      <c r="L152" s="89"/>
      <c r="M152" s="89"/>
      <c r="N152" s="268"/>
    </row>
    <row r="153" spans="1:14" x14ac:dyDescent="0.25">
      <c r="A153" s="173"/>
      <c r="B153" s="252"/>
      <c r="C153" s="253"/>
      <c r="D153" s="254"/>
      <c r="E153" s="175" t="s">
        <v>294</v>
      </c>
      <c r="F153" s="173"/>
      <c r="G153" s="173"/>
      <c r="H153" s="173"/>
      <c r="I153" s="89"/>
      <c r="J153" s="89"/>
      <c r="K153" s="89"/>
      <c r="L153" s="89"/>
      <c r="M153" s="89"/>
      <c r="N153" s="268"/>
    </row>
  </sheetData>
  <mergeCells count="94">
    <mergeCell ref="B152:D152"/>
    <mergeCell ref="B147:D147"/>
    <mergeCell ref="B117:D117"/>
    <mergeCell ref="B100:D100"/>
    <mergeCell ref="B145:D145"/>
    <mergeCell ref="B144:D144"/>
    <mergeCell ref="B114:D114"/>
    <mergeCell ref="B128:D128"/>
    <mergeCell ref="B133:D133"/>
    <mergeCell ref="B136:D136"/>
    <mergeCell ref="B139:D139"/>
    <mergeCell ref="B110:D110"/>
    <mergeCell ref="B113:D113"/>
    <mergeCell ref="B120:D120"/>
    <mergeCell ref="B123:D123"/>
    <mergeCell ref="A72:D72"/>
    <mergeCell ref="B77:D77"/>
    <mergeCell ref="B80:D80"/>
    <mergeCell ref="B83:D83"/>
    <mergeCell ref="B150:D150"/>
    <mergeCell ref="B140:D140"/>
    <mergeCell ref="B126:D126"/>
    <mergeCell ref="B129:D129"/>
    <mergeCell ref="B131:D131"/>
    <mergeCell ref="B109:D109"/>
    <mergeCell ref="A111:D111"/>
    <mergeCell ref="B103:D103"/>
    <mergeCell ref="B116:D116"/>
    <mergeCell ref="B74:D74"/>
    <mergeCell ref="B89:D89"/>
    <mergeCell ref="A1:N1"/>
    <mergeCell ref="B6:D6"/>
    <mergeCell ref="B53:D53"/>
    <mergeCell ref="B24:D24"/>
    <mergeCell ref="B25:D25"/>
    <mergeCell ref="B27:D27"/>
    <mergeCell ref="B30:D30"/>
    <mergeCell ref="B33:D33"/>
    <mergeCell ref="B47:D47"/>
    <mergeCell ref="B50:D50"/>
    <mergeCell ref="B38:D38"/>
    <mergeCell ref="B41:D41"/>
    <mergeCell ref="B48:D48"/>
    <mergeCell ref="B10:D10"/>
    <mergeCell ref="B12:D12"/>
    <mergeCell ref="N3:N5"/>
    <mergeCell ref="B8:D8"/>
    <mergeCell ref="B9:D9"/>
    <mergeCell ref="B11:D11"/>
    <mergeCell ref="B16:D16"/>
    <mergeCell ref="B3:D5"/>
    <mergeCell ref="E3:E5"/>
    <mergeCell ref="F3:H3"/>
    <mergeCell ref="B18:D18"/>
    <mergeCell ref="L4:L5"/>
    <mergeCell ref="I3:M3"/>
    <mergeCell ref="M4:M5"/>
    <mergeCell ref="G4:G5"/>
    <mergeCell ref="B15:D15"/>
    <mergeCell ref="B17:D17"/>
    <mergeCell ref="F4:F5"/>
    <mergeCell ref="H4:H5"/>
    <mergeCell ref="I4:I5"/>
    <mergeCell ref="J4:J5"/>
    <mergeCell ref="K4:K5"/>
    <mergeCell ref="B7:D7"/>
    <mergeCell ref="B14:D14"/>
    <mergeCell ref="B55:D55"/>
    <mergeCell ref="B57:D57"/>
    <mergeCell ref="B62:D62"/>
    <mergeCell ref="B36:D36"/>
    <mergeCell ref="B44:D44"/>
    <mergeCell ref="B51:D51"/>
    <mergeCell ref="A3:A5"/>
    <mergeCell ref="B125:D125"/>
    <mergeCell ref="B119:D119"/>
    <mergeCell ref="B122:D122"/>
    <mergeCell ref="B91:D91"/>
    <mergeCell ref="B101:D101"/>
    <mergeCell ref="B106:D106"/>
    <mergeCell ref="B107:D107"/>
    <mergeCell ref="A93:D93"/>
    <mergeCell ref="B95:D95"/>
    <mergeCell ref="B98:D98"/>
    <mergeCell ref="B92:D92"/>
    <mergeCell ref="B86:D86"/>
    <mergeCell ref="B31:D31"/>
    <mergeCell ref="B34:D34"/>
    <mergeCell ref="B37:D37"/>
    <mergeCell ref="B20:D20"/>
    <mergeCell ref="B28:D28"/>
    <mergeCell ref="B21:D21"/>
    <mergeCell ref="A22:D22"/>
    <mergeCell ref="B42:D42"/>
  </mergeCells>
  <pageMargins left="0.39370078740157483" right="0.39370078740157483" top="0.39370078740157483" bottom="0.39370078740157483" header="0.31496062992125984" footer="0.31496062992125984"/>
  <pageSetup paperSize="9" scale="57" fitToHeight="0" orientation="landscape" blackAndWhite="1" r:id="rId1"/>
  <rowBreaks count="3" manualBreakCount="3">
    <brk id="71" max="13" man="1"/>
    <brk id="96" max="13" man="1"/>
    <brk id="118"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3"/>
  <sheetViews>
    <sheetView showGridLines="0" view="pageLayout" topLeftCell="A37" zoomScaleNormal="80" workbookViewId="0">
      <selection activeCell="C65" sqref="C65"/>
    </sheetView>
  </sheetViews>
  <sheetFormatPr defaultColWidth="9.140625" defaultRowHeight="15" x14ac:dyDescent="0.25"/>
  <cols>
    <col min="1" max="1" width="4.140625" style="8" customWidth="1"/>
    <col min="2" max="2" width="40.140625" style="8" customWidth="1"/>
    <col min="3" max="3" width="15.5703125" style="8" customWidth="1"/>
    <col min="4" max="4" width="21.140625" style="8" customWidth="1"/>
    <col min="5" max="5" width="14.42578125" style="8" customWidth="1"/>
    <col min="6" max="6" width="14.85546875" style="8" customWidth="1"/>
    <col min="7" max="7" width="14.5703125" style="8" customWidth="1"/>
    <col min="8" max="8" width="16.5703125" style="8" customWidth="1"/>
    <col min="9" max="9" width="14.42578125" style="8" customWidth="1"/>
    <col min="10" max="10" width="14.5703125" style="8" customWidth="1"/>
    <col min="11" max="11" width="27.28515625" style="8" customWidth="1"/>
    <col min="12" max="12" width="14" style="8" customWidth="1"/>
    <col min="13" max="16384" width="9.140625" style="8"/>
  </cols>
  <sheetData>
    <row r="1" spans="2:11" x14ac:dyDescent="0.25">
      <c r="H1" s="108" t="s">
        <v>175</v>
      </c>
    </row>
    <row r="3" spans="2:11" s="16" customFormat="1" ht="38.25" customHeight="1" x14ac:dyDescent="0.25">
      <c r="B3" s="592" t="s">
        <v>94</v>
      </c>
      <c r="C3" s="592"/>
      <c r="D3" s="592"/>
      <c r="E3" s="592"/>
      <c r="F3" s="592"/>
      <c r="G3" s="592"/>
      <c r="H3" s="592"/>
    </row>
    <row r="5" spans="2:11" ht="85.5" customHeight="1" x14ac:dyDescent="0.25">
      <c r="B5" s="149" t="s">
        <v>194</v>
      </c>
      <c r="C5" s="150" t="s">
        <v>199</v>
      </c>
      <c r="D5" s="150" t="s">
        <v>200</v>
      </c>
      <c r="E5" s="150" t="s">
        <v>201</v>
      </c>
    </row>
    <row r="6" spans="2:11" ht="43.5" customHeight="1" x14ac:dyDescent="0.25">
      <c r="B6" s="151" t="s">
        <v>188</v>
      </c>
      <c r="C6" s="219">
        <f>E16</f>
        <v>239840</v>
      </c>
      <c r="D6" s="219">
        <f t="shared" ref="D6:E8" si="0">C6</f>
        <v>239840</v>
      </c>
      <c r="E6" s="219">
        <f t="shared" si="0"/>
        <v>239840</v>
      </c>
    </row>
    <row r="7" spans="2:11" ht="47.25" customHeight="1" x14ac:dyDescent="0.25">
      <c r="B7" s="151" t="s">
        <v>191</v>
      </c>
      <c r="C7" s="219">
        <f>E21</f>
        <v>155763</v>
      </c>
      <c r="D7" s="219">
        <f t="shared" si="0"/>
        <v>155763</v>
      </c>
      <c r="E7" s="219">
        <f t="shared" si="0"/>
        <v>155763</v>
      </c>
    </row>
    <row r="8" spans="2:11" s="80" customFormat="1" ht="43.5" customHeight="1" x14ac:dyDescent="0.25">
      <c r="B8" s="151" t="s">
        <v>189</v>
      </c>
      <c r="C8" s="219">
        <f>E22</f>
        <v>39156</v>
      </c>
      <c r="D8" s="219">
        <f t="shared" si="0"/>
        <v>39156</v>
      </c>
      <c r="E8" s="219">
        <f t="shared" si="0"/>
        <v>39156</v>
      </c>
    </row>
    <row r="9" spans="2:11" s="80" customFormat="1" ht="15" customHeight="1" x14ac:dyDescent="0.25">
      <c r="B9" s="152" t="s">
        <v>195</v>
      </c>
      <c r="C9" s="153">
        <f>SUM(C6:C8)</f>
        <v>434759</v>
      </c>
      <c r="D9" s="153">
        <f>SUM(D6:D8)</f>
        <v>434759</v>
      </c>
      <c r="E9" s="153">
        <f>SUM(E6:E8)</f>
        <v>434759</v>
      </c>
    </row>
    <row r="10" spans="2:11" s="80" customFormat="1" ht="15.75" x14ac:dyDescent="0.25">
      <c r="G10" s="130"/>
      <c r="H10" s="130"/>
      <c r="I10" s="154"/>
      <c r="J10" s="154"/>
      <c r="K10" s="154"/>
    </row>
    <row r="11" spans="2:11" s="80" customFormat="1" ht="15.75" x14ac:dyDescent="0.25">
      <c r="B11" s="80" t="s">
        <v>38</v>
      </c>
      <c r="G11" s="130"/>
      <c r="H11" s="130"/>
      <c r="I11" s="154"/>
      <c r="J11" s="154"/>
      <c r="K11" s="154"/>
    </row>
    <row r="12" spans="2:11" ht="75" customHeight="1" x14ac:dyDescent="0.25">
      <c r="B12" s="75" t="s">
        <v>17</v>
      </c>
      <c r="C12" s="75" t="s">
        <v>55</v>
      </c>
      <c r="D12" s="75" t="s">
        <v>303</v>
      </c>
      <c r="E12" s="75" t="s">
        <v>36</v>
      </c>
    </row>
    <row r="13" spans="2:11" x14ac:dyDescent="0.25">
      <c r="B13" s="220" t="s">
        <v>1</v>
      </c>
      <c r="C13" s="221">
        <v>38167</v>
      </c>
      <c r="D13" s="222">
        <v>4.3804402810304452</v>
      </c>
      <c r="E13" s="223">
        <f>ROUNDUP(C13*D13,0)</f>
        <v>167189</v>
      </c>
      <c r="F13" s="16"/>
      <c r="H13" s="155"/>
    </row>
    <row r="14" spans="2:11" ht="30" x14ac:dyDescent="0.25">
      <c r="B14" s="224" t="s">
        <v>39</v>
      </c>
      <c r="C14" s="225">
        <v>3817</v>
      </c>
      <c r="D14" s="226">
        <v>4.3804402810304452</v>
      </c>
      <c r="E14" s="223">
        <f>ROUNDUP(C14*D14,0)</f>
        <v>16721</v>
      </c>
      <c r="F14" s="16"/>
      <c r="H14" s="155"/>
    </row>
    <row r="15" spans="2:11" ht="19.5" customHeight="1" x14ac:dyDescent="0.25">
      <c r="B15" s="227" t="s">
        <v>234</v>
      </c>
      <c r="C15" s="228">
        <v>7990</v>
      </c>
      <c r="D15" s="229">
        <v>7</v>
      </c>
      <c r="E15" s="223">
        <f>ROUNDUP(C15*D15,2)</f>
        <v>55930</v>
      </c>
      <c r="F15" s="16"/>
    </row>
    <row r="16" spans="2:11" x14ac:dyDescent="0.25">
      <c r="B16" s="602" t="s">
        <v>5</v>
      </c>
      <c r="C16" s="602"/>
      <c r="D16" s="602"/>
      <c r="E16" s="230">
        <f>SUM(E13:E15)</f>
        <v>239840</v>
      </c>
      <c r="F16" s="11"/>
    </row>
    <row r="17" spans="1:10" x14ac:dyDescent="0.25">
      <c r="A17" s="289"/>
      <c r="B17" s="328" t="s">
        <v>302</v>
      </c>
      <c r="C17" s="328"/>
      <c r="D17" s="328"/>
      <c r="E17" s="328"/>
      <c r="F17" s="289"/>
      <c r="G17" s="289"/>
      <c r="H17" s="289"/>
      <c r="I17" s="289"/>
      <c r="J17" s="289"/>
    </row>
    <row r="18" spans="1:10" x14ac:dyDescent="0.25">
      <c r="A18" s="289"/>
      <c r="B18" s="328"/>
      <c r="C18" s="328"/>
      <c r="D18" s="328"/>
      <c r="E18" s="328"/>
      <c r="F18" s="289"/>
      <c r="G18" s="289"/>
      <c r="H18" s="289"/>
      <c r="I18" s="289"/>
      <c r="J18" s="289"/>
    </row>
    <row r="19" spans="1:10" s="80" customFormat="1" ht="14.25" x14ac:dyDescent="0.25">
      <c r="A19" s="304"/>
      <c r="B19" s="329" t="s">
        <v>46</v>
      </c>
      <c r="C19" s="329"/>
      <c r="D19" s="329"/>
      <c r="E19" s="330"/>
      <c r="F19" s="304"/>
      <c r="G19" s="304"/>
      <c r="H19" s="304"/>
      <c r="I19" s="304"/>
      <c r="J19" s="304"/>
    </row>
    <row r="20" spans="1:10" ht="104.25" customHeight="1" x14ac:dyDescent="0.25">
      <c r="A20" s="289"/>
      <c r="B20" s="232"/>
      <c r="C20" s="331" t="s">
        <v>35</v>
      </c>
      <c r="D20" s="331" t="s">
        <v>375</v>
      </c>
      <c r="E20" s="331" t="s">
        <v>36</v>
      </c>
      <c r="F20" s="289"/>
      <c r="G20" s="289"/>
      <c r="H20" s="289"/>
      <c r="I20" s="289"/>
      <c r="J20" s="289"/>
    </row>
    <row r="21" spans="1:10" ht="45" x14ac:dyDescent="0.25">
      <c r="A21" s="289"/>
      <c r="B21" s="332" t="s">
        <v>41</v>
      </c>
      <c r="C21" s="333">
        <v>5180</v>
      </c>
      <c r="D21" s="334">
        <v>30.07</v>
      </c>
      <c r="E21" s="230">
        <f>ROUNDUP(C21*D21,0)</f>
        <v>155763</v>
      </c>
      <c r="F21" s="289"/>
      <c r="G21" s="289"/>
      <c r="H21" s="289"/>
      <c r="I21" s="289"/>
      <c r="J21" s="289"/>
    </row>
    <row r="22" spans="1:10" ht="30" x14ac:dyDescent="0.25">
      <c r="A22" s="289"/>
      <c r="B22" s="332" t="s">
        <v>42</v>
      </c>
      <c r="C22" s="333">
        <v>555</v>
      </c>
      <c r="D22" s="334">
        <v>70.55</v>
      </c>
      <c r="E22" s="230">
        <f>ROUNDUP(C22*D22,0)</f>
        <v>39156</v>
      </c>
      <c r="F22" s="289"/>
      <c r="G22" s="289"/>
      <c r="H22" s="289"/>
      <c r="I22" s="289"/>
      <c r="J22" s="289"/>
    </row>
    <row r="23" spans="1:10" x14ac:dyDescent="0.25">
      <c r="A23" s="289"/>
      <c r="B23" s="335" t="s">
        <v>5</v>
      </c>
      <c r="C23" s="333">
        <f>SUM(C21:C22)</f>
        <v>5735</v>
      </c>
      <c r="D23" s="336">
        <f>E23/C23</f>
        <v>33.987619877942457</v>
      </c>
      <c r="E23" s="230">
        <f>SUM(E21:E22)</f>
        <v>194919</v>
      </c>
      <c r="F23" s="289"/>
      <c r="G23" s="311"/>
      <c r="H23" s="289"/>
      <c r="I23" s="289"/>
      <c r="J23" s="289"/>
    </row>
    <row r="24" spans="1:10" x14ac:dyDescent="0.25">
      <c r="A24" s="289"/>
      <c r="B24" s="289" t="s">
        <v>37</v>
      </c>
      <c r="C24" s="289"/>
      <c r="D24" s="289"/>
      <c r="E24" s="289"/>
      <c r="F24" s="289"/>
      <c r="G24" s="289"/>
      <c r="H24" s="289"/>
      <c r="I24" s="289"/>
      <c r="J24" s="289"/>
    </row>
    <row r="25" spans="1:10" x14ac:dyDescent="0.25">
      <c r="A25" s="289"/>
      <c r="B25" s="600" t="s">
        <v>23</v>
      </c>
      <c r="C25" s="600"/>
      <c r="D25" s="600"/>
      <c r="E25" s="600"/>
      <c r="F25" s="600"/>
      <c r="G25" s="600"/>
      <c r="H25" s="600"/>
      <c r="I25" s="600"/>
      <c r="J25" s="600"/>
    </row>
    <row r="26" spans="1:10" x14ac:dyDescent="0.25">
      <c r="A26" s="289"/>
      <c r="B26" s="600" t="s">
        <v>0</v>
      </c>
      <c r="C26" s="600"/>
      <c r="D26" s="600"/>
      <c r="E26" s="600"/>
      <c r="F26" s="600"/>
      <c r="G26" s="600"/>
      <c r="H26" s="600"/>
      <c r="I26" s="600"/>
      <c r="J26" s="600"/>
    </row>
    <row r="27" spans="1:10" x14ac:dyDescent="0.25">
      <c r="A27" s="289"/>
      <c r="B27" s="600" t="s">
        <v>1</v>
      </c>
      <c r="C27" s="600"/>
      <c r="D27" s="600"/>
      <c r="E27" s="600"/>
      <c r="F27" s="600"/>
      <c r="G27" s="600"/>
      <c r="H27" s="600"/>
      <c r="I27" s="600"/>
      <c r="J27" s="600"/>
    </row>
    <row r="28" spans="1:10" x14ac:dyDescent="0.25">
      <c r="A28" s="289"/>
      <c r="B28" s="600" t="s">
        <v>2</v>
      </c>
      <c r="C28" s="600"/>
      <c r="D28" s="600"/>
      <c r="E28" s="600"/>
      <c r="F28" s="600"/>
      <c r="G28" s="600"/>
      <c r="H28" s="600"/>
      <c r="I28" s="600"/>
      <c r="J28" s="600"/>
    </row>
    <row r="29" spans="1:10" x14ac:dyDescent="0.25">
      <c r="A29" s="289"/>
      <c r="B29" s="600" t="s">
        <v>3</v>
      </c>
      <c r="C29" s="600"/>
      <c r="D29" s="600"/>
      <c r="E29" s="600"/>
      <c r="F29" s="600"/>
      <c r="G29" s="600"/>
      <c r="H29" s="600"/>
      <c r="I29" s="600"/>
      <c r="J29" s="600"/>
    </row>
    <row r="30" spans="1:10" x14ac:dyDescent="0.25">
      <c r="A30" s="289"/>
      <c r="B30" s="600" t="s">
        <v>4</v>
      </c>
      <c r="C30" s="600"/>
      <c r="D30" s="600"/>
      <c r="E30" s="600"/>
      <c r="F30" s="600"/>
      <c r="G30" s="600"/>
      <c r="H30" s="600"/>
      <c r="I30" s="600"/>
      <c r="J30" s="600"/>
    </row>
    <row r="31" spans="1:10" x14ac:dyDescent="0.25">
      <c r="A31" s="289"/>
      <c r="B31" s="600" t="s">
        <v>24</v>
      </c>
      <c r="C31" s="600"/>
      <c r="D31" s="600"/>
      <c r="E31" s="600"/>
      <c r="F31" s="600"/>
      <c r="G31" s="600"/>
      <c r="H31" s="600"/>
      <c r="I31" s="600"/>
      <c r="J31" s="600"/>
    </row>
    <row r="32" spans="1:10" x14ac:dyDescent="0.25">
      <c r="A32" s="289"/>
      <c r="B32" s="600" t="s">
        <v>25</v>
      </c>
      <c r="C32" s="600"/>
      <c r="D32" s="600"/>
      <c r="E32" s="600"/>
      <c r="F32" s="600"/>
      <c r="G32" s="600"/>
      <c r="H32" s="600"/>
      <c r="I32" s="600"/>
      <c r="J32" s="600"/>
    </row>
    <row r="33" spans="1:10" x14ac:dyDescent="0.25">
      <c r="A33" s="289"/>
      <c r="B33" s="600" t="s">
        <v>26</v>
      </c>
      <c r="C33" s="600"/>
      <c r="D33" s="600"/>
      <c r="E33" s="600"/>
      <c r="F33" s="600"/>
      <c r="G33" s="600"/>
      <c r="H33" s="600"/>
      <c r="I33" s="600"/>
      <c r="J33" s="600"/>
    </row>
    <row r="34" spans="1:10" ht="32.25" customHeight="1" x14ac:dyDescent="0.25">
      <c r="A34" s="289"/>
      <c r="B34" s="601" t="s">
        <v>27</v>
      </c>
      <c r="C34" s="601"/>
      <c r="D34" s="601"/>
      <c r="E34" s="601"/>
      <c r="F34" s="601"/>
      <c r="G34" s="601"/>
      <c r="H34" s="289"/>
      <c r="I34" s="289"/>
      <c r="J34" s="289"/>
    </row>
    <row r="35" spans="1:10" x14ac:dyDescent="0.25">
      <c r="A35" s="289"/>
      <c r="B35" s="600" t="s">
        <v>28</v>
      </c>
      <c r="C35" s="600"/>
      <c r="D35" s="600"/>
      <c r="E35" s="600"/>
      <c r="F35" s="600"/>
      <c r="G35" s="600"/>
      <c r="H35" s="600"/>
      <c r="I35" s="600"/>
      <c r="J35" s="600"/>
    </row>
    <row r="36" spans="1:10" x14ac:dyDescent="0.25">
      <c r="A36" s="289"/>
      <c r="B36" s="600" t="s">
        <v>29</v>
      </c>
      <c r="C36" s="600"/>
      <c r="D36" s="600"/>
      <c r="E36" s="600"/>
      <c r="F36" s="600"/>
      <c r="G36" s="600"/>
      <c r="H36" s="600"/>
      <c r="I36" s="600"/>
      <c r="J36" s="600"/>
    </row>
    <row r="37" spans="1:10" x14ac:dyDescent="0.25">
      <c r="A37" s="289"/>
      <c r="B37" s="600" t="s">
        <v>30</v>
      </c>
      <c r="C37" s="600"/>
      <c r="D37" s="600"/>
      <c r="E37" s="600"/>
      <c r="F37" s="600"/>
      <c r="G37" s="600"/>
      <c r="H37" s="600"/>
      <c r="I37" s="600"/>
      <c r="J37" s="600"/>
    </row>
    <row r="38" spans="1:10" x14ac:dyDescent="0.25">
      <c r="A38" s="289"/>
      <c r="B38" s="600" t="s">
        <v>31</v>
      </c>
      <c r="C38" s="600"/>
      <c r="D38" s="600"/>
      <c r="E38" s="600"/>
      <c r="F38" s="600"/>
      <c r="G38" s="600"/>
      <c r="H38" s="600"/>
      <c r="I38" s="600"/>
      <c r="J38" s="600"/>
    </row>
    <row r="39" spans="1:10" x14ac:dyDescent="0.25">
      <c r="A39" s="289"/>
      <c r="B39" s="600" t="s">
        <v>32</v>
      </c>
      <c r="C39" s="600"/>
      <c r="D39" s="600"/>
      <c r="E39" s="600"/>
      <c r="F39" s="600"/>
      <c r="G39" s="600"/>
      <c r="H39" s="600"/>
      <c r="I39" s="600"/>
      <c r="J39" s="600"/>
    </row>
    <row r="40" spans="1:10" x14ac:dyDescent="0.25">
      <c r="A40" s="289"/>
      <c r="B40" s="600" t="s">
        <v>33</v>
      </c>
      <c r="C40" s="600"/>
      <c r="D40" s="600"/>
      <c r="E40" s="600"/>
      <c r="F40" s="600"/>
      <c r="G40" s="600"/>
      <c r="H40" s="600"/>
      <c r="I40" s="600"/>
      <c r="J40" s="600"/>
    </row>
    <row r="41" spans="1:10" x14ac:dyDescent="0.25">
      <c r="A41" s="289"/>
      <c r="B41" s="600" t="s">
        <v>34</v>
      </c>
      <c r="C41" s="600"/>
      <c r="D41" s="600"/>
      <c r="E41" s="600"/>
      <c r="F41" s="600"/>
      <c r="G41" s="600"/>
      <c r="H41" s="600"/>
      <c r="I41" s="600"/>
      <c r="J41" s="600"/>
    </row>
    <row r="42" spans="1:10" x14ac:dyDescent="0.25">
      <c r="A42" s="289"/>
      <c r="B42" s="289"/>
      <c r="C42" s="289"/>
      <c r="D42" s="289"/>
      <c r="E42" s="289"/>
      <c r="F42" s="289"/>
      <c r="G42" s="289"/>
      <c r="H42" s="289"/>
      <c r="I42" s="289"/>
      <c r="J42" s="289"/>
    </row>
    <row r="43" spans="1:10" x14ac:dyDescent="0.25">
      <c r="A43" s="289"/>
      <c r="B43" s="289" t="s">
        <v>301</v>
      </c>
      <c r="C43" s="289"/>
      <c r="D43" s="289"/>
      <c r="E43" s="289"/>
      <c r="F43" s="289"/>
      <c r="G43" s="289"/>
      <c r="H43" s="289"/>
      <c r="I43" s="289"/>
      <c r="J43" s="289"/>
    </row>
  </sheetData>
  <mergeCells count="19">
    <mergeCell ref="B34:G34"/>
    <mergeCell ref="B3:H3"/>
    <mergeCell ref="B16:D16"/>
    <mergeCell ref="B25:J25"/>
    <mergeCell ref="B26:J26"/>
    <mergeCell ref="B27:J27"/>
    <mergeCell ref="B28:J28"/>
    <mergeCell ref="B29:J29"/>
    <mergeCell ref="B30:J30"/>
    <mergeCell ref="B31:J31"/>
    <mergeCell ref="B32:J32"/>
    <mergeCell ref="B33:J33"/>
    <mergeCell ref="B41:J41"/>
    <mergeCell ref="B35:J35"/>
    <mergeCell ref="B36:J36"/>
    <mergeCell ref="B37:J37"/>
    <mergeCell ref="B38:J38"/>
    <mergeCell ref="B39:J39"/>
    <mergeCell ref="B40:J40"/>
  </mergeCells>
  <pageMargins left="0.43307086614173229" right="0.70866141732283472" top="0.51181102362204722" bottom="0.47244094488188981" header="0.31496062992125984" footer="0.31496062992125984"/>
  <pageSetup paperSize="9" scale="75" fitToHeight="0" orientation="landscape" r:id="rId1"/>
  <headerFooter>
    <oddFooter>&amp;L(TA-1235)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89"/>
  <sheetViews>
    <sheetView tabSelected="1" view="pageLayout" zoomScale="70" zoomScaleNormal="80" zoomScalePageLayoutView="70" workbookViewId="0">
      <selection activeCell="E43" sqref="E43"/>
    </sheetView>
  </sheetViews>
  <sheetFormatPr defaultColWidth="9.140625" defaultRowHeight="15.75" x14ac:dyDescent="0.25"/>
  <cols>
    <col min="1" max="1" width="41.85546875" style="90" customWidth="1"/>
    <col min="2" max="2" width="22.5703125" style="90" customWidth="1"/>
    <col min="3" max="3" width="17.28515625" style="90" customWidth="1"/>
    <col min="4" max="4" width="48.28515625" style="90" customWidth="1"/>
    <col min="5" max="5" width="15" style="90" customWidth="1"/>
    <col min="6" max="7" width="20.140625" style="90" bestFit="1" customWidth="1"/>
    <col min="8" max="8" width="20.42578125" style="90" customWidth="1"/>
    <col min="9" max="9" width="14.85546875" style="90" customWidth="1"/>
    <col min="10" max="10" width="15" style="90" customWidth="1"/>
    <col min="11" max="11" width="13.85546875" style="90" customWidth="1"/>
    <col min="12" max="12" width="17.140625" style="90" customWidth="1"/>
    <col min="13" max="13" width="14.7109375" style="90" customWidth="1"/>
    <col min="14" max="16384" width="9.140625" style="90"/>
  </cols>
  <sheetData>
    <row r="1" spans="1:14" x14ac:dyDescent="0.25">
      <c r="I1" s="91"/>
      <c r="J1" s="91" t="s">
        <v>174</v>
      </c>
    </row>
    <row r="2" spans="1:14" x14ac:dyDescent="0.25">
      <c r="E2" s="91"/>
    </row>
    <row r="3" spans="1:14" ht="33.75" customHeight="1" x14ac:dyDescent="0.25">
      <c r="A3" s="603" t="s">
        <v>101</v>
      </c>
      <c r="B3" s="603"/>
      <c r="C3" s="603"/>
      <c r="D3" s="603"/>
      <c r="E3" s="603"/>
      <c r="F3" s="92"/>
    </row>
    <row r="4" spans="1:14" s="94" customFormat="1" ht="78.75" x14ac:dyDescent="0.25">
      <c r="A4" s="541" t="s">
        <v>194</v>
      </c>
      <c r="B4" s="542"/>
      <c r="C4" s="107" t="s">
        <v>196</v>
      </c>
      <c r="D4" s="107" t="s">
        <v>197</v>
      </c>
      <c r="E4" s="107" t="s">
        <v>198</v>
      </c>
      <c r="F4" s="107" t="s">
        <v>199</v>
      </c>
      <c r="G4" s="107" t="s">
        <v>200</v>
      </c>
      <c r="H4" s="107" t="s">
        <v>201</v>
      </c>
      <c r="I4" s="117"/>
      <c r="J4" s="117"/>
      <c r="N4" s="93"/>
    </row>
    <row r="5" spans="1:14" s="94" customFormat="1" ht="51.75" customHeight="1" x14ac:dyDescent="0.25">
      <c r="A5" s="543" t="s">
        <v>173</v>
      </c>
      <c r="B5" s="544"/>
      <c r="C5" s="234">
        <v>0</v>
      </c>
      <c r="D5" s="234">
        <v>0</v>
      </c>
      <c r="E5" s="234">
        <v>0</v>
      </c>
      <c r="F5" s="241">
        <v>0</v>
      </c>
      <c r="G5" s="105">
        <f>D13</f>
        <v>7756</v>
      </c>
      <c r="H5" s="105">
        <f>E13</f>
        <v>15512</v>
      </c>
      <c r="I5" s="106"/>
      <c r="J5" s="106"/>
      <c r="N5" s="93"/>
    </row>
    <row r="6" spans="1:14" s="94" customFormat="1" ht="51.75" customHeight="1" x14ac:dyDescent="0.25">
      <c r="A6" s="543" t="s">
        <v>207</v>
      </c>
      <c r="B6" s="544"/>
      <c r="C6" s="237">
        <f>G56</f>
        <v>6157</v>
      </c>
      <c r="D6" s="237">
        <f>G56</f>
        <v>6157</v>
      </c>
      <c r="E6" s="237">
        <f>G56</f>
        <v>6157</v>
      </c>
      <c r="F6" s="242">
        <f>B62+J72</f>
        <v>65700</v>
      </c>
      <c r="G6" s="105">
        <f>F6</f>
        <v>65700</v>
      </c>
      <c r="H6" s="105">
        <f>G6</f>
        <v>65700</v>
      </c>
      <c r="I6" s="106"/>
      <c r="J6" s="106"/>
      <c r="N6" s="93"/>
    </row>
    <row r="7" spans="1:14" s="94" customFormat="1" ht="51.75" customHeight="1" x14ac:dyDescent="0.25">
      <c r="A7" s="543" t="s">
        <v>208</v>
      </c>
      <c r="B7" s="544"/>
      <c r="C7" s="234">
        <v>0</v>
      </c>
      <c r="D7" s="234">
        <v>0</v>
      </c>
      <c r="E7" s="234">
        <v>0</v>
      </c>
      <c r="F7" s="241">
        <v>0</v>
      </c>
      <c r="G7" s="105">
        <f>B18</f>
        <v>290182</v>
      </c>
      <c r="H7" s="105">
        <f>C18</f>
        <v>428764</v>
      </c>
      <c r="I7" s="106"/>
      <c r="J7" s="106"/>
      <c r="N7" s="93"/>
    </row>
    <row r="8" spans="1:14" s="94" customFormat="1" x14ac:dyDescent="0.25">
      <c r="A8" s="605" t="s">
        <v>195</v>
      </c>
      <c r="B8" s="605"/>
      <c r="C8" s="231"/>
      <c r="D8" s="231"/>
      <c r="E8" s="231"/>
      <c r="F8" s="123">
        <f>SUM(F5:F7)</f>
        <v>65700</v>
      </c>
      <c r="G8" s="123">
        <f>SUM(G5:G7)</f>
        <v>363638</v>
      </c>
      <c r="H8" s="123">
        <f>SUM(H5:H7)</f>
        <v>509976</v>
      </c>
      <c r="I8" s="95"/>
      <c r="J8" s="95"/>
      <c r="K8" s="95"/>
      <c r="L8" s="93"/>
      <c r="M8" s="93"/>
      <c r="N8" s="93"/>
    </row>
    <row r="10" spans="1:14" x14ac:dyDescent="0.25">
      <c r="A10" s="90" t="s">
        <v>206</v>
      </c>
    </row>
    <row r="11" spans="1:14" ht="35.25" customHeight="1" x14ac:dyDescent="0.25">
      <c r="A11" s="606" t="s">
        <v>376</v>
      </c>
      <c r="B11" s="606"/>
      <c r="C11" s="606"/>
      <c r="D11" s="606"/>
      <c r="E11" s="606"/>
      <c r="F11" s="337"/>
      <c r="G11" s="337"/>
      <c r="H11" s="337"/>
      <c r="I11" s="337"/>
      <c r="J11" s="337"/>
      <c r="K11" s="337"/>
      <c r="L11" s="337"/>
      <c r="M11" s="337"/>
      <c r="N11" s="337"/>
    </row>
    <row r="12" spans="1:14" ht="78.75" x14ac:dyDescent="0.25">
      <c r="A12" s="338"/>
      <c r="B12" s="339" t="s">
        <v>377</v>
      </c>
      <c r="C12" s="339" t="s">
        <v>193</v>
      </c>
      <c r="D12" s="339" t="s">
        <v>378</v>
      </c>
      <c r="E12" s="339" t="s">
        <v>322</v>
      </c>
      <c r="F12" s="337"/>
      <c r="G12" s="337"/>
      <c r="H12" s="337"/>
      <c r="I12" s="337"/>
      <c r="J12" s="337"/>
      <c r="K12" s="337"/>
      <c r="L12" s="337"/>
      <c r="M12" s="337"/>
      <c r="N12" s="337"/>
    </row>
    <row r="13" spans="1:14" x14ac:dyDescent="0.25">
      <c r="A13" s="340" t="s">
        <v>312</v>
      </c>
      <c r="B13" s="341">
        <f>8*250*6.25/2</f>
        <v>6250</v>
      </c>
      <c r="C13" s="342">
        <f>ROUNDUP(B13*0.2409,0)</f>
        <v>1506</v>
      </c>
      <c r="D13" s="343">
        <f>ROUNDUP(SUM(B13:C13),0)</f>
        <v>7756</v>
      </c>
      <c r="E13" s="344">
        <f>D13*2</f>
        <v>15512</v>
      </c>
      <c r="F13" s="337"/>
      <c r="G13" s="337"/>
      <c r="H13" s="337"/>
      <c r="I13" s="337"/>
      <c r="J13" s="337"/>
      <c r="K13" s="337"/>
      <c r="L13" s="337"/>
      <c r="M13" s="337"/>
      <c r="N13" s="337"/>
    </row>
    <row r="14" spans="1:14" x14ac:dyDescent="0.25">
      <c r="A14" s="337" t="s">
        <v>323</v>
      </c>
      <c r="B14" s="337"/>
      <c r="C14" s="337"/>
      <c r="D14" s="337"/>
      <c r="E14" s="337"/>
      <c r="F14" s="337"/>
      <c r="G14" s="337"/>
      <c r="H14" s="337"/>
      <c r="I14" s="337"/>
      <c r="J14" s="337"/>
      <c r="K14" s="337"/>
      <c r="L14" s="337"/>
      <c r="M14" s="337"/>
      <c r="N14" s="337"/>
    </row>
    <row r="15" spans="1:14" x14ac:dyDescent="0.25">
      <c r="A15" s="337"/>
      <c r="B15" s="337"/>
      <c r="C15" s="337"/>
      <c r="D15" s="337"/>
      <c r="E15" s="337"/>
      <c r="F15" s="337"/>
      <c r="G15" s="337"/>
      <c r="H15" s="337"/>
      <c r="I15" s="337"/>
      <c r="J15" s="337"/>
      <c r="K15" s="337"/>
      <c r="L15" s="337"/>
      <c r="M15" s="337"/>
      <c r="N15" s="337"/>
    </row>
    <row r="16" spans="1:14" ht="37.5" customHeight="1" x14ac:dyDescent="0.25">
      <c r="A16" s="606" t="s">
        <v>379</v>
      </c>
      <c r="B16" s="606"/>
      <c r="C16" s="606"/>
      <c r="D16" s="606"/>
      <c r="E16" s="345"/>
      <c r="F16" s="345"/>
      <c r="G16" s="337"/>
      <c r="H16" s="337"/>
      <c r="I16" s="337"/>
      <c r="J16" s="337"/>
      <c r="K16" s="337"/>
      <c r="L16" s="337"/>
      <c r="M16" s="337"/>
      <c r="N16" s="337"/>
    </row>
    <row r="17" spans="1:14" ht="78.75" x14ac:dyDescent="0.25">
      <c r="A17" s="172" t="s">
        <v>227</v>
      </c>
      <c r="B17" s="172" t="s">
        <v>200</v>
      </c>
      <c r="C17" s="172" t="s">
        <v>201</v>
      </c>
      <c r="D17" s="346" t="s">
        <v>313</v>
      </c>
      <c r="E17" s="347"/>
      <c r="F17" s="347"/>
      <c r="G17" s="337"/>
      <c r="H17" s="337"/>
      <c r="I17" s="337"/>
      <c r="J17" s="337"/>
      <c r="K17" s="337"/>
      <c r="L17" s="337"/>
      <c r="M17" s="337"/>
      <c r="N17" s="337"/>
    </row>
    <row r="18" spans="1:14" ht="43.5" x14ac:dyDescent="0.25">
      <c r="A18" s="348" t="s">
        <v>226</v>
      </c>
      <c r="B18" s="349">
        <f>ROUND(SUM(B19,B22,B25,B31,B33,B36,B39),0)</f>
        <v>290182</v>
      </c>
      <c r="C18" s="349">
        <f>SUM(C19,C22,C25,C31,C33,C36,C39)</f>
        <v>428764</v>
      </c>
      <c r="D18" s="338"/>
      <c r="E18" s="337"/>
      <c r="F18" s="337"/>
      <c r="G18" s="337"/>
      <c r="H18" s="337"/>
      <c r="I18" s="337"/>
      <c r="J18" s="337"/>
      <c r="K18" s="337"/>
      <c r="L18" s="337"/>
      <c r="M18" s="337"/>
      <c r="N18" s="337"/>
    </row>
    <row r="19" spans="1:14" ht="66" customHeight="1" x14ac:dyDescent="0.25">
      <c r="A19" s="350" t="s">
        <v>380</v>
      </c>
      <c r="B19" s="240">
        <f>SUM(B20:B21)</f>
        <v>63727</v>
      </c>
      <c r="C19" s="240">
        <f>SUM(C20:C21)</f>
        <v>9104</v>
      </c>
      <c r="D19" s="338"/>
      <c r="E19" s="337"/>
      <c r="F19" s="337"/>
      <c r="G19" s="337"/>
      <c r="H19" s="337"/>
      <c r="I19" s="337"/>
      <c r="J19" s="337"/>
      <c r="K19" s="337"/>
      <c r="L19" s="337"/>
      <c r="M19" s="337"/>
      <c r="N19" s="337"/>
    </row>
    <row r="20" spans="1:14" ht="63.75" x14ac:dyDescent="0.25">
      <c r="A20" s="232" t="s">
        <v>381</v>
      </c>
      <c r="B20" s="119">
        <v>32573</v>
      </c>
      <c r="C20" s="119">
        <v>4653</v>
      </c>
      <c r="D20" s="351" t="s">
        <v>314</v>
      </c>
      <c r="E20" s="337"/>
      <c r="F20" s="337"/>
      <c r="G20" s="337"/>
      <c r="H20" s="337"/>
      <c r="I20" s="337"/>
      <c r="J20" s="337"/>
      <c r="K20" s="337"/>
      <c r="L20" s="337"/>
      <c r="M20" s="337"/>
      <c r="N20" s="337"/>
    </row>
    <row r="21" spans="1:14" ht="38.25" x14ac:dyDescent="0.25">
      <c r="A21" s="232" t="s">
        <v>382</v>
      </c>
      <c r="B21" s="119">
        <v>31154</v>
      </c>
      <c r="C21" s="119">
        <v>4451</v>
      </c>
      <c r="D21" s="351" t="s">
        <v>315</v>
      </c>
      <c r="E21" s="337"/>
      <c r="F21" s="337"/>
      <c r="G21" s="337"/>
      <c r="H21" s="337"/>
      <c r="I21" s="337"/>
      <c r="J21" s="337"/>
      <c r="K21" s="337"/>
      <c r="L21" s="337"/>
      <c r="M21" s="337"/>
      <c r="N21" s="337"/>
    </row>
    <row r="22" spans="1:14" x14ac:dyDescent="0.25">
      <c r="A22" s="352" t="s">
        <v>214</v>
      </c>
      <c r="B22" s="240">
        <f>SUM(B23:B24)</f>
        <v>17500</v>
      </c>
      <c r="C22" s="240">
        <f>SUM(C23:C24)</f>
        <v>1750</v>
      </c>
      <c r="D22" s="353"/>
      <c r="E22" s="337"/>
      <c r="F22" s="337"/>
      <c r="G22" s="337"/>
      <c r="H22" s="337"/>
      <c r="I22" s="337"/>
      <c r="J22" s="337"/>
      <c r="K22" s="337"/>
      <c r="L22" s="337"/>
      <c r="M22" s="337"/>
      <c r="N22" s="337"/>
    </row>
    <row r="23" spans="1:14" ht="30" x14ac:dyDescent="0.25">
      <c r="A23" s="232" t="s">
        <v>224</v>
      </c>
      <c r="B23" s="119">
        <f>2*5000</f>
        <v>10000</v>
      </c>
      <c r="C23" s="119">
        <f>2*500</f>
        <v>1000</v>
      </c>
      <c r="D23" s="332" t="s">
        <v>316</v>
      </c>
      <c r="E23" s="337"/>
      <c r="F23" s="337"/>
      <c r="G23" s="337"/>
      <c r="H23" s="337"/>
      <c r="I23" s="337"/>
      <c r="J23" s="337"/>
      <c r="K23" s="337"/>
      <c r="L23" s="337"/>
      <c r="M23" s="337"/>
      <c r="N23" s="337"/>
    </row>
    <row r="24" spans="1:14" ht="30" x14ac:dyDescent="0.25">
      <c r="A24" s="232" t="s">
        <v>225</v>
      </c>
      <c r="B24" s="119">
        <f>1500*5</f>
        <v>7500</v>
      </c>
      <c r="C24" s="119">
        <f>5*150</f>
        <v>750</v>
      </c>
      <c r="D24" s="332" t="s">
        <v>317</v>
      </c>
      <c r="E24" s="337"/>
      <c r="F24" s="337"/>
      <c r="G24" s="337"/>
      <c r="H24" s="337"/>
      <c r="I24" s="337"/>
      <c r="J24" s="337"/>
      <c r="K24" s="337"/>
      <c r="L24" s="337"/>
      <c r="M24" s="337"/>
      <c r="N24" s="337"/>
    </row>
    <row r="25" spans="1:14" x14ac:dyDescent="0.25">
      <c r="A25" s="354" t="s">
        <v>120</v>
      </c>
      <c r="B25" s="122">
        <f>SUM(B26:B30)</f>
        <v>132852</v>
      </c>
      <c r="C25" s="122">
        <f>SUM(C26:C30)</f>
        <v>265704</v>
      </c>
      <c r="D25" s="332"/>
      <c r="E25" s="337"/>
      <c r="F25" s="337"/>
      <c r="G25" s="337"/>
      <c r="H25" s="337"/>
      <c r="I25" s="337"/>
      <c r="J25" s="337"/>
      <c r="K25" s="337"/>
      <c r="L25" s="337"/>
      <c r="M25" s="337"/>
      <c r="N25" s="337"/>
    </row>
    <row r="26" spans="1:14" ht="120" x14ac:dyDescent="0.25">
      <c r="A26" s="232" t="s">
        <v>209</v>
      </c>
      <c r="B26" s="119">
        <f>ROUND(37301.45*2/2,0)</f>
        <v>37301</v>
      </c>
      <c r="C26" s="119">
        <f>B26*2</f>
        <v>74602</v>
      </c>
      <c r="D26" s="332" t="s">
        <v>325</v>
      </c>
      <c r="E26" s="337"/>
      <c r="F26" s="337"/>
      <c r="G26" s="337"/>
      <c r="H26" s="337"/>
      <c r="I26" s="337"/>
      <c r="J26" s="337"/>
      <c r="K26" s="337"/>
      <c r="L26" s="337"/>
      <c r="M26" s="337"/>
      <c r="N26" s="337"/>
    </row>
    <row r="27" spans="1:14" ht="135" x14ac:dyDescent="0.25">
      <c r="A27" s="232" t="s">
        <v>210</v>
      </c>
      <c r="B27" s="119">
        <f>ROUND(37301.45/2,0)</f>
        <v>18651</v>
      </c>
      <c r="C27" s="119">
        <f>B27*2</f>
        <v>37302</v>
      </c>
      <c r="D27" s="332" t="s">
        <v>326</v>
      </c>
      <c r="E27" s="337"/>
      <c r="F27" s="337"/>
      <c r="G27" s="337"/>
      <c r="H27" s="337"/>
      <c r="I27" s="337"/>
      <c r="J27" s="337"/>
      <c r="K27" s="337"/>
      <c r="L27" s="337"/>
      <c r="M27" s="337"/>
      <c r="N27" s="337"/>
    </row>
    <row r="28" spans="1:14" ht="105" x14ac:dyDescent="0.25">
      <c r="A28" s="232" t="s">
        <v>211</v>
      </c>
      <c r="B28" s="119">
        <v>39008</v>
      </c>
      <c r="C28" s="119">
        <v>78017</v>
      </c>
      <c r="D28" s="332" t="s">
        <v>327</v>
      </c>
      <c r="E28" s="337"/>
      <c r="F28" s="337"/>
      <c r="G28" s="337"/>
      <c r="H28" s="337"/>
      <c r="I28" s="337"/>
      <c r="J28" s="337"/>
      <c r="K28" s="337"/>
      <c r="L28" s="337"/>
      <c r="M28" s="337"/>
      <c r="N28" s="337"/>
    </row>
    <row r="29" spans="1:14" ht="90" x14ac:dyDescent="0.25">
      <c r="A29" s="232" t="s">
        <v>212</v>
      </c>
      <c r="B29" s="119">
        <f>ROUND(C29/2,0)</f>
        <v>19241</v>
      </c>
      <c r="C29" s="119">
        <v>38481</v>
      </c>
      <c r="D29" s="332" t="s">
        <v>328</v>
      </c>
      <c r="E29" s="337"/>
      <c r="F29" s="337"/>
      <c r="G29" s="337"/>
      <c r="H29" s="337"/>
      <c r="I29" s="337"/>
      <c r="J29" s="337"/>
      <c r="K29" s="337"/>
      <c r="L29" s="337"/>
      <c r="M29" s="337"/>
      <c r="N29" s="337"/>
    </row>
    <row r="30" spans="1:14" ht="120" x14ac:dyDescent="0.25">
      <c r="A30" s="232" t="s">
        <v>213</v>
      </c>
      <c r="B30" s="119">
        <f>C30/2</f>
        <v>18651</v>
      </c>
      <c r="C30" s="119">
        <f>37302</f>
        <v>37302</v>
      </c>
      <c r="D30" s="332" t="s">
        <v>324</v>
      </c>
      <c r="E30" s="337"/>
      <c r="F30" s="337"/>
      <c r="G30" s="337"/>
      <c r="H30" s="337"/>
      <c r="I30" s="337"/>
      <c r="J30" s="337"/>
      <c r="K30" s="337"/>
      <c r="L30" s="337"/>
      <c r="M30" s="337"/>
      <c r="N30" s="337"/>
    </row>
    <row r="31" spans="1:14" ht="28.5" x14ac:dyDescent="0.25">
      <c r="A31" s="355" t="s">
        <v>383</v>
      </c>
      <c r="B31" s="122">
        <f>B32</f>
        <v>27343.5</v>
      </c>
      <c r="C31" s="122">
        <f>C32</f>
        <v>54687</v>
      </c>
      <c r="D31" s="353"/>
      <c r="E31" s="337"/>
      <c r="F31" s="337"/>
      <c r="G31" s="337"/>
      <c r="H31" s="337"/>
      <c r="I31" s="337"/>
      <c r="J31" s="337"/>
      <c r="K31" s="337"/>
      <c r="L31" s="337"/>
      <c r="M31" s="337"/>
      <c r="N31" s="337"/>
    </row>
    <row r="32" spans="1:14" ht="113.25" customHeight="1" x14ac:dyDescent="0.25">
      <c r="A32" s="232" t="s">
        <v>223</v>
      </c>
      <c r="B32" s="356">
        <f>54687/2</f>
        <v>27343.5</v>
      </c>
      <c r="C32" s="119">
        <v>54687</v>
      </c>
      <c r="D32" s="332" t="s">
        <v>318</v>
      </c>
      <c r="E32" s="337"/>
      <c r="F32" s="337"/>
      <c r="G32" s="337"/>
      <c r="H32" s="337"/>
      <c r="I32" s="337"/>
      <c r="J32" s="337"/>
      <c r="K32" s="337"/>
      <c r="L32" s="337"/>
      <c r="M32" s="337"/>
      <c r="N32" s="337"/>
    </row>
    <row r="33" spans="1:14" ht="29.25" x14ac:dyDescent="0.25">
      <c r="A33" s="350" t="s">
        <v>384</v>
      </c>
      <c r="B33" s="121">
        <f>ROUND(B35,0)</f>
        <v>7726</v>
      </c>
      <c r="C33" s="121">
        <f>ROUND(C35,0)</f>
        <v>15453</v>
      </c>
      <c r="D33" s="338"/>
      <c r="E33" s="337"/>
      <c r="F33" s="337"/>
      <c r="G33" s="337"/>
      <c r="H33" s="337"/>
      <c r="I33" s="337"/>
      <c r="J33" s="337"/>
      <c r="K33" s="337"/>
      <c r="L33" s="337"/>
      <c r="M33" s="337"/>
      <c r="N33" s="337"/>
    </row>
    <row r="34" spans="1:14" x14ac:dyDescent="0.25">
      <c r="A34" s="357" t="s">
        <v>221</v>
      </c>
      <c r="B34" s="120">
        <v>7.84</v>
      </c>
      <c r="C34" s="120">
        <v>7.84</v>
      </c>
      <c r="D34" s="338"/>
      <c r="E34" s="337"/>
      <c r="F34" s="337"/>
      <c r="G34" s="337"/>
      <c r="H34" s="337"/>
      <c r="I34" s="337"/>
      <c r="J34" s="337"/>
      <c r="K34" s="337"/>
      <c r="L34" s="337"/>
      <c r="M34" s="337"/>
      <c r="N34" s="337"/>
    </row>
    <row r="35" spans="1:14" ht="60" x14ac:dyDescent="0.25">
      <c r="A35" s="357" t="s">
        <v>222</v>
      </c>
      <c r="B35" s="356">
        <f>B34*B48*B49/2</f>
        <v>7726.32</v>
      </c>
      <c r="C35" s="119">
        <f>B35*2</f>
        <v>15452.64</v>
      </c>
      <c r="D35" s="358" t="s">
        <v>320</v>
      </c>
      <c r="E35" s="337"/>
      <c r="F35" s="337"/>
      <c r="G35" s="337"/>
      <c r="H35" s="337"/>
      <c r="I35" s="337"/>
      <c r="J35" s="337"/>
      <c r="K35" s="337"/>
      <c r="L35" s="337"/>
      <c r="M35" s="337"/>
      <c r="N35" s="337"/>
    </row>
    <row r="36" spans="1:14" ht="29.25" x14ac:dyDescent="0.25">
      <c r="A36" s="350" t="s">
        <v>385</v>
      </c>
      <c r="B36" s="121">
        <f>SUM(B37:B38)</f>
        <v>18615</v>
      </c>
      <c r="C36" s="121">
        <f>SUM(C37:C38)</f>
        <v>37230</v>
      </c>
      <c r="D36" s="338"/>
      <c r="E36" s="337"/>
      <c r="F36" s="337"/>
      <c r="G36" s="337"/>
      <c r="H36" s="337"/>
      <c r="I36" s="337"/>
      <c r="J36" s="337"/>
      <c r="K36" s="337"/>
      <c r="L36" s="337"/>
      <c r="M36" s="337"/>
      <c r="N36" s="337"/>
    </row>
    <row r="37" spans="1:14" ht="30" x14ac:dyDescent="0.25">
      <c r="A37" s="232" t="s">
        <v>219</v>
      </c>
      <c r="B37" s="356">
        <f>12*B48/2</f>
        <v>13140</v>
      </c>
      <c r="C37" s="119">
        <f>B37*2</f>
        <v>26280</v>
      </c>
      <c r="D37" s="358" t="s">
        <v>319</v>
      </c>
      <c r="E37" s="337"/>
      <c r="F37" s="337"/>
      <c r="G37" s="337"/>
      <c r="H37" s="337"/>
      <c r="I37" s="337"/>
      <c r="J37" s="337"/>
      <c r="K37" s="337"/>
      <c r="L37" s="337"/>
      <c r="M37" s="337"/>
      <c r="N37" s="337"/>
    </row>
    <row r="38" spans="1:14" ht="30" x14ac:dyDescent="0.25">
      <c r="A38" s="359" t="s">
        <v>220</v>
      </c>
      <c r="B38" s="356">
        <f>5*B48/2</f>
        <v>5475</v>
      </c>
      <c r="C38" s="119">
        <f>B38*2</f>
        <v>10950</v>
      </c>
      <c r="D38" s="358" t="s">
        <v>321</v>
      </c>
      <c r="E38" s="337"/>
      <c r="F38" s="337"/>
      <c r="G38" s="337"/>
      <c r="H38" s="337"/>
      <c r="I38" s="337"/>
      <c r="J38" s="337"/>
      <c r="K38" s="337"/>
      <c r="L38" s="337"/>
      <c r="M38" s="337"/>
      <c r="N38" s="337"/>
    </row>
    <row r="39" spans="1:14" ht="43.5" customHeight="1" x14ac:dyDescent="0.25">
      <c r="A39" s="355" t="s">
        <v>386</v>
      </c>
      <c r="B39" s="122">
        <f>ROUND((B40*B41+B40)*B42*B43*365/2,0)</f>
        <v>22418</v>
      </c>
      <c r="C39" s="122">
        <f>ROUND((C40*C41+C40)*C42*C43*365,0)</f>
        <v>44836</v>
      </c>
      <c r="D39" s="338"/>
      <c r="E39" s="337"/>
      <c r="F39" s="337"/>
      <c r="G39" s="337"/>
      <c r="H39" s="337"/>
      <c r="I39" s="337"/>
      <c r="J39" s="337"/>
      <c r="K39" s="337"/>
      <c r="L39" s="337"/>
      <c r="M39" s="337"/>
      <c r="N39" s="337"/>
    </row>
    <row r="40" spans="1:14" x14ac:dyDescent="0.25">
      <c r="A40" s="360" t="s">
        <v>215</v>
      </c>
      <c r="B40" s="305">
        <v>4.2300000000000004</v>
      </c>
      <c r="C40" s="305">
        <v>4.2300000000000004</v>
      </c>
      <c r="D40" s="338"/>
      <c r="E40" s="337"/>
      <c r="F40" s="337"/>
      <c r="G40" s="337"/>
      <c r="H40" s="337"/>
      <c r="I40" s="337"/>
      <c r="J40" s="337"/>
      <c r="K40" s="337"/>
      <c r="L40" s="337"/>
      <c r="M40" s="337"/>
      <c r="N40" s="337"/>
    </row>
    <row r="41" spans="1:14" x14ac:dyDescent="0.25">
      <c r="A41" s="360" t="s">
        <v>216</v>
      </c>
      <c r="B41" s="305">
        <v>0.21</v>
      </c>
      <c r="C41" s="305">
        <v>0.21</v>
      </c>
      <c r="D41" s="338"/>
      <c r="E41" s="337"/>
      <c r="F41" s="337"/>
      <c r="G41" s="337"/>
      <c r="H41" s="337"/>
      <c r="I41" s="337"/>
      <c r="J41" s="337"/>
      <c r="K41" s="337"/>
      <c r="L41" s="337"/>
      <c r="M41" s="337"/>
      <c r="N41" s="337"/>
    </row>
    <row r="42" spans="1:14" x14ac:dyDescent="0.25">
      <c r="A42" s="360" t="s">
        <v>217</v>
      </c>
      <c r="B42" s="305">
        <v>24</v>
      </c>
      <c r="C42" s="305">
        <v>24</v>
      </c>
      <c r="D42" s="338"/>
      <c r="E42" s="337"/>
      <c r="F42" s="337"/>
      <c r="G42" s="337"/>
      <c r="H42" s="337"/>
      <c r="I42" s="337"/>
      <c r="J42" s="337"/>
      <c r="K42" s="337"/>
      <c r="L42" s="337"/>
      <c r="M42" s="337"/>
      <c r="N42" s="337"/>
    </row>
    <row r="43" spans="1:14" x14ac:dyDescent="0.25">
      <c r="A43" s="360" t="s">
        <v>218</v>
      </c>
      <c r="B43" s="305">
        <v>1</v>
      </c>
      <c r="C43" s="305">
        <v>1</v>
      </c>
      <c r="D43" s="338"/>
      <c r="E43" s="337"/>
      <c r="F43" s="337"/>
      <c r="G43" s="337"/>
      <c r="H43" s="337"/>
      <c r="I43" s="337"/>
      <c r="J43" s="337"/>
      <c r="K43" s="337"/>
      <c r="L43" s="337"/>
      <c r="M43" s="337"/>
      <c r="N43" s="337"/>
    </row>
    <row r="44" spans="1:14" x14ac:dyDescent="0.25">
      <c r="A44" s="347"/>
      <c r="B44" s="337"/>
      <c r="C44" s="337"/>
      <c r="D44" s="337"/>
      <c r="E44" s="337"/>
      <c r="F44" s="337"/>
      <c r="G44" s="337"/>
      <c r="H44" s="337"/>
      <c r="I44" s="337"/>
      <c r="J44" s="337"/>
      <c r="K44" s="337"/>
      <c r="L44" s="361"/>
      <c r="M44" s="337"/>
      <c r="N44" s="337"/>
    </row>
    <row r="45" spans="1:14" x14ac:dyDescent="0.25">
      <c r="A45" s="362" t="s">
        <v>307</v>
      </c>
      <c r="B45" s="363">
        <v>8</v>
      </c>
      <c r="C45" s="337"/>
      <c r="D45" s="337"/>
      <c r="E45" s="337"/>
      <c r="F45" s="337"/>
      <c r="G45" s="337"/>
      <c r="H45" s="337"/>
      <c r="I45" s="337"/>
      <c r="J45" s="337"/>
      <c r="K45" s="337"/>
      <c r="L45" s="361"/>
      <c r="M45" s="337"/>
      <c r="N45" s="337"/>
    </row>
    <row r="46" spans="1:14" x14ac:dyDescent="0.25">
      <c r="A46" s="334" t="s">
        <v>308</v>
      </c>
      <c r="B46" s="306">
        <f>B45*365</f>
        <v>2920</v>
      </c>
      <c r="C46" s="337"/>
      <c r="D46" s="337"/>
      <c r="E46" s="337"/>
      <c r="F46" s="337"/>
      <c r="G46" s="337"/>
      <c r="H46" s="337"/>
      <c r="I46" s="337"/>
      <c r="J46" s="337"/>
      <c r="K46" s="337"/>
      <c r="L46" s="361"/>
      <c r="M46" s="337"/>
      <c r="N46" s="337"/>
    </row>
    <row r="47" spans="1:14" x14ac:dyDescent="0.25">
      <c r="A47" s="334" t="s">
        <v>309</v>
      </c>
      <c r="B47" s="364">
        <v>0.75</v>
      </c>
      <c r="C47" s="337"/>
      <c r="D47" s="337"/>
      <c r="E47" s="337"/>
      <c r="F47" s="337"/>
      <c r="G47" s="337"/>
      <c r="H47" s="337"/>
      <c r="I47" s="337"/>
      <c r="J47" s="337"/>
      <c r="K47" s="337"/>
      <c r="L47" s="361"/>
      <c r="M47" s="337"/>
      <c r="N47" s="337"/>
    </row>
    <row r="48" spans="1:14" x14ac:dyDescent="0.25">
      <c r="A48" s="365" t="s">
        <v>310</v>
      </c>
      <c r="B48" s="363">
        <f>ROUND((365*B45)*B47,0)</f>
        <v>2190</v>
      </c>
      <c r="C48" s="337"/>
      <c r="D48" s="337"/>
      <c r="E48" s="337"/>
      <c r="F48" s="337"/>
      <c r="G48" s="337"/>
      <c r="H48" s="337"/>
      <c r="I48" s="337"/>
      <c r="J48" s="337"/>
      <c r="K48" s="337"/>
      <c r="L48" s="361"/>
      <c r="M48" s="337"/>
      <c r="N48" s="337"/>
    </row>
    <row r="49" spans="1:15" x14ac:dyDescent="0.25">
      <c r="A49" s="366" t="s">
        <v>311</v>
      </c>
      <c r="B49" s="364">
        <v>0.9</v>
      </c>
      <c r="C49" s="337"/>
      <c r="D49" s="337"/>
      <c r="E49" s="337"/>
      <c r="F49" s="337"/>
      <c r="G49" s="337"/>
      <c r="H49" s="337"/>
      <c r="I49" s="337"/>
      <c r="J49" s="337"/>
      <c r="K49" s="337"/>
      <c r="L49" s="361"/>
      <c r="M49" s="337"/>
      <c r="N49" s="337"/>
    </row>
    <row r="50" spans="1:15" x14ac:dyDescent="0.25">
      <c r="A50" s="347"/>
      <c r="B50" s="337"/>
      <c r="C50" s="337"/>
      <c r="D50" s="337"/>
      <c r="E50" s="337"/>
      <c r="F50" s="337"/>
      <c r="G50" s="337"/>
      <c r="H50" s="337"/>
      <c r="I50" s="337"/>
      <c r="J50" s="337"/>
      <c r="K50" s="337"/>
      <c r="L50" s="361"/>
      <c r="M50" s="337"/>
      <c r="N50" s="337"/>
    </row>
    <row r="51" spans="1:15" x14ac:dyDescent="0.25">
      <c r="A51" s="347"/>
      <c r="B51" s="367"/>
      <c r="C51" s="367"/>
      <c r="D51" s="337"/>
      <c r="E51" s="337"/>
      <c r="F51" s="337"/>
      <c r="G51" s="337"/>
      <c r="H51" s="337"/>
      <c r="I51" s="337"/>
      <c r="J51" s="337"/>
      <c r="K51" s="337"/>
      <c r="L51" s="361"/>
      <c r="M51" s="337"/>
      <c r="N51" s="337"/>
    </row>
    <row r="52" spans="1:15" s="235" customFormat="1" ht="18.75" x14ac:dyDescent="0.3">
      <c r="A52" s="368" t="s">
        <v>329</v>
      </c>
      <c r="B52" s="285"/>
      <c r="C52" s="285"/>
      <c r="D52" s="285"/>
      <c r="E52" s="285"/>
      <c r="F52" s="285"/>
      <c r="G52" s="285"/>
      <c r="H52" s="285"/>
      <c r="I52" s="285"/>
      <c r="J52" s="285"/>
      <c r="K52" s="285"/>
      <c r="L52" s="369"/>
      <c r="M52" s="285"/>
      <c r="N52" s="285"/>
    </row>
    <row r="53" spans="1:15" s="235" customFormat="1" x14ac:dyDescent="0.25">
      <c r="A53" s="370"/>
      <c r="B53" s="285"/>
      <c r="C53" s="285"/>
      <c r="D53" s="285"/>
      <c r="E53" s="285"/>
      <c r="F53" s="285"/>
      <c r="G53" s="285"/>
      <c r="H53" s="285"/>
      <c r="I53" s="285"/>
      <c r="J53" s="285"/>
      <c r="K53" s="285"/>
      <c r="L53" s="369"/>
      <c r="M53" s="285"/>
      <c r="N53" s="285"/>
    </row>
    <row r="54" spans="1:15" s="235" customFormat="1" x14ac:dyDescent="0.25">
      <c r="A54" s="370" t="s">
        <v>330</v>
      </c>
      <c r="B54" s="370"/>
      <c r="C54" s="370"/>
      <c r="D54" s="285"/>
      <c r="E54" s="285"/>
      <c r="F54" s="285"/>
      <c r="G54" s="285"/>
      <c r="H54" s="285"/>
      <c r="I54" s="285"/>
      <c r="J54" s="285"/>
      <c r="K54" s="285"/>
      <c r="L54" s="369"/>
      <c r="M54" s="285"/>
      <c r="N54" s="285"/>
    </row>
    <row r="55" spans="1:15" s="235" customFormat="1" ht="28.5" x14ac:dyDescent="0.25">
      <c r="A55" s="363" t="s">
        <v>331</v>
      </c>
      <c r="B55" s="363" t="s">
        <v>332</v>
      </c>
      <c r="C55" s="371" t="s">
        <v>333</v>
      </c>
      <c r="D55" s="371" t="s">
        <v>334</v>
      </c>
      <c r="E55" s="371" t="s">
        <v>335</v>
      </c>
      <c r="F55" s="371" t="s">
        <v>336</v>
      </c>
      <c r="G55" s="371" t="s">
        <v>337</v>
      </c>
      <c r="H55" s="285"/>
      <c r="I55" s="285"/>
      <c r="J55" s="285"/>
      <c r="K55" s="285"/>
      <c r="L55" s="369"/>
      <c r="M55" s="285"/>
      <c r="N55" s="285"/>
    </row>
    <row r="56" spans="1:15" s="235" customFormat="1" x14ac:dyDescent="0.25">
      <c r="A56" s="372" t="s">
        <v>340</v>
      </c>
      <c r="B56" s="372">
        <v>328</v>
      </c>
      <c r="C56" s="372">
        <v>328</v>
      </c>
      <c r="D56" s="372">
        <v>211</v>
      </c>
      <c r="E56" s="373">
        <v>2019</v>
      </c>
      <c r="F56" s="374">
        <v>18.77</v>
      </c>
      <c r="G56" s="375">
        <f>ROUND(B56*F56,0)</f>
        <v>6157</v>
      </c>
      <c r="H56" s="285"/>
      <c r="I56" s="285"/>
      <c r="J56" s="285"/>
      <c r="K56" s="285"/>
      <c r="L56" s="369"/>
      <c r="M56" s="285"/>
      <c r="N56" s="285"/>
    </row>
    <row r="57" spans="1:15" s="235" customFormat="1" x14ac:dyDescent="0.25">
      <c r="A57" s="285" t="s">
        <v>341</v>
      </c>
      <c r="B57" s="285"/>
      <c r="C57" s="285"/>
      <c r="D57" s="285"/>
      <c r="E57" s="285"/>
      <c r="F57" s="285"/>
      <c r="G57" s="285"/>
      <c r="H57" s="285"/>
      <c r="I57" s="285"/>
      <c r="J57" s="285"/>
      <c r="K57" s="285"/>
      <c r="L57" s="369"/>
      <c r="M57" s="285"/>
      <c r="N57" s="285"/>
    </row>
    <row r="58" spans="1:15" s="235" customFormat="1" x14ac:dyDescent="0.25">
      <c r="A58" s="285" t="s">
        <v>338</v>
      </c>
      <c r="B58" s="285"/>
      <c r="C58" s="285"/>
      <c r="D58" s="285"/>
      <c r="E58" s="285"/>
      <c r="F58" s="285"/>
      <c r="G58" s="285"/>
      <c r="H58" s="285"/>
      <c r="I58" s="285"/>
      <c r="J58" s="285"/>
      <c r="K58" s="285"/>
      <c r="L58" s="369"/>
      <c r="M58" s="285"/>
      <c r="N58" s="285"/>
    </row>
    <row r="59" spans="1:15" s="235" customFormat="1" x14ac:dyDescent="0.25">
      <c r="A59" s="575"/>
      <c r="B59" s="549" t="s">
        <v>6</v>
      </c>
      <c r="C59" s="577" t="s">
        <v>7</v>
      </c>
      <c r="D59" s="578"/>
      <c r="E59" s="604" t="s">
        <v>239</v>
      </c>
      <c r="F59" s="607" t="s">
        <v>350</v>
      </c>
      <c r="G59" s="604" t="s">
        <v>349</v>
      </c>
      <c r="H59" s="549" t="s">
        <v>193</v>
      </c>
      <c r="I59" s="549" t="s">
        <v>347</v>
      </c>
      <c r="J59" s="550" t="s">
        <v>236</v>
      </c>
      <c r="K59" s="285"/>
      <c r="L59" s="285"/>
      <c r="M59" s="285"/>
      <c r="N59" s="285"/>
    </row>
    <row r="60" spans="1:15" s="235" customFormat="1" ht="74.25" customHeight="1" x14ac:dyDescent="0.25">
      <c r="A60" s="576"/>
      <c r="B60" s="549"/>
      <c r="C60" s="50" t="s">
        <v>9</v>
      </c>
      <c r="D60" s="244" t="s">
        <v>10</v>
      </c>
      <c r="E60" s="604"/>
      <c r="F60" s="608"/>
      <c r="G60" s="604"/>
      <c r="H60" s="549"/>
      <c r="I60" s="549"/>
      <c r="J60" s="550"/>
      <c r="K60" s="285"/>
      <c r="L60" s="285"/>
      <c r="M60" s="285"/>
      <c r="N60" s="285"/>
    </row>
    <row r="61" spans="1:15" s="235" customFormat="1" x14ac:dyDescent="0.25">
      <c r="A61" s="290" t="s">
        <v>348</v>
      </c>
      <c r="B61" s="298">
        <v>1</v>
      </c>
      <c r="C61" s="298">
        <v>1</v>
      </c>
      <c r="D61" s="376">
        <v>0.25</v>
      </c>
      <c r="E61" s="377">
        <f>ROUND((D61*1485)*12,2)</f>
        <v>4455</v>
      </c>
      <c r="F61" s="377">
        <f>ROUND(E61*0.4,2)</f>
        <v>1782</v>
      </c>
      <c r="G61" s="377">
        <f>ROUND(E61*0.3,2)</f>
        <v>1336.5</v>
      </c>
      <c r="H61" s="377">
        <f>ROUND((E61+G61+F61)*0.2409,2)</f>
        <v>1824.46</v>
      </c>
      <c r="I61" s="196">
        <f>3540*D61</f>
        <v>885</v>
      </c>
      <c r="J61" s="378">
        <f>ROUND(SUM(E61:I61),0)</f>
        <v>10283</v>
      </c>
      <c r="K61" s="285"/>
      <c r="L61" s="285"/>
      <c r="M61" s="285"/>
      <c r="N61" s="285"/>
    </row>
    <row r="62" spans="1:15" s="235" customFormat="1" ht="73.5" customHeight="1" x14ac:dyDescent="0.25">
      <c r="A62" s="379" t="s">
        <v>342</v>
      </c>
      <c r="B62" s="159">
        <f>J61-G56</f>
        <v>4126</v>
      </c>
      <c r="C62" s="380"/>
      <c r="D62" s="381"/>
      <c r="E62" s="382"/>
      <c r="F62" s="382"/>
      <c r="G62" s="382"/>
      <c r="H62" s="382"/>
      <c r="I62" s="383"/>
      <c r="J62" s="384"/>
      <c r="K62" s="285"/>
      <c r="L62" s="285"/>
      <c r="M62" s="285"/>
      <c r="N62" s="285"/>
    </row>
    <row r="63" spans="1:15" s="233" customFormat="1" ht="15" x14ac:dyDescent="0.25">
      <c r="A63" s="296" t="s">
        <v>344</v>
      </c>
      <c r="B63" s="296"/>
      <c r="C63" s="385"/>
      <c r="D63" s="385"/>
      <c r="E63" s="385"/>
      <c r="F63" s="385"/>
      <c r="G63" s="385"/>
      <c r="H63" s="386"/>
      <c r="I63" s="386"/>
      <c r="J63" s="386"/>
      <c r="K63" s="386"/>
      <c r="L63" s="386"/>
      <c r="M63" s="289"/>
      <c r="N63" s="289"/>
      <c r="O63" s="239"/>
    </row>
    <row r="64" spans="1:15" s="233" customFormat="1" ht="15.75" customHeight="1" x14ac:dyDescent="0.25">
      <c r="A64" s="296" t="s">
        <v>351</v>
      </c>
      <c r="B64" s="296"/>
      <c r="C64" s="296"/>
      <c r="D64" s="385"/>
      <c r="E64" s="385"/>
      <c r="F64" s="385"/>
      <c r="G64" s="385"/>
      <c r="H64" s="386"/>
      <c r="I64" s="386"/>
      <c r="J64" s="387"/>
      <c r="K64" s="386"/>
      <c r="L64" s="386"/>
      <c r="M64" s="289"/>
      <c r="N64" s="289"/>
      <c r="O64" s="239"/>
    </row>
    <row r="65" spans="1:19" s="235" customFormat="1" x14ac:dyDescent="0.25">
      <c r="A65" s="285"/>
      <c r="B65" s="285"/>
      <c r="C65" s="285"/>
      <c r="D65" s="285"/>
      <c r="E65" s="285"/>
      <c r="F65" s="285"/>
      <c r="G65" s="285"/>
      <c r="H65" s="285"/>
      <c r="I65" s="285"/>
      <c r="J65" s="285"/>
      <c r="K65" s="285"/>
      <c r="L65" s="369"/>
      <c r="M65" s="285"/>
      <c r="N65" s="285"/>
    </row>
    <row r="66" spans="1:19" s="235" customFormat="1" x14ac:dyDescent="0.25">
      <c r="A66" s="388" t="s">
        <v>387</v>
      </c>
      <c r="B66" s="23"/>
      <c r="C66" s="23"/>
      <c r="D66" s="23"/>
      <c r="E66" s="23"/>
      <c r="F66" s="23"/>
      <c r="G66" s="23"/>
      <c r="H66" s="23"/>
      <c r="I66" s="23"/>
      <c r="J66" s="23"/>
      <c r="K66" s="23"/>
      <c r="L66" s="23"/>
      <c r="M66" s="23"/>
      <c r="N66" s="285"/>
    </row>
    <row r="67" spans="1:19" s="235" customFormat="1" ht="39.950000000000003" customHeight="1" x14ac:dyDescent="0.25">
      <c r="A67" s="575"/>
      <c r="B67" s="549" t="s">
        <v>6</v>
      </c>
      <c r="C67" s="577" t="s">
        <v>7</v>
      </c>
      <c r="D67" s="578"/>
      <c r="E67" s="604" t="s">
        <v>239</v>
      </c>
      <c r="F67" s="607" t="s">
        <v>240</v>
      </c>
      <c r="G67" s="604" t="s">
        <v>237</v>
      </c>
      <c r="H67" s="549" t="s">
        <v>193</v>
      </c>
      <c r="I67" s="549" t="s">
        <v>235</v>
      </c>
      <c r="J67" s="550" t="s">
        <v>236</v>
      </c>
      <c r="K67" s="285"/>
      <c r="L67" s="285"/>
      <c r="M67" s="285"/>
      <c r="N67" s="285"/>
    </row>
    <row r="68" spans="1:19" s="235" customFormat="1" ht="51" customHeight="1" x14ac:dyDescent="0.25">
      <c r="A68" s="576"/>
      <c r="B68" s="549"/>
      <c r="C68" s="50" t="s">
        <v>9</v>
      </c>
      <c r="D68" s="244" t="s">
        <v>10</v>
      </c>
      <c r="E68" s="604"/>
      <c r="F68" s="608"/>
      <c r="G68" s="604"/>
      <c r="H68" s="549"/>
      <c r="I68" s="549"/>
      <c r="J68" s="550"/>
      <c r="K68" s="285"/>
      <c r="L68" s="285"/>
      <c r="M68" s="285"/>
      <c r="N68" s="285"/>
    </row>
    <row r="69" spans="1:19" s="235" customFormat="1" x14ac:dyDescent="0.25">
      <c r="A69" s="290" t="s">
        <v>343</v>
      </c>
      <c r="B69" s="298">
        <v>1</v>
      </c>
      <c r="C69" s="298">
        <v>1</v>
      </c>
      <c r="D69" s="389">
        <v>0.5</v>
      </c>
      <c r="E69" s="377">
        <f>ROUND((D69*1485)*12,2)</f>
        <v>8910</v>
      </c>
      <c r="F69" s="377">
        <f>ROUND(E69*0.4,2)</f>
        <v>3564</v>
      </c>
      <c r="G69" s="377">
        <f>ROUND(E69*0.3,2)</f>
        <v>2673</v>
      </c>
      <c r="H69" s="377">
        <f>ROUND((E69+G69+F69)*0.2409,2)</f>
        <v>3648.91</v>
      </c>
      <c r="I69" s="52">
        <f>3540*D69</f>
        <v>1770</v>
      </c>
      <c r="J69" s="378">
        <f>ROUND(SUM(E69:I69),0)</f>
        <v>20566</v>
      </c>
      <c r="K69" s="285"/>
      <c r="L69" s="369"/>
      <c r="M69" s="285"/>
      <c r="N69" s="285"/>
      <c r="S69" s="238"/>
    </row>
    <row r="70" spans="1:19" s="235" customFormat="1" x14ac:dyDescent="0.25">
      <c r="A70" s="53" t="s">
        <v>13</v>
      </c>
      <c r="B70" s="244">
        <v>1</v>
      </c>
      <c r="C70" s="50">
        <v>1</v>
      </c>
      <c r="D70" s="390">
        <v>0.5</v>
      </c>
      <c r="E70" s="377">
        <f>ROUND((D70*1485)*12,2)</f>
        <v>8910</v>
      </c>
      <c r="F70" s="377">
        <f>ROUND(E70*0.4,2)</f>
        <v>3564</v>
      </c>
      <c r="G70" s="377">
        <f t="shared" ref="G70:G71" si="0">ROUND(E70*0.3,2)</f>
        <v>2673</v>
      </c>
      <c r="H70" s="377">
        <f t="shared" ref="H70:H71" si="1">ROUND((E70+G70+F70)*0.2409,2)</f>
        <v>3648.91</v>
      </c>
      <c r="I70" s="391">
        <f>(3416)*D70</f>
        <v>1708</v>
      </c>
      <c r="J70" s="378">
        <f t="shared" ref="J70:J71" si="2">ROUND(SUM(E70:I70),0)</f>
        <v>20504</v>
      </c>
      <c r="K70" s="285"/>
      <c r="L70" s="369"/>
      <c r="M70" s="285"/>
      <c r="N70" s="285"/>
      <c r="S70" s="238"/>
    </row>
    <row r="71" spans="1:19" s="235" customFormat="1" x14ac:dyDescent="0.25">
      <c r="A71" s="392" t="s">
        <v>306</v>
      </c>
      <c r="B71" s="244">
        <v>1</v>
      </c>
      <c r="C71" s="377">
        <v>1</v>
      </c>
      <c r="D71" s="390">
        <v>0.5</v>
      </c>
      <c r="E71" s="377">
        <f>ROUND((D71*1485)*12,2)</f>
        <v>8910</v>
      </c>
      <c r="F71" s="377">
        <f>ROUND(E71*0.4,2)</f>
        <v>3564</v>
      </c>
      <c r="G71" s="377">
        <f t="shared" si="0"/>
        <v>2673</v>
      </c>
      <c r="H71" s="377">
        <f t="shared" si="1"/>
        <v>3648.91</v>
      </c>
      <c r="I71" s="391">
        <f>(3416*D71)</f>
        <v>1708</v>
      </c>
      <c r="J71" s="378">
        <f t="shared" si="2"/>
        <v>20504</v>
      </c>
      <c r="K71" s="285"/>
      <c r="L71" s="369"/>
      <c r="M71" s="285"/>
      <c r="N71" s="285"/>
      <c r="S71" s="238"/>
    </row>
    <row r="72" spans="1:19" s="235" customFormat="1" x14ac:dyDescent="0.25">
      <c r="A72" s="393" t="s">
        <v>5</v>
      </c>
      <c r="B72" s="57">
        <f t="shared" ref="B72:J72" si="3">B70+B69+B71</f>
        <v>3</v>
      </c>
      <c r="C72" s="58">
        <f t="shared" si="3"/>
        <v>3</v>
      </c>
      <c r="D72" s="394">
        <f t="shared" si="3"/>
        <v>1.5</v>
      </c>
      <c r="E72" s="58">
        <f t="shared" si="3"/>
        <v>26730</v>
      </c>
      <c r="F72" s="58">
        <f t="shared" si="3"/>
        <v>10692</v>
      </c>
      <c r="G72" s="58">
        <f t="shared" si="3"/>
        <v>8019</v>
      </c>
      <c r="H72" s="58">
        <f t="shared" si="3"/>
        <v>10946.73</v>
      </c>
      <c r="I72" s="58">
        <f t="shared" si="3"/>
        <v>5186</v>
      </c>
      <c r="J72" s="159">
        <f t="shared" si="3"/>
        <v>61574</v>
      </c>
      <c r="K72" s="285"/>
      <c r="L72" s="285"/>
      <c r="M72" s="285"/>
      <c r="N72" s="285"/>
    </row>
    <row r="73" spans="1:19" s="235" customFormat="1" x14ac:dyDescent="0.25">
      <c r="A73" s="23"/>
      <c r="B73" s="395"/>
      <c r="C73" s="385"/>
      <c r="D73" s="385"/>
      <c r="E73" s="385"/>
      <c r="F73" s="385"/>
      <c r="G73" s="385"/>
      <c r="H73" s="386"/>
      <c r="I73" s="386"/>
      <c r="J73" s="386"/>
      <c r="K73" s="386"/>
      <c r="L73" s="386"/>
      <c r="M73" s="386"/>
      <c r="N73" s="285"/>
    </row>
    <row r="74" spans="1:19" s="233" customFormat="1" ht="15" x14ac:dyDescent="0.25">
      <c r="A74" s="296" t="s">
        <v>346</v>
      </c>
      <c r="B74" s="296"/>
      <c r="C74" s="385"/>
      <c r="D74" s="385"/>
      <c r="E74" s="385"/>
      <c r="F74" s="385"/>
      <c r="G74" s="385"/>
      <c r="H74" s="386"/>
      <c r="I74" s="386"/>
      <c r="J74" s="386"/>
      <c r="K74" s="386"/>
      <c r="L74" s="386"/>
      <c r="M74" s="289"/>
      <c r="N74" s="289"/>
      <c r="O74" s="239"/>
    </row>
    <row r="75" spans="1:19" s="233" customFormat="1" ht="15" x14ac:dyDescent="0.25">
      <c r="A75" s="296" t="s">
        <v>229</v>
      </c>
      <c r="B75" s="296"/>
      <c r="C75" s="385"/>
      <c r="D75" s="385"/>
      <c r="E75" s="385"/>
      <c r="F75" s="385"/>
      <c r="G75" s="385"/>
      <c r="H75" s="386"/>
      <c r="I75" s="386"/>
      <c r="J75" s="386"/>
      <c r="K75" s="386"/>
      <c r="L75" s="386"/>
      <c r="M75" s="289"/>
      <c r="N75" s="289"/>
      <c r="O75" s="239"/>
    </row>
    <row r="76" spans="1:19" s="233" customFormat="1" ht="15" x14ac:dyDescent="0.25">
      <c r="A76" s="296" t="s">
        <v>230</v>
      </c>
      <c r="B76" s="296"/>
      <c r="C76" s="385"/>
      <c r="D76" s="385"/>
      <c r="E76" s="385"/>
      <c r="F76" s="385"/>
      <c r="G76" s="385"/>
      <c r="H76" s="386"/>
      <c r="I76" s="386"/>
      <c r="J76" s="386"/>
      <c r="K76" s="386"/>
      <c r="L76" s="386"/>
      <c r="M76" s="289"/>
      <c r="N76" s="289"/>
      <c r="O76" s="239"/>
    </row>
    <row r="77" spans="1:19" s="233" customFormat="1" ht="15.75" customHeight="1" x14ac:dyDescent="0.25">
      <c r="A77" s="296" t="s">
        <v>339</v>
      </c>
      <c r="B77" s="296"/>
      <c r="C77" s="296"/>
      <c r="D77" s="385"/>
      <c r="E77" s="385"/>
      <c r="F77" s="385"/>
      <c r="G77" s="385"/>
      <c r="H77" s="386"/>
      <c r="I77" s="386"/>
      <c r="J77" s="387"/>
      <c r="K77" s="386"/>
      <c r="L77" s="386"/>
      <c r="M77" s="289"/>
      <c r="N77" s="289"/>
      <c r="O77" s="239"/>
    </row>
    <row r="78" spans="1:19" s="233" customFormat="1" ht="30.75" customHeight="1" x14ac:dyDescent="0.25">
      <c r="A78" s="296" t="s">
        <v>304</v>
      </c>
      <c r="B78" s="296"/>
      <c r="C78" s="296"/>
      <c r="D78" s="385"/>
      <c r="E78" s="385"/>
      <c r="F78" s="385"/>
      <c r="G78" s="385"/>
      <c r="H78" s="386"/>
      <c r="I78" s="386"/>
      <c r="J78" s="386"/>
      <c r="K78" s="386"/>
      <c r="L78" s="386"/>
      <c r="M78" s="289"/>
      <c r="N78" s="289"/>
      <c r="O78" s="239"/>
    </row>
    <row r="79" spans="1:19" s="233" customFormat="1" ht="15.75" customHeight="1" x14ac:dyDescent="0.25">
      <c r="A79" s="296"/>
      <c r="B79" s="296"/>
      <c r="C79" s="296"/>
      <c r="D79" s="385"/>
      <c r="E79" s="385"/>
      <c r="F79" s="385"/>
      <c r="G79" s="385"/>
      <c r="H79" s="386"/>
      <c r="I79" s="386"/>
      <c r="J79" s="387"/>
      <c r="K79" s="386"/>
      <c r="L79" s="386"/>
      <c r="M79" s="289"/>
      <c r="N79" s="289"/>
      <c r="O79" s="239"/>
    </row>
    <row r="80" spans="1:19" s="233" customFormat="1" ht="15.75" customHeight="1" x14ac:dyDescent="0.25">
      <c r="A80" s="296"/>
      <c r="B80" s="296"/>
      <c r="C80" s="296"/>
      <c r="D80" s="385"/>
      <c r="E80" s="385"/>
      <c r="F80" s="385"/>
      <c r="G80" s="385"/>
      <c r="H80" s="386"/>
      <c r="I80" s="386"/>
      <c r="J80" s="387"/>
      <c r="K80" s="386"/>
      <c r="L80" s="386"/>
      <c r="M80" s="289"/>
      <c r="N80" s="289"/>
      <c r="O80" s="239"/>
    </row>
    <row r="81" spans="1:15" s="233" customFormat="1" ht="29.25" customHeight="1" x14ac:dyDescent="0.25">
      <c r="A81" s="611" t="s">
        <v>394</v>
      </c>
      <c r="B81" s="611"/>
      <c r="C81" s="296"/>
      <c r="D81" s="385"/>
      <c r="E81" s="612" t="s">
        <v>395</v>
      </c>
      <c r="F81" s="613"/>
      <c r="G81" s="385"/>
      <c r="H81" s="386"/>
      <c r="I81" s="386"/>
      <c r="J81" s="386"/>
      <c r="K81" s="386"/>
      <c r="L81" s="386"/>
      <c r="M81" s="289"/>
      <c r="N81" s="289"/>
      <c r="O81" s="239"/>
    </row>
    <row r="82" spans="1:15" s="236" customFormat="1" x14ac:dyDescent="0.25">
      <c r="A82" s="337"/>
      <c r="B82" s="337"/>
      <c r="C82" s="337"/>
      <c r="D82" s="337"/>
      <c r="E82" s="337"/>
      <c r="F82" s="337"/>
      <c r="G82" s="337"/>
      <c r="H82" s="337"/>
      <c r="I82" s="337"/>
      <c r="J82" s="337"/>
      <c r="K82" s="337"/>
      <c r="L82" s="337"/>
      <c r="M82" s="337"/>
      <c r="N82" s="337"/>
    </row>
    <row r="83" spans="1:15" s="236" customFormat="1" ht="18.75" x14ac:dyDescent="0.3">
      <c r="A83" s="609"/>
      <c r="B83" s="609"/>
      <c r="C83" s="337"/>
      <c r="D83" s="337"/>
      <c r="E83" s="337"/>
      <c r="F83" s="337"/>
      <c r="G83" s="337"/>
      <c r="H83" s="337"/>
      <c r="I83" s="337"/>
      <c r="J83" s="337"/>
      <c r="K83" s="337"/>
      <c r="L83" s="337"/>
      <c r="M83" s="337"/>
      <c r="N83" s="337"/>
    </row>
    <row r="84" spans="1:15" s="236" customFormat="1" x14ac:dyDescent="0.25">
      <c r="A84" s="337"/>
      <c r="B84" s="337"/>
      <c r="C84" s="337"/>
      <c r="D84" s="337"/>
      <c r="E84" s="337"/>
      <c r="F84" s="337"/>
      <c r="G84" s="337"/>
      <c r="H84" s="337"/>
      <c r="I84" s="337"/>
      <c r="J84" s="337"/>
      <c r="K84" s="337"/>
      <c r="L84" s="337"/>
      <c r="M84" s="337"/>
      <c r="N84" s="337"/>
    </row>
    <row r="85" spans="1:15" s="236" customFormat="1" ht="18.75" x14ac:dyDescent="0.3">
      <c r="A85" s="337"/>
      <c r="D85" s="337"/>
      <c r="E85" s="337"/>
      <c r="F85" s="610"/>
      <c r="G85" s="610"/>
      <c r="H85" s="337"/>
      <c r="I85" s="337"/>
      <c r="J85" s="337"/>
      <c r="K85" s="337"/>
      <c r="L85" s="337"/>
      <c r="M85" s="337"/>
      <c r="N85" s="337"/>
    </row>
    <row r="86" spans="1:15" s="236" customFormat="1" x14ac:dyDescent="0.25">
      <c r="A86" s="337"/>
      <c r="B86" s="337"/>
      <c r="C86" s="337"/>
      <c r="D86" s="337"/>
      <c r="E86" s="337"/>
      <c r="F86" s="337"/>
      <c r="G86" s="337"/>
      <c r="H86" s="337"/>
      <c r="I86" s="337"/>
      <c r="J86" s="337"/>
      <c r="K86" s="337"/>
      <c r="L86" s="337"/>
      <c r="M86" s="337"/>
      <c r="N86" s="337"/>
    </row>
    <row r="87" spans="1:15" s="236" customFormat="1" x14ac:dyDescent="0.25">
      <c r="A87" s="337"/>
      <c r="B87" s="337"/>
      <c r="C87" s="337"/>
      <c r="D87" s="337"/>
      <c r="E87" s="337"/>
      <c r="F87" s="337"/>
      <c r="G87" s="337"/>
      <c r="H87" s="337"/>
      <c r="I87" s="337"/>
      <c r="J87" s="337"/>
      <c r="K87" s="337"/>
      <c r="L87" s="337"/>
      <c r="M87" s="337"/>
      <c r="N87" s="337"/>
    </row>
    <row r="88" spans="1:15" s="236" customFormat="1" x14ac:dyDescent="0.25">
      <c r="A88" s="337"/>
      <c r="B88" s="337"/>
      <c r="C88" s="337"/>
      <c r="D88" s="337"/>
      <c r="E88" s="337"/>
      <c r="F88" s="337"/>
      <c r="G88" s="337"/>
      <c r="H88" s="337"/>
      <c r="I88" s="337"/>
      <c r="J88" s="337"/>
      <c r="K88" s="337"/>
      <c r="L88" s="337"/>
      <c r="M88" s="337"/>
      <c r="N88" s="337"/>
    </row>
    <row r="89" spans="1:15" s="236" customFormat="1" x14ac:dyDescent="0.25">
      <c r="A89" s="337"/>
      <c r="B89" s="337"/>
      <c r="C89" s="337"/>
      <c r="D89" s="337"/>
      <c r="E89" s="337"/>
      <c r="F89" s="337"/>
      <c r="G89" s="337"/>
      <c r="H89" s="337"/>
      <c r="I89" s="337"/>
      <c r="J89" s="337"/>
      <c r="K89" s="337"/>
      <c r="L89" s="337"/>
      <c r="M89" s="337"/>
      <c r="N89" s="337"/>
    </row>
  </sheetData>
  <mergeCells count="30">
    <mergeCell ref="A83:B83"/>
    <mergeCell ref="F85:G85"/>
    <mergeCell ref="A81:B81"/>
    <mergeCell ref="E81:F81"/>
    <mergeCell ref="A67:A68"/>
    <mergeCell ref="B67:B68"/>
    <mergeCell ref="C67:D67"/>
    <mergeCell ref="E67:E68"/>
    <mergeCell ref="F67:F68"/>
    <mergeCell ref="G67:G68"/>
    <mergeCell ref="H67:H68"/>
    <mergeCell ref="I67:I68"/>
    <mergeCell ref="J67:J68"/>
    <mergeCell ref="F59:F60"/>
    <mergeCell ref="G59:G60"/>
    <mergeCell ref="H59:H60"/>
    <mergeCell ref="I59:I60"/>
    <mergeCell ref="J59:J60"/>
    <mergeCell ref="A59:A60"/>
    <mergeCell ref="B59:B60"/>
    <mergeCell ref="C59:D59"/>
    <mergeCell ref="E59:E60"/>
    <mergeCell ref="A8:B8"/>
    <mergeCell ref="A16:D16"/>
    <mergeCell ref="A11:E11"/>
    <mergeCell ref="A5:B5"/>
    <mergeCell ref="A4:B4"/>
    <mergeCell ref="A3:E3"/>
    <mergeCell ref="A6:B6"/>
    <mergeCell ref="A7:B7"/>
  </mergeCells>
  <pageMargins left="0.70866141732283472" right="0.70866141732283472" top="0.74803149606299213" bottom="0.74803149606299213" header="0.31496062992125984" footer="0.31496062992125984"/>
  <pageSetup paperSize="9" scale="50" fitToHeight="0" orientation="landscape" r:id="rId1"/>
  <headerFooter>
    <oddFooter>&amp;L(TA-1235)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1"/>
  <sheetViews>
    <sheetView view="pageLayout" topLeftCell="A20" zoomScaleNormal="90" workbookViewId="0">
      <selection activeCell="A38" sqref="A38"/>
    </sheetView>
  </sheetViews>
  <sheetFormatPr defaultColWidth="9.140625" defaultRowHeight="15" x14ac:dyDescent="0.25"/>
  <cols>
    <col min="1" max="1" width="36.5703125" style="20" customWidth="1"/>
    <col min="2" max="3" width="17" style="20" customWidth="1"/>
    <col min="4" max="4" width="15.85546875" style="20" customWidth="1"/>
    <col min="5" max="6" width="17.28515625" style="20" customWidth="1"/>
    <col min="7" max="7" width="17.140625" style="20" customWidth="1"/>
    <col min="8" max="8" width="13.5703125" style="20" customWidth="1"/>
    <col min="9" max="16384" width="9.140625" style="20"/>
  </cols>
  <sheetData>
    <row r="1" spans="1:13" x14ac:dyDescent="0.25">
      <c r="M1" s="96" t="s">
        <v>179</v>
      </c>
    </row>
    <row r="2" spans="1:13" x14ac:dyDescent="0.25">
      <c r="M2" s="96"/>
    </row>
    <row r="3" spans="1:13" ht="39" customHeight="1" x14ac:dyDescent="0.25">
      <c r="A3" s="538" t="s">
        <v>69</v>
      </c>
      <c r="B3" s="538"/>
      <c r="C3" s="538"/>
      <c r="D3" s="538"/>
      <c r="E3" s="538"/>
      <c r="F3" s="538"/>
      <c r="G3" s="538"/>
      <c r="H3" s="538"/>
      <c r="I3" s="538"/>
      <c r="J3" s="538"/>
      <c r="K3" s="538"/>
      <c r="L3" s="538"/>
      <c r="M3" s="538"/>
    </row>
    <row r="5" spans="1:13" ht="78.75" x14ac:dyDescent="0.25">
      <c r="A5" s="541" t="s">
        <v>194</v>
      </c>
      <c r="B5" s="542"/>
      <c r="C5" s="107" t="s">
        <v>196</v>
      </c>
      <c r="D5" s="107" t="s">
        <v>197</v>
      </c>
      <c r="E5" s="107" t="s">
        <v>198</v>
      </c>
      <c r="F5" s="117"/>
      <c r="G5" s="117"/>
      <c r="H5" s="117"/>
    </row>
    <row r="6" spans="1:13" ht="33" customHeight="1" x14ac:dyDescent="0.25">
      <c r="A6" s="543" t="s">
        <v>190</v>
      </c>
      <c r="B6" s="544"/>
      <c r="C6" s="105">
        <f>B15</f>
        <v>50000</v>
      </c>
      <c r="D6" s="105">
        <f>C15</f>
        <v>50000</v>
      </c>
      <c r="E6" s="105">
        <f>D15</f>
        <v>50000</v>
      </c>
      <c r="F6" s="106"/>
      <c r="G6" s="106"/>
      <c r="H6" s="106"/>
    </row>
    <row r="8" spans="1:13" ht="35.25" customHeight="1" x14ac:dyDescent="0.25">
      <c r="A8" s="539" t="s">
        <v>180</v>
      </c>
      <c r="B8" s="539"/>
      <c r="C8" s="539"/>
      <c r="D8" s="539"/>
      <c r="E8" s="539"/>
      <c r="F8" s="539"/>
      <c r="G8" s="539"/>
      <c r="H8" s="539"/>
      <c r="I8" s="539"/>
      <c r="J8" s="539"/>
      <c r="K8" s="539"/>
      <c r="L8" s="539"/>
      <c r="M8" s="539"/>
    </row>
    <row r="10" spans="1:13" x14ac:dyDescent="0.25">
      <c r="A10" s="97" t="s">
        <v>146</v>
      </c>
      <c r="B10" s="535" t="s">
        <v>147</v>
      </c>
      <c r="C10" s="536"/>
      <c r="D10" s="537"/>
    </row>
    <row r="11" spans="1:13" x14ac:dyDescent="0.25">
      <c r="A11" s="97"/>
      <c r="B11" s="98" t="s">
        <v>148</v>
      </c>
      <c r="C11" s="98" t="s">
        <v>149</v>
      </c>
      <c r="D11" s="99" t="s">
        <v>150</v>
      </c>
      <c r="E11" s="100" t="s">
        <v>151</v>
      </c>
    </row>
    <row r="12" spans="1:13" x14ac:dyDescent="0.25">
      <c r="A12" s="97" t="s">
        <v>152</v>
      </c>
      <c r="B12" s="125">
        <v>20000</v>
      </c>
      <c r="C12" s="125">
        <v>20000</v>
      </c>
      <c r="D12" s="126">
        <v>20000</v>
      </c>
      <c r="E12" s="125">
        <f>SUM(B12:D12)</f>
        <v>60000</v>
      </c>
    </row>
    <row r="13" spans="1:13" x14ac:dyDescent="0.25">
      <c r="A13" s="97" t="s">
        <v>153</v>
      </c>
      <c r="B13" s="125">
        <v>10000</v>
      </c>
      <c r="C13" s="125">
        <v>10000</v>
      </c>
      <c r="D13" s="126">
        <v>10000</v>
      </c>
      <c r="E13" s="125">
        <f t="shared" ref="E13:E15" si="0">SUM(B13:D13)</f>
        <v>30000</v>
      </c>
    </row>
    <row r="14" spans="1:13" x14ac:dyDescent="0.25">
      <c r="A14" s="97" t="s">
        <v>154</v>
      </c>
      <c r="B14" s="125">
        <v>20000</v>
      </c>
      <c r="C14" s="125">
        <v>20000</v>
      </c>
      <c r="D14" s="126">
        <v>20000</v>
      </c>
      <c r="E14" s="125">
        <f t="shared" si="0"/>
        <v>60000</v>
      </c>
    </row>
    <row r="15" spans="1:13" x14ac:dyDescent="0.25">
      <c r="A15" s="101" t="s">
        <v>151</v>
      </c>
      <c r="B15" s="127">
        <f>SUM(B12:B14)</f>
        <v>50000</v>
      </c>
      <c r="C15" s="127">
        <f t="shared" ref="C15:D15" si="1">SUM(C12:C14)</f>
        <v>50000</v>
      </c>
      <c r="D15" s="127">
        <f t="shared" si="1"/>
        <v>50000</v>
      </c>
      <c r="E15" s="128">
        <f t="shared" si="0"/>
        <v>150000</v>
      </c>
    </row>
    <row r="18" spans="1:14" x14ac:dyDescent="0.25">
      <c r="N18" s="96"/>
    </row>
    <row r="19" spans="1:14" ht="32.25" customHeight="1" x14ac:dyDescent="0.25">
      <c r="A19" s="539" t="s">
        <v>181</v>
      </c>
      <c r="B19" s="539"/>
      <c r="C19" s="539"/>
      <c r="D19" s="539"/>
      <c r="E19" s="539"/>
      <c r="F19" s="539"/>
      <c r="G19" s="539"/>
      <c r="H19" s="539"/>
      <c r="I19" s="539"/>
      <c r="J19" s="539"/>
      <c r="K19" s="539"/>
      <c r="L19" s="539"/>
      <c r="M19" s="539"/>
      <c r="N19" s="102"/>
    </row>
    <row r="21" spans="1:14" x14ac:dyDescent="0.25">
      <c r="A21" s="540" t="s">
        <v>185</v>
      </c>
      <c r="B21" s="540"/>
      <c r="C21" s="540"/>
      <c r="D21" s="540"/>
      <c r="E21" s="540"/>
      <c r="F21" s="540"/>
      <c r="G21" s="540"/>
      <c r="H21" s="540"/>
      <c r="I21" s="540"/>
      <c r="J21" s="540"/>
      <c r="K21" s="540"/>
      <c r="L21" s="540"/>
      <c r="M21" s="540"/>
    </row>
  </sheetData>
  <mergeCells count="7">
    <mergeCell ref="B10:D10"/>
    <mergeCell ref="A3:M3"/>
    <mergeCell ref="A8:M8"/>
    <mergeCell ref="A19:M19"/>
    <mergeCell ref="A21:M21"/>
    <mergeCell ref="A5:B5"/>
    <mergeCell ref="A6:B6"/>
  </mergeCells>
  <pageMargins left="0.7" right="0.7" top="0.75" bottom="0.75" header="0.3" footer="0.3"/>
  <pageSetup scale="61" fitToHeight="0" orientation="landscape" r:id="rId1"/>
  <headerFooter>
    <oddFooter>&amp;L(TA-1235)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
  <sheetViews>
    <sheetView view="pageLayout" topLeftCell="A2" zoomScaleNormal="100" workbookViewId="0">
      <selection activeCell="A24" sqref="A24"/>
    </sheetView>
  </sheetViews>
  <sheetFormatPr defaultColWidth="9.140625" defaultRowHeight="15" x14ac:dyDescent="0.25"/>
  <cols>
    <col min="1" max="1" width="25.28515625" style="20" customWidth="1"/>
    <col min="2" max="2" width="19.5703125" style="20" customWidth="1"/>
    <col min="3" max="3" width="16" style="20" customWidth="1"/>
    <col min="4" max="4" width="17.140625" style="20" customWidth="1"/>
    <col min="5" max="5" width="17.7109375" style="20" customWidth="1"/>
    <col min="6" max="6" width="16.85546875" style="20" customWidth="1"/>
    <col min="7" max="7" width="18" style="20" customWidth="1"/>
    <col min="8" max="8" width="14.42578125" style="20" customWidth="1"/>
    <col min="9" max="16384" width="9.140625" style="20"/>
  </cols>
  <sheetData>
    <row r="1" spans="1:13" x14ac:dyDescent="0.25">
      <c r="F1" s="96" t="s">
        <v>178</v>
      </c>
    </row>
    <row r="2" spans="1:13" x14ac:dyDescent="0.25">
      <c r="M2" s="96"/>
    </row>
    <row r="3" spans="1:13" ht="37.5" customHeight="1" x14ac:dyDescent="0.25">
      <c r="A3" s="538" t="s">
        <v>389</v>
      </c>
      <c r="B3" s="538"/>
      <c r="C3" s="538"/>
      <c r="D3" s="538"/>
      <c r="E3" s="538"/>
      <c r="F3" s="538"/>
      <c r="G3" s="112"/>
      <c r="H3" s="112"/>
      <c r="I3" s="112"/>
      <c r="J3" s="112"/>
      <c r="K3" s="112"/>
      <c r="L3" s="112"/>
      <c r="M3" s="112"/>
    </row>
    <row r="4" spans="1:13" x14ac:dyDescent="0.25">
      <c r="M4" s="96"/>
    </row>
    <row r="5" spans="1:13" ht="78.75" x14ac:dyDescent="0.25">
      <c r="A5" s="541" t="s">
        <v>194</v>
      </c>
      <c r="B5" s="542"/>
      <c r="C5" s="107" t="s">
        <v>196</v>
      </c>
      <c r="D5" s="107" t="s">
        <v>197</v>
      </c>
      <c r="E5" s="107" t="s">
        <v>198</v>
      </c>
      <c r="F5" s="117"/>
      <c r="G5" s="117"/>
      <c r="H5" s="117"/>
      <c r="M5" s="96"/>
    </row>
    <row r="6" spans="1:13" ht="31.5" customHeight="1" x14ac:dyDescent="0.25">
      <c r="A6" s="543" t="s">
        <v>190</v>
      </c>
      <c r="B6" s="544"/>
      <c r="C6" s="105">
        <f>B14</f>
        <v>10000</v>
      </c>
      <c r="D6" s="105">
        <f>C14</f>
        <v>37000</v>
      </c>
      <c r="E6" s="105">
        <f>D14</f>
        <v>37000</v>
      </c>
      <c r="F6" s="106"/>
      <c r="G6" s="106"/>
      <c r="H6" s="106"/>
      <c r="M6" s="96"/>
    </row>
    <row r="7" spans="1:13" x14ac:dyDescent="0.25">
      <c r="M7" s="96"/>
    </row>
    <row r="8" spans="1:13" ht="31.5" customHeight="1" x14ac:dyDescent="0.25">
      <c r="A8" s="545" t="s">
        <v>182</v>
      </c>
      <c r="B8" s="545"/>
      <c r="C8" s="545"/>
      <c r="D8" s="545"/>
      <c r="E8" s="545"/>
      <c r="F8" s="545"/>
      <c r="G8" s="450"/>
      <c r="H8" s="450"/>
      <c r="I8" s="450"/>
      <c r="J8" s="450"/>
      <c r="K8" s="450"/>
      <c r="L8" s="450"/>
      <c r="M8" s="450"/>
    </row>
    <row r="10" spans="1:13" x14ac:dyDescent="0.25">
      <c r="A10" s="97" t="s">
        <v>146</v>
      </c>
      <c r="B10" s="535" t="s">
        <v>147</v>
      </c>
      <c r="C10" s="536"/>
      <c r="D10" s="537"/>
    </row>
    <row r="11" spans="1:13" x14ac:dyDescent="0.25">
      <c r="A11" s="97"/>
      <c r="B11" s="98" t="s">
        <v>148</v>
      </c>
      <c r="C11" s="98" t="s">
        <v>149</v>
      </c>
      <c r="D11" s="99" t="s">
        <v>150</v>
      </c>
      <c r="E11" s="100" t="s">
        <v>151</v>
      </c>
    </row>
    <row r="12" spans="1:13" x14ac:dyDescent="0.25">
      <c r="A12" s="97" t="s">
        <v>155</v>
      </c>
      <c r="B12" s="125">
        <v>10000</v>
      </c>
      <c r="C12" s="125"/>
      <c r="D12" s="126"/>
      <c r="E12" s="125">
        <f>SUM(B12:D12)</f>
        <v>10000</v>
      </c>
    </row>
    <row r="13" spans="1:13" x14ac:dyDescent="0.25">
      <c r="A13" s="97" t="s">
        <v>156</v>
      </c>
      <c r="B13" s="125"/>
      <c r="C13" s="125">
        <v>37000</v>
      </c>
      <c r="D13" s="125">
        <v>37000</v>
      </c>
      <c r="E13" s="125">
        <f>SUM(B13:D13)</f>
        <v>74000</v>
      </c>
    </row>
    <row r="14" spans="1:13" x14ac:dyDescent="0.25">
      <c r="A14" s="101" t="s">
        <v>151</v>
      </c>
      <c r="B14" s="127">
        <f>SUM(B12:B13)</f>
        <v>10000</v>
      </c>
      <c r="C14" s="127">
        <f>SUM(C12:C13)</f>
        <v>37000</v>
      </c>
      <c r="D14" s="127">
        <f>SUM(D12:D13)</f>
        <v>37000</v>
      </c>
      <c r="E14" s="128">
        <f t="shared" ref="E14" si="0">SUM(B14:D14)</f>
        <v>84000</v>
      </c>
    </row>
  </sheetData>
  <mergeCells count="5">
    <mergeCell ref="B10:D10"/>
    <mergeCell ref="A5:B5"/>
    <mergeCell ref="A6:B6"/>
    <mergeCell ref="A3:F3"/>
    <mergeCell ref="A8:F8"/>
  </mergeCells>
  <pageMargins left="0.7" right="0.7" top="0.75" bottom="0.75" header="0.3" footer="0.3"/>
  <pageSetup paperSize="9" fitToHeight="0" orientation="landscape" r:id="rId1"/>
  <headerFooter>
    <oddFooter>&amp;L&amp;8(TA-1235)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
  <sheetViews>
    <sheetView view="pageLayout" topLeftCell="A2" zoomScaleNormal="100" workbookViewId="0">
      <selection activeCell="B21" sqref="B21"/>
    </sheetView>
  </sheetViews>
  <sheetFormatPr defaultColWidth="9.140625" defaultRowHeight="15" x14ac:dyDescent="0.25"/>
  <cols>
    <col min="1" max="1" width="13.140625" style="20" customWidth="1"/>
    <col min="2" max="2" width="14.140625" style="20" customWidth="1"/>
    <col min="3" max="3" width="15.42578125" style="20" customWidth="1"/>
    <col min="4" max="4" width="14.28515625" style="20" customWidth="1"/>
    <col min="5" max="5" width="14.85546875" style="20" customWidth="1"/>
    <col min="6" max="6" width="16.5703125" style="20" customWidth="1"/>
    <col min="7" max="7" width="16.28515625" style="20" customWidth="1"/>
    <col min="8" max="8" width="15" style="20" customWidth="1"/>
    <col min="9" max="16384" width="9.140625" style="20"/>
  </cols>
  <sheetData>
    <row r="1" spans="1:13" x14ac:dyDescent="0.25">
      <c r="H1" s="96" t="s">
        <v>177</v>
      </c>
    </row>
    <row r="2" spans="1:13" x14ac:dyDescent="0.25">
      <c r="M2" s="96"/>
    </row>
    <row r="3" spans="1:13" ht="17.25" customHeight="1" x14ac:dyDescent="0.3">
      <c r="A3" s="546" t="s">
        <v>388</v>
      </c>
      <c r="B3" s="546"/>
      <c r="C3" s="546"/>
      <c r="D3" s="546"/>
      <c r="E3" s="546"/>
      <c r="F3" s="546"/>
      <c r="G3" s="546"/>
      <c r="H3" s="546"/>
      <c r="I3" s="451"/>
      <c r="J3" s="451"/>
      <c r="K3" s="451"/>
      <c r="L3" s="451"/>
      <c r="M3" s="451"/>
    </row>
    <row r="4" spans="1:13" x14ac:dyDescent="0.25">
      <c r="M4" s="96"/>
    </row>
    <row r="5" spans="1:13" ht="94.5" x14ac:dyDescent="0.25">
      <c r="A5" s="541" t="s">
        <v>194</v>
      </c>
      <c r="B5" s="542"/>
      <c r="C5" s="107" t="s">
        <v>196</v>
      </c>
      <c r="D5" s="107" t="s">
        <v>197</v>
      </c>
      <c r="E5" s="117"/>
      <c r="F5" s="117"/>
      <c r="G5" s="117"/>
      <c r="H5" s="117"/>
      <c r="M5" s="96"/>
    </row>
    <row r="6" spans="1:13" ht="30" customHeight="1" x14ac:dyDescent="0.25">
      <c r="A6" s="543" t="s">
        <v>190</v>
      </c>
      <c r="B6" s="544"/>
      <c r="C6" s="105">
        <f>B13</f>
        <v>82500</v>
      </c>
      <c r="D6" s="105">
        <f>C13</f>
        <v>82500</v>
      </c>
      <c r="E6" s="106"/>
      <c r="F6" s="106"/>
      <c r="G6" s="106"/>
      <c r="H6" s="106"/>
      <c r="M6" s="96"/>
    </row>
    <row r="7" spans="1:13" x14ac:dyDescent="0.25">
      <c r="M7" s="96"/>
    </row>
    <row r="8" spans="1:13" x14ac:dyDescent="0.25">
      <c r="A8" s="547" t="s">
        <v>182</v>
      </c>
      <c r="B8" s="547"/>
      <c r="C8" s="547"/>
      <c r="D8" s="547"/>
      <c r="E8" s="547"/>
      <c r="F8" s="547"/>
      <c r="G8" s="547"/>
      <c r="H8" s="547"/>
      <c r="I8" s="111"/>
      <c r="J8" s="111"/>
      <c r="K8" s="111"/>
      <c r="L8" s="111"/>
      <c r="M8" s="111"/>
    </row>
    <row r="10" spans="1:13" x14ac:dyDescent="0.25">
      <c r="A10" s="97" t="s">
        <v>146</v>
      </c>
      <c r="B10" s="535" t="s">
        <v>147</v>
      </c>
      <c r="C10" s="536"/>
      <c r="D10" s="537"/>
    </row>
    <row r="11" spans="1:13" x14ac:dyDescent="0.25">
      <c r="A11" s="97"/>
      <c r="B11" s="98" t="s">
        <v>148</v>
      </c>
      <c r="C11" s="98" t="s">
        <v>149</v>
      </c>
      <c r="D11" s="99" t="s">
        <v>150</v>
      </c>
      <c r="E11" s="100" t="s">
        <v>151</v>
      </c>
    </row>
    <row r="12" spans="1:13" x14ac:dyDescent="0.25">
      <c r="A12" s="97" t="s">
        <v>156</v>
      </c>
      <c r="B12" s="125">
        <v>82500</v>
      </c>
      <c r="C12" s="125">
        <v>82500</v>
      </c>
      <c r="D12" s="125"/>
      <c r="E12" s="125">
        <f t="shared" ref="E12:E13" si="0">SUM(B12:D12)</f>
        <v>165000</v>
      </c>
    </row>
    <row r="13" spans="1:13" x14ac:dyDescent="0.25">
      <c r="A13" s="101" t="s">
        <v>151</v>
      </c>
      <c r="B13" s="127">
        <f>SUM(B12:B12)</f>
        <v>82500</v>
      </c>
      <c r="C13" s="127">
        <f>SUM(C12:C12)</f>
        <v>82500</v>
      </c>
      <c r="D13" s="125">
        <f>SUM(D12:D12)</f>
        <v>0</v>
      </c>
      <c r="E13" s="128">
        <f t="shared" si="0"/>
        <v>165000</v>
      </c>
    </row>
  </sheetData>
  <mergeCells count="5">
    <mergeCell ref="B10:D10"/>
    <mergeCell ref="A5:B5"/>
    <mergeCell ref="A6:B6"/>
    <mergeCell ref="A3:H3"/>
    <mergeCell ref="A8:H8"/>
  </mergeCells>
  <pageMargins left="0.7" right="0.7" top="0.75" bottom="0.75" header="0.3" footer="0.3"/>
  <pageSetup paperSize="9" fitToHeight="0" orientation="landscape" r:id="rId1"/>
  <headerFooter>
    <oddFooter>&amp;L&amp;8(TA-1235)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3"/>
  <sheetViews>
    <sheetView view="pageLayout" topLeftCell="A8" zoomScaleNormal="100" workbookViewId="0">
      <selection activeCell="A28" sqref="A28"/>
    </sheetView>
  </sheetViews>
  <sheetFormatPr defaultColWidth="9.140625" defaultRowHeight="15" x14ac:dyDescent="0.25"/>
  <cols>
    <col min="1" max="1" width="14.42578125" style="20" customWidth="1"/>
    <col min="2" max="2" width="21" style="20" customWidth="1"/>
    <col min="3" max="3" width="17.85546875" style="20" customWidth="1"/>
    <col min="4" max="4" width="16.85546875" style="20" customWidth="1"/>
    <col min="5" max="5" width="14.140625" style="20" customWidth="1"/>
    <col min="6" max="6" width="15.7109375" style="20" customWidth="1"/>
    <col min="7" max="7" width="16.28515625" style="20" customWidth="1"/>
    <col min="8" max="8" width="16.5703125" style="20" customWidth="1"/>
    <col min="9" max="16384" width="9.140625" style="20"/>
  </cols>
  <sheetData>
    <row r="1" spans="1:16" x14ac:dyDescent="0.25">
      <c r="K1" s="96" t="s">
        <v>176</v>
      </c>
    </row>
    <row r="2" spans="1:16" x14ac:dyDescent="0.25">
      <c r="P2" s="96"/>
    </row>
    <row r="3" spans="1:16" ht="79.5" customHeight="1" x14ac:dyDescent="0.25">
      <c r="A3" s="538" t="s">
        <v>183</v>
      </c>
      <c r="B3" s="538"/>
      <c r="C3" s="538"/>
      <c r="D3" s="538"/>
      <c r="E3" s="538"/>
      <c r="F3" s="538"/>
      <c r="G3" s="538"/>
      <c r="H3" s="538"/>
      <c r="I3" s="538"/>
      <c r="J3" s="538"/>
      <c r="K3" s="538"/>
      <c r="L3" s="112"/>
      <c r="M3" s="112"/>
      <c r="N3" s="112"/>
      <c r="O3" s="112"/>
      <c r="P3" s="112"/>
    </row>
    <row r="4" spans="1:16" x14ac:dyDescent="0.25">
      <c r="P4" s="96"/>
    </row>
    <row r="5" spans="1:16" ht="78.75" x14ac:dyDescent="0.25">
      <c r="A5" s="541" t="s">
        <v>194</v>
      </c>
      <c r="B5" s="542"/>
      <c r="C5" s="107" t="s">
        <v>197</v>
      </c>
      <c r="D5" s="107" t="s">
        <v>198</v>
      </c>
      <c r="F5" s="117"/>
      <c r="G5" s="117"/>
      <c r="H5" s="117"/>
      <c r="P5" s="96"/>
    </row>
    <row r="6" spans="1:16" ht="34.5" customHeight="1" x14ac:dyDescent="0.25">
      <c r="A6" s="543" t="s">
        <v>190</v>
      </c>
      <c r="B6" s="544"/>
      <c r="C6" s="105">
        <f>C13</f>
        <v>68000</v>
      </c>
      <c r="D6" s="105">
        <f>D13</f>
        <v>68000</v>
      </c>
      <c r="F6" s="106"/>
      <c r="G6" s="106"/>
      <c r="H6" s="106"/>
      <c r="P6" s="96"/>
    </row>
    <row r="7" spans="1:16" x14ac:dyDescent="0.25">
      <c r="P7" s="96"/>
    </row>
    <row r="8" spans="1:16" x14ac:dyDescent="0.25">
      <c r="A8" s="548" t="s">
        <v>184</v>
      </c>
      <c r="B8" s="548"/>
      <c r="C8" s="548"/>
      <c r="D8" s="548"/>
      <c r="E8" s="548"/>
      <c r="F8" s="548"/>
      <c r="G8" s="548"/>
      <c r="H8" s="548"/>
      <c r="I8" s="548"/>
      <c r="J8" s="548"/>
      <c r="K8" s="548"/>
      <c r="L8" s="111"/>
      <c r="M8" s="111"/>
      <c r="N8" s="111"/>
      <c r="O8" s="111"/>
      <c r="P8" s="111"/>
    </row>
    <row r="10" spans="1:16" x14ac:dyDescent="0.25">
      <c r="A10" s="97" t="s">
        <v>146</v>
      </c>
      <c r="B10" s="535" t="s">
        <v>147</v>
      </c>
      <c r="C10" s="536"/>
      <c r="D10" s="537"/>
    </row>
    <row r="11" spans="1:16" x14ac:dyDescent="0.25">
      <c r="A11" s="97"/>
      <c r="B11" s="98" t="s">
        <v>148</v>
      </c>
      <c r="C11" s="98" t="s">
        <v>149</v>
      </c>
      <c r="D11" s="99" t="s">
        <v>150</v>
      </c>
      <c r="E11" s="100" t="s">
        <v>151</v>
      </c>
    </row>
    <row r="12" spans="1:16" x14ac:dyDescent="0.25">
      <c r="A12" s="97" t="s">
        <v>157</v>
      </c>
      <c r="B12" s="125"/>
      <c r="C12" s="125">
        <v>68000</v>
      </c>
      <c r="D12" s="125">
        <v>68000</v>
      </c>
      <c r="E12" s="125">
        <f t="shared" ref="E12:E13" si="0">SUM(B12:D12)</f>
        <v>136000</v>
      </c>
    </row>
    <row r="13" spans="1:16" x14ac:dyDescent="0.25">
      <c r="A13" s="101" t="s">
        <v>151</v>
      </c>
      <c r="B13" s="125"/>
      <c r="C13" s="125">
        <f>SUM(C12:C12)</f>
        <v>68000</v>
      </c>
      <c r="D13" s="125">
        <f>SUM(D12:D12)</f>
        <v>68000</v>
      </c>
      <c r="E13" s="128">
        <f t="shared" si="0"/>
        <v>136000</v>
      </c>
    </row>
  </sheetData>
  <mergeCells count="5">
    <mergeCell ref="B10:D10"/>
    <mergeCell ref="A5:B5"/>
    <mergeCell ref="A6:B6"/>
    <mergeCell ref="A8:K8"/>
    <mergeCell ref="A3:K3"/>
  </mergeCells>
  <pageMargins left="0.7" right="0.7" top="0.75" bottom="0.75" header="0.3" footer="0.3"/>
  <pageSetup paperSize="9" scale="81" fitToHeight="0" orientation="landscape" r:id="rId1"/>
  <headerFooter>
    <oddFooter>&amp;L(TA-1235)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77"/>
  <sheetViews>
    <sheetView showGridLines="0" view="pageLayout" topLeftCell="A43" zoomScaleNormal="90" workbookViewId="0">
      <selection activeCell="C29" sqref="C29"/>
    </sheetView>
  </sheetViews>
  <sheetFormatPr defaultRowHeight="15" x14ac:dyDescent="0.25"/>
  <cols>
    <col min="1" max="1" width="3.7109375" style="19" customWidth="1"/>
    <col min="2" max="2" width="29.140625" style="19" customWidth="1"/>
    <col min="3" max="3" width="14.85546875" style="19" customWidth="1"/>
    <col min="4" max="4" width="15.42578125" style="19" customWidth="1"/>
    <col min="5" max="5" width="15.85546875" style="19" customWidth="1"/>
    <col min="6" max="6" width="15.5703125" style="19" customWidth="1"/>
    <col min="7" max="7" width="17" style="19" customWidth="1"/>
    <col min="8" max="8" width="16.140625" style="19" customWidth="1"/>
    <col min="9" max="9" width="22.85546875" style="19" customWidth="1"/>
    <col min="10" max="10" width="13.28515625" style="19" customWidth="1"/>
    <col min="11" max="11" width="15.7109375" style="19" customWidth="1"/>
    <col min="12" max="12" width="13.5703125" style="19" customWidth="1"/>
    <col min="13" max="13" width="14.140625" style="76" customWidth="1"/>
    <col min="14" max="14" width="9.140625" style="76"/>
    <col min="15" max="15" width="11" style="19" customWidth="1"/>
    <col min="16" max="16" width="11.85546875" style="19" customWidth="1"/>
    <col min="17" max="17" width="12" style="19" customWidth="1"/>
    <col min="18" max="18" width="11.7109375" style="19" customWidth="1"/>
    <col min="19" max="257" width="9.140625" style="19"/>
    <col min="258" max="259" width="41" style="19" customWidth="1"/>
    <col min="260" max="260" width="23.42578125" style="19" customWidth="1"/>
    <col min="261" max="261" width="25" style="19" customWidth="1"/>
    <col min="262" max="262" width="43.140625" style="19" customWidth="1"/>
    <col min="263" max="263" width="14.5703125" style="19" customWidth="1"/>
    <col min="264" max="270" width="9.140625" style="19"/>
    <col min="271" max="271" width="5.5703125" style="19" customWidth="1"/>
    <col min="272" max="272" width="13.140625" style="19" customWidth="1"/>
    <col min="273" max="273" width="51.42578125" style="19" customWidth="1"/>
    <col min="274" max="274" width="11.7109375" style="19" customWidth="1"/>
    <col min="275" max="513" width="9.140625" style="19"/>
    <col min="514" max="515" width="41" style="19" customWidth="1"/>
    <col min="516" max="516" width="23.42578125" style="19" customWidth="1"/>
    <col min="517" max="517" width="25" style="19" customWidth="1"/>
    <col min="518" max="518" width="43.140625" style="19" customWidth="1"/>
    <col min="519" max="519" width="14.5703125" style="19" customWidth="1"/>
    <col min="520" max="526" width="9.140625" style="19"/>
    <col min="527" max="527" width="5.5703125" style="19" customWidth="1"/>
    <col min="528" max="528" width="13.140625" style="19" customWidth="1"/>
    <col min="529" max="529" width="51.42578125" style="19" customWidth="1"/>
    <col min="530" max="530" width="11.7109375" style="19" customWidth="1"/>
    <col min="531" max="769" width="9.140625" style="19"/>
    <col min="770" max="771" width="41" style="19" customWidth="1"/>
    <col min="772" max="772" width="23.42578125" style="19" customWidth="1"/>
    <col min="773" max="773" width="25" style="19" customWidth="1"/>
    <col min="774" max="774" width="43.140625" style="19" customWidth="1"/>
    <col min="775" max="775" width="14.5703125" style="19" customWidth="1"/>
    <col min="776" max="782" width="9.140625" style="19"/>
    <col min="783" max="783" width="5.5703125" style="19" customWidth="1"/>
    <col min="784" max="784" width="13.140625" style="19" customWidth="1"/>
    <col min="785" max="785" width="51.42578125" style="19" customWidth="1"/>
    <col min="786" max="786" width="11.7109375" style="19" customWidth="1"/>
    <col min="787" max="1025" width="9.140625" style="19"/>
    <col min="1026" max="1027" width="41" style="19" customWidth="1"/>
    <col min="1028" max="1028" width="23.42578125" style="19" customWidth="1"/>
    <col min="1029" max="1029" width="25" style="19" customWidth="1"/>
    <col min="1030" max="1030" width="43.140625" style="19" customWidth="1"/>
    <col min="1031" max="1031" width="14.5703125" style="19" customWidth="1"/>
    <col min="1032" max="1038" width="9.140625" style="19"/>
    <col min="1039" max="1039" width="5.5703125" style="19" customWidth="1"/>
    <col min="1040" max="1040" width="13.140625" style="19" customWidth="1"/>
    <col min="1041" max="1041" width="51.42578125" style="19" customWidth="1"/>
    <col min="1042" max="1042" width="11.7109375" style="19" customWidth="1"/>
    <col min="1043" max="1281" width="9.140625" style="19"/>
    <col min="1282" max="1283" width="41" style="19" customWidth="1"/>
    <col min="1284" max="1284" width="23.42578125" style="19" customWidth="1"/>
    <col min="1285" max="1285" width="25" style="19" customWidth="1"/>
    <col min="1286" max="1286" width="43.140625" style="19" customWidth="1"/>
    <col min="1287" max="1287" width="14.5703125" style="19" customWidth="1"/>
    <col min="1288" max="1294" width="9.140625" style="19"/>
    <col min="1295" max="1295" width="5.5703125" style="19" customWidth="1"/>
    <col min="1296" max="1296" width="13.140625" style="19" customWidth="1"/>
    <col min="1297" max="1297" width="51.42578125" style="19" customWidth="1"/>
    <col min="1298" max="1298" width="11.7109375" style="19" customWidth="1"/>
    <col min="1299" max="1537" width="9.140625" style="19"/>
    <col min="1538" max="1539" width="41" style="19" customWidth="1"/>
    <col min="1540" max="1540" width="23.42578125" style="19" customWidth="1"/>
    <col min="1541" max="1541" width="25" style="19" customWidth="1"/>
    <col min="1542" max="1542" width="43.140625" style="19" customWidth="1"/>
    <col min="1543" max="1543" width="14.5703125" style="19" customWidth="1"/>
    <col min="1544" max="1550" width="9.140625" style="19"/>
    <col min="1551" max="1551" width="5.5703125" style="19" customWidth="1"/>
    <col min="1552" max="1552" width="13.140625" style="19" customWidth="1"/>
    <col min="1553" max="1553" width="51.42578125" style="19" customWidth="1"/>
    <col min="1554" max="1554" width="11.7109375" style="19" customWidth="1"/>
    <col min="1555" max="1793" width="9.140625" style="19"/>
    <col min="1794" max="1795" width="41" style="19" customWidth="1"/>
    <col min="1796" max="1796" width="23.42578125" style="19" customWidth="1"/>
    <col min="1797" max="1797" width="25" style="19" customWidth="1"/>
    <col min="1798" max="1798" width="43.140625" style="19" customWidth="1"/>
    <col min="1799" max="1799" width="14.5703125" style="19" customWidth="1"/>
    <col min="1800" max="1806" width="9.140625" style="19"/>
    <col min="1807" max="1807" width="5.5703125" style="19" customWidth="1"/>
    <col min="1808" max="1808" width="13.140625" style="19" customWidth="1"/>
    <col min="1809" max="1809" width="51.42578125" style="19" customWidth="1"/>
    <col min="1810" max="1810" width="11.7109375" style="19" customWidth="1"/>
    <col min="1811" max="2049" width="9.140625" style="19"/>
    <col min="2050" max="2051" width="41" style="19" customWidth="1"/>
    <col min="2052" max="2052" width="23.42578125" style="19" customWidth="1"/>
    <col min="2053" max="2053" width="25" style="19" customWidth="1"/>
    <col min="2054" max="2054" width="43.140625" style="19" customWidth="1"/>
    <col min="2055" max="2055" width="14.5703125" style="19" customWidth="1"/>
    <col min="2056" max="2062" width="9.140625" style="19"/>
    <col min="2063" max="2063" width="5.5703125" style="19" customWidth="1"/>
    <col min="2064" max="2064" width="13.140625" style="19" customWidth="1"/>
    <col min="2065" max="2065" width="51.42578125" style="19" customWidth="1"/>
    <col min="2066" max="2066" width="11.7109375" style="19" customWidth="1"/>
    <col min="2067" max="2305" width="9.140625" style="19"/>
    <col min="2306" max="2307" width="41" style="19" customWidth="1"/>
    <col min="2308" max="2308" width="23.42578125" style="19" customWidth="1"/>
    <col min="2309" max="2309" width="25" style="19" customWidth="1"/>
    <col min="2310" max="2310" width="43.140625" style="19" customWidth="1"/>
    <col min="2311" max="2311" width="14.5703125" style="19" customWidth="1"/>
    <col min="2312" max="2318" width="9.140625" style="19"/>
    <col min="2319" max="2319" width="5.5703125" style="19" customWidth="1"/>
    <col min="2320" max="2320" width="13.140625" style="19" customWidth="1"/>
    <col min="2321" max="2321" width="51.42578125" style="19" customWidth="1"/>
    <col min="2322" max="2322" width="11.7109375" style="19" customWidth="1"/>
    <col min="2323" max="2561" width="9.140625" style="19"/>
    <col min="2562" max="2563" width="41" style="19" customWidth="1"/>
    <col min="2564" max="2564" width="23.42578125" style="19" customWidth="1"/>
    <col min="2565" max="2565" width="25" style="19" customWidth="1"/>
    <col min="2566" max="2566" width="43.140625" style="19" customWidth="1"/>
    <col min="2567" max="2567" width="14.5703125" style="19" customWidth="1"/>
    <col min="2568" max="2574" width="9.140625" style="19"/>
    <col min="2575" max="2575" width="5.5703125" style="19" customWidth="1"/>
    <col min="2576" max="2576" width="13.140625" style="19" customWidth="1"/>
    <col min="2577" max="2577" width="51.42578125" style="19" customWidth="1"/>
    <col min="2578" max="2578" width="11.7109375" style="19" customWidth="1"/>
    <col min="2579" max="2817" width="9.140625" style="19"/>
    <col min="2818" max="2819" width="41" style="19" customWidth="1"/>
    <col min="2820" max="2820" width="23.42578125" style="19" customWidth="1"/>
    <col min="2821" max="2821" width="25" style="19" customWidth="1"/>
    <col min="2822" max="2822" width="43.140625" style="19" customWidth="1"/>
    <col min="2823" max="2823" width="14.5703125" style="19" customWidth="1"/>
    <col min="2824" max="2830" width="9.140625" style="19"/>
    <col min="2831" max="2831" width="5.5703125" style="19" customWidth="1"/>
    <col min="2832" max="2832" width="13.140625" style="19" customWidth="1"/>
    <col min="2833" max="2833" width="51.42578125" style="19" customWidth="1"/>
    <col min="2834" max="2834" width="11.7109375" style="19" customWidth="1"/>
    <col min="2835" max="3073" width="9.140625" style="19"/>
    <col min="3074" max="3075" width="41" style="19" customWidth="1"/>
    <col min="3076" max="3076" width="23.42578125" style="19" customWidth="1"/>
    <col min="3077" max="3077" width="25" style="19" customWidth="1"/>
    <col min="3078" max="3078" width="43.140625" style="19" customWidth="1"/>
    <col min="3079" max="3079" width="14.5703125" style="19" customWidth="1"/>
    <col min="3080" max="3086" width="9.140625" style="19"/>
    <col min="3087" max="3087" width="5.5703125" style="19" customWidth="1"/>
    <col min="3088" max="3088" width="13.140625" style="19" customWidth="1"/>
    <col min="3089" max="3089" width="51.42578125" style="19" customWidth="1"/>
    <col min="3090" max="3090" width="11.7109375" style="19" customWidth="1"/>
    <col min="3091" max="3329" width="9.140625" style="19"/>
    <col min="3330" max="3331" width="41" style="19" customWidth="1"/>
    <col min="3332" max="3332" width="23.42578125" style="19" customWidth="1"/>
    <col min="3333" max="3333" width="25" style="19" customWidth="1"/>
    <col min="3334" max="3334" width="43.140625" style="19" customWidth="1"/>
    <col min="3335" max="3335" width="14.5703125" style="19" customWidth="1"/>
    <col min="3336" max="3342" width="9.140625" style="19"/>
    <col min="3343" max="3343" width="5.5703125" style="19" customWidth="1"/>
    <col min="3344" max="3344" width="13.140625" style="19" customWidth="1"/>
    <col min="3345" max="3345" width="51.42578125" style="19" customWidth="1"/>
    <col min="3346" max="3346" width="11.7109375" style="19" customWidth="1"/>
    <col min="3347" max="3585" width="9.140625" style="19"/>
    <col min="3586" max="3587" width="41" style="19" customWidth="1"/>
    <col min="3588" max="3588" width="23.42578125" style="19" customWidth="1"/>
    <col min="3589" max="3589" width="25" style="19" customWidth="1"/>
    <col min="3590" max="3590" width="43.140625" style="19" customWidth="1"/>
    <col min="3591" max="3591" width="14.5703125" style="19" customWidth="1"/>
    <col min="3592" max="3598" width="9.140625" style="19"/>
    <col min="3599" max="3599" width="5.5703125" style="19" customWidth="1"/>
    <col min="3600" max="3600" width="13.140625" style="19" customWidth="1"/>
    <col min="3601" max="3601" width="51.42578125" style="19" customWidth="1"/>
    <col min="3602" max="3602" width="11.7109375" style="19" customWidth="1"/>
    <col min="3603" max="3841" width="9.140625" style="19"/>
    <col min="3842" max="3843" width="41" style="19" customWidth="1"/>
    <col min="3844" max="3844" width="23.42578125" style="19" customWidth="1"/>
    <col min="3845" max="3845" width="25" style="19" customWidth="1"/>
    <col min="3846" max="3846" width="43.140625" style="19" customWidth="1"/>
    <col min="3847" max="3847" width="14.5703125" style="19" customWidth="1"/>
    <col min="3848" max="3854" width="9.140625" style="19"/>
    <col min="3855" max="3855" width="5.5703125" style="19" customWidth="1"/>
    <col min="3856" max="3856" width="13.140625" style="19" customWidth="1"/>
    <col min="3857" max="3857" width="51.42578125" style="19" customWidth="1"/>
    <col min="3858" max="3858" width="11.7109375" style="19" customWidth="1"/>
    <col min="3859" max="4097" width="9.140625" style="19"/>
    <col min="4098" max="4099" width="41" style="19" customWidth="1"/>
    <col min="4100" max="4100" width="23.42578125" style="19" customWidth="1"/>
    <col min="4101" max="4101" width="25" style="19" customWidth="1"/>
    <col min="4102" max="4102" width="43.140625" style="19" customWidth="1"/>
    <col min="4103" max="4103" width="14.5703125" style="19" customWidth="1"/>
    <col min="4104" max="4110" width="9.140625" style="19"/>
    <col min="4111" max="4111" width="5.5703125" style="19" customWidth="1"/>
    <col min="4112" max="4112" width="13.140625" style="19" customWidth="1"/>
    <col min="4113" max="4113" width="51.42578125" style="19" customWidth="1"/>
    <col min="4114" max="4114" width="11.7109375" style="19" customWidth="1"/>
    <col min="4115" max="4353" width="9.140625" style="19"/>
    <col min="4354" max="4355" width="41" style="19" customWidth="1"/>
    <col min="4356" max="4356" width="23.42578125" style="19" customWidth="1"/>
    <col min="4357" max="4357" width="25" style="19" customWidth="1"/>
    <col min="4358" max="4358" width="43.140625" style="19" customWidth="1"/>
    <col min="4359" max="4359" width="14.5703125" style="19" customWidth="1"/>
    <col min="4360" max="4366" width="9.140625" style="19"/>
    <col min="4367" max="4367" width="5.5703125" style="19" customWidth="1"/>
    <col min="4368" max="4368" width="13.140625" style="19" customWidth="1"/>
    <col min="4369" max="4369" width="51.42578125" style="19" customWidth="1"/>
    <col min="4370" max="4370" width="11.7109375" style="19" customWidth="1"/>
    <col min="4371" max="4609" width="9.140625" style="19"/>
    <col min="4610" max="4611" width="41" style="19" customWidth="1"/>
    <col min="4612" max="4612" width="23.42578125" style="19" customWidth="1"/>
    <col min="4613" max="4613" width="25" style="19" customWidth="1"/>
    <col min="4614" max="4614" width="43.140625" style="19" customWidth="1"/>
    <col min="4615" max="4615" width="14.5703125" style="19" customWidth="1"/>
    <col min="4616" max="4622" width="9.140625" style="19"/>
    <col min="4623" max="4623" width="5.5703125" style="19" customWidth="1"/>
    <col min="4624" max="4624" width="13.140625" style="19" customWidth="1"/>
    <col min="4625" max="4625" width="51.42578125" style="19" customWidth="1"/>
    <col min="4626" max="4626" width="11.7109375" style="19" customWidth="1"/>
    <col min="4627" max="4865" width="9.140625" style="19"/>
    <col min="4866" max="4867" width="41" style="19" customWidth="1"/>
    <col min="4868" max="4868" width="23.42578125" style="19" customWidth="1"/>
    <col min="4869" max="4869" width="25" style="19" customWidth="1"/>
    <col min="4870" max="4870" width="43.140625" style="19" customWidth="1"/>
    <col min="4871" max="4871" width="14.5703125" style="19" customWidth="1"/>
    <col min="4872" max="4878" width="9.140625" style="19"/>
    <col min="4879" max="4879" width="5.5703125" style="19" customWidth="1"/>
    <col min="4880" max="4880" width="13.140625" style="19" customWidth="1"/>
    <col min="4881" max="4881" width="51.42578125" style="19" customWidth="1"/>
    <col min="4882" max="4882" width="11.7109375" style="19" customWidth="1"/>
    <col min="4883" max="5121" width="9.140625" style="19"/>
    <col min="5122" max="5123" width="41" style="19" customWidth="1"/>
    <col min="5124" max="5124" width="23.42578125" style="19" customWidth="1"/>
    <col min="5125" max="5125" width="25" style="19" customWidth="1"/>
    <col min="5126" max="5126" width="43.140625" style="19" customWidth="1"/>
    <col min="5127" max="5127" width="14.5703125" style="19" customWidth="1"/>
    <col min="5128" max="5134" width="9.140625" style="19"/>
    <col min="5135" max="5135" width="5.5703125" style="19" customWidth="1"/>
    <col min="5136" max="5136" width="13.140625" style="19" customWidth="1"/>
    <col min="5137" max="5137" width="51.42578125" style="19" customWidth="1"/>
    <col min="5138" max="5138" width="11.7109375" style="19" customWidth="1"/>
    <col min="5139" max="5377" width="9.140625" style="19"/>
    <col min="5378" max="5379" width="41" style="19" customWidth="1"/>
    <col min="5380" max="5380" width="23.42578125" style="19" customWidth="1"/>
    <col min="5381" max="5381" width="25" style="19" customWidth="1"/>
    <col min="5382" max="5382" width="43.140625" style="19" customWidth="1"/>
    <col min="5383" max="5383" width="14.5703125" style="19" customWidth="1"/>
    <col min="5384" max="5390" width="9.140625" style="19"/>
    <col min="5391" max="5391" width="5.5703125" style="19" customWidth="1"/>
    <col min="5392" max="5392" width="13.140625" style="19" customWidth="1"/>
    <col min="5393" max="5393" width="51.42578125" style="19" customWidth="1"/>
    <col min="5394" max="5394" width="11.7109375" style="19" customWidth="1"/>
    <col min="5395" max="5633" width="9.140625" style="19"/>
    <col min="5634" max="5635" width="41" style="19" customWidth="1"/>
    <col min="5636" max="5636" width="23.42578125" style="19" customWidth="1"/>
    <col min="5637" max="5637" width="25" style="19" customWidth="1"/>
    <col min="5638" max="5638" width="43.140625" style="19" customWidth="1"/>
    <col min="5639" max="5639" width="14.5703125" style="19" customWidth="1"/>
    <col min="5640" max="5646" width="9.140625" style="19"/>
    <col min="5647" max="5647" width="5.5703125" style="19" customWidth="1"/>
    <col min="5648" max="5648" width="13.140625" style="19" customWidth="1"/>
    <col min="5649" max="5649" width="51.42578125" style="19" customWidth="1"/>
    <col min="5650" max="5650" width="11.7109375" style="19" customWidth="1"/>
    <col min="5651" max="5889" width="9.140625" style="19"/>
    <col min="5890" max="5891" width="41" style="19" customWidth="1"/>
    <col min="5892" max="5892" width="23.42578125" style="19" customWidth="1"/>
    <col min="5893" max="5893" width="25" style="19" customWidth="1"/>
    <col min="5894" max="5894" width="43.140625" style="19" customWidth="1"/>
    <col min="5895" max="5895" width="14.5703125" style="19" customWidth="1"/>
    <col min="5896" max="5902" width="9.140625" style="19"/>
    <col min="5903" max="5903" width="5.5703125" style="19" customWidth="1"/>
    <col min="5904" max="5904" width="13.140625" style="19" customWidth="1"/>
    <col min="5905" max="5905" width="51.42578125" style="19" customWidth="1"/>
    <col min="5906" max="5906" width="11.7109375" style="19" customWidth="1"/>
    <col min="5907" max="6145" width="9.140625" style="19"/>
    <col min="6146" max="6147" width="41" style="19" customWidth="1"/>
    <col min="6148" max="6148" width="23.42578125" style="19" customWidth="1"/>
    <col min="6149" max="6149" width="25" style="19" customWidth="1"/>
    <col min="6150" max="6150" width="43.140625" style="19" customWidth="1"/>
    <col min="6151" max="6151" width="14.5703125" style="19" customWidth="1"/>
    <col min="6152" max="6158" width="9.140625" style="19"/>
    <col min="6159" max="6159" width="5.5703125" style="19" customWidth="1"/>
    <col min="6160" max="6160" width="13.140625" style="19" customWidth="1"/>
    <col min="6161" max="6161" width="51.42578125" style="19" customWidth="1"/>
    <col min="6162" max="6162" width="11.7109375" style="19" customWidth="1"/>
    <col min="6163" max="6401" width="9.140625" style="19"/>
    <col min="6402" max="6403" width="41" style="19" customWidth="1"/>
    <col min="6404" max="6404" width="23.42578125" style="19" customWidth="1"/>
    <col min="6405" max="6405" width="25" style="19" customWidth="1"/>
    <col min="6406" max="6406" width="43.140625" style="19" customWidth="1"/>
    <col min="6407" max="6407" width="14.5703125" style="19" customWidth="1"/>
    <col min="6408" max="6414" width="9.140625" style="19"/>
    <col min="6415" max="6415" width="5.5703125" style="19" customWidth="1"/>
    <col min="6416" max="6416" width="13.140625" style="19" customWidth="1"/>
    <col min="6417" max="6417" width="51.42578125" style="19" customWidth="1"/>
    <col min="6418" max="6418" width="11.7109375" style="19" customWidth="1"/>
    <col min="6419" max="6657" width="9.140625" style="19"/>
    <col min="6658" max="6659" width="41" style="19" customWidth="1"/>
    <col min="6660" max="6660" width="23.42578125" style="19" customWidth="1"/>
    <col min="6661" max="6661" width="25" style="19" customWidth="1"/>
    <col min="6662" max="6662" width="43.140625" style="19" customWidth="1"/>
    <col min="6663" max="6663" width="14.5703125" style="19" customWidth="1"/>
    <col min="6664" max="6670" width="9.140625" style="19"/>
    <col min="6671" max="6671" width="5.5703125" style="19" customWidth="1"/>
    <col min="6672" max="6672" width="13.140625" style="19" customWidth="1"/>
    <col min="6673" max="6673" width="51.42578125" style="19" customWidth="1"/>
    <col min="6674" max="6674" width="11.7109375" style="19" customWidth="1"/>
    <col min="6675" max="6913" width="9.140625" style="19"/>
    <col min="6914" max="6915" width="41" style="19" customWidth="1"/>
    <col min="6916" max="6916" width="23.42578125" style="19" customWidth="1"/>
    <col min="6917" max="6917" width="25" style="19" customWidth="1"/>
    <col min="6918" max="6918" width="43.140625" style="19" customWidth="1"/>
    <col min="6919" max="6919" width="14.5703125" style="19" customWidth="1"/>
    <col min="6920" max="6926" width="9.140625" style="19"/>
    <col min="6927" max="6927" width="5.5703125" style="19" customWidth="1"/>
    <col min="6928" max="6928" width="13.140625" style="19" customWidth="1"/>
    <col min="6929" max="6929" width="51.42578125" style="19" customWidth="1"/>
    <col min="6930" max="6930" width="11.7109375" style="19" customWidth="1"/>
    <col min="6931" max="7169" width="9.140625" style="19"/>
    <col min="7170" max="7171" width="41" style="19" customWidth="1"/>
    <col min="7172" max="7172" width="23.42578125" style="19" customWidth="1"/>
    <col min="7173" max="7173" width="25" style="19" customWidth="1"/>
    <col min="7174" max="7174" width="43.140625" style="19" customWidth="1"/>
    <col min="7175" max="7175" width="14.5703125" style="19" customWidth="1"/>
    <col min="7176" max="7182" width="9.140625" style="19"/>
    <col min="7183" max="7183" width="5.5703125" style="19" customWidth="1"/>
    <col min="7184" max="7184" width="13.140625" style="19" customWidth="1"/>
    <col min="7185" max="7185" width="51.42578125" style="19" customWidth="1"/>
    <col min="7186" max="7186" width="11.7109375" style="19" customWidth="1"/>
    <col min="7187" max="7425" width="9.140625" style="19"/>
    <col min="7426" max="7427" width="41" style="19" customWidth="1"/>
    <col min="7428" max="7428" width="23.42578125" style="19" customWidth="1"/>
    <col min="7429" max="7429" width="25" style="19" customWidth="1"/>
    <col min="7430" max="7430" width="43.140625" style="19" customWidth="1"/>
    <col min="7431" max="7431" width="14.5703125" style="19" customWidth="1"/>
    <col min="7432" max="7438" width="9.140625" style="19"/>
    <col min="7439" max="7439" width="5.5703125" style="19" customWidth="1"/>
    <col min="7440" max="7440" width="13.140625" style="19" customWidth="1"/>
    <col min="7441" max="7441" width="51.42578125" style="19" customWidth="1"/>
    <col min="7442" max="7442" width="11.7109375" style="19" customWidth="1"/>
    <col min="7443" max="7681" width="9.140625" style="19"/>
    <col min="7682" max="7683" width="41" style="19" customWidth="1"/>
    <col min="7684" max="7684" width="23.42578125" style="19" customWidth="1"/>
    <col min="7685" max="7685" width="25" style="19" customWidth="1"/>
    <col min="7686" max="7686" width="43.140625" style="19" customWidth="1"/>
    <col min="7687" max="7687" width="14.5703125" style="19" customWidth="1"/>
    <col min="7688" max="7694" width="9.140625" style="19"/>
    <col min="7695" max="7695" width="5.5703125" style="19" customWidth="1"/>
    <col min="7696" max="7696" width="13.140625" style="19" customWidth="1"/>
    <col min="7697" max="7697" width="51.42578125" style="19" customWidth="1"/>
    <col min="7698" max="7698" width="11.7109375" style="19" customWidth="1"/>
    <col min="7699" max="7937" width="9.140625" style="19"/>
    <col min="7938" max="7939" width="41" style="19" customWidth="1"/>
    <col min="7940" max="7940" width="23.42578125" style="19" customWidth="1"/>
    <col min="7941" max="7941" width="25" style="19" customWidth="1"/>
    <col min="7942" max="7942" width="43.140625" style="19" customWidth="1"/>
    <col min="7943" max="7943" width="14.5703125" style="19" customWidth="1"/>
    <col min="7944" max="7950" width="9.140625" style="19"/>
    <col min="7951" max="7951" width="5.5703125" style="19" customWidth="1"/>
    <col min="7952" max="7952" width="13.140625" style="19" customWidth="1"/>
    <col min="7953" max="7953" width="51.42578125" style="19" customWidth="1"/>
    <col min="7954" max="7954" width="11.7109375" style="19" customWidth="1"/>
    <col min="7955" max="8193" width="9.140625" style="19"/>
    <col min="8194" max="8195" width="41" style="19" customWidth="1"/>
    <col min="8196" max="8196" width="23.42578125" style="19" customWidth="1"/>
    <col min="8197" max="8197" width="25" style="19" customWidth="1"/>
    <col min="8198" max="8198" width="43.140625" style="19" customWidth="1"/>
    <col min="8199" max="8199" width="14.5703125" style="19" customWidth="1"/>
    <col min="8200" max="8206" width="9.140625" style="19"/>
    <col min="8207" max="8207" width="5.5703125" style="19" customWidth="1"/>
    <col min="8208" max="8208" width="13.140625" style="19" customWidth="1"/>
    <col min="8209" max="8209" width="51.42578125" style="19" customWidth="1"/>
    <col min="8210" max="8210" width="11.7109375" style="19" customWidth="1"/>
    <col min="8211" max="8449" width="9.140625" style="19"/>
    <col min="8450" max="8451" width="41" style="19" customWidth="1"/>
    <col min="8452" max="8452" width="23.42578125" style="19" customWidth="1"/>
    <col min="8453" max="8453" width="25" style="19" customWidth="1"/>
    <col min="8454" max="8454" width="43.140625" style="19" customWidth="1"/>
    <col min="8455" max="8455" width="14.5703125" style="19" customWidth="1"/>
    <col min="8456" max="8462" width="9.140625" style="19"/>
    <col min="8463" max="8463" width="5.5703125" style="19" customWidth="1"/>
    <col min="8464" max="8464" width="13.140625" style="19" customWidth="1"/>
    <col min="8465" max="8465" width="51.42578125" style="19" customWidth="1"/>
    <col min="8466" max="8466" width="11.7109375" style="19" customWidth="1"/>
    <col min="8467" max="8705" width="9.140625" style="19"/>
    <col min="8706" max="8707" width="41" style="19" customWidth="1"/>
    <col min="8708" max="8708" width="23.42578125" style="19" customWidth="1"/>
    <col min="8709" max="8709" width="25" style="19" customWidth="1"/>
    <col min="8710" max="8710" width="43.140625" style="19" customWidth="1"/>
    <col min="8711" max="8711" width="14.5703125" style="19" customWidth="1"/>
    <col min="8712" max="8718" width="9.140625" style="19"/>
    <col min="8719" max="8719" width="5.5703125" style="19" customWidth="1"/>
    <col min="8720" max="8720" width="13.140625" style="19" customWidth="1"/>
    <col min="8721" max="8721" width="51.42578125" style="19" customWidth="1"/>
    <col min="8722" max="8722" width="11.7109375" style="19" customWidth="1"/>
    <col min="8723" max="8961" width="9.140625" style="19"/>
    <col min="8962" max="8963" width="41" style="19" customWidth="1"/>
    <col min="8964" max="8964" width="23.42578125" style="19" customWidth="1"/>
    <col min="8965" max="8965" width="25" style="19" customWidth="1"/>
    <col min="8966" max="8966" width="43.140625" style="19" customWidth="1"/>
    <col min="8967" max="8967" width="14.5703125" style="19" customWidth="1"/>
    <col min="8968" max="8974" width="9.140625" style="19"/>
    <col min="8975" max="8975" width="5.5703125" style="19" customWidth="1"/>
    <col min="8976" max="8976" width="13.140625" style="19" customWidth="1"/>
    <col min="8977" max="8977" width="51.42578125" style="19" customWidth="1"/>
    <col min="8978" max="8978" width="11.7109375" style="19" customWidth="1"/>
    <col min="8979" max="9217" width="9.140625" style="19"/>
    <col min="9218" max="9219" width="41" style="19" customWidth="1"/>
    <col min="9220" max="9220" width="23.42578125" style="19" customWidth="1"/>
    <col min="9221" max="9221" width="25" style="19" customWidth="1"/>
    <col min="9222" max="9222" width="43.140625" style="19" customWidth="1"/>
    <col min="9223" max="9223" width="14.5703125" style="19" customWidth="1"/>
    <col min="9224" max="9230" width="9.140625" style="19"/>
    <col min="9231" max="9231" width="5.5703125" style="19" customWidth="1"/>
    <col min="9232" max="9232" width="13.140625" style="19" customWidth="1"/>
    <col min="9233" max="9233" width="51.42578125" style="19" customWidth="1"/>
    <col min="9234" max="9234" width="11.7109375" style="19" customWidth="1"/>
    <col min="9235" max="9473" width="9.140625" style="19"/>
    <col min="9474" max="9475" width="41" style="19" customWidth="1"/>
    <col min="9476" max="9476" width="23.42578125" style="19" customWidth="1"/>
    <col min="9477" max="9477" width="25" style="19" customWidth="1"/>
    <col min="9478" max="9478" width="43.140625" style="19" customWidth="1"/>
    <col min="9479" max="9479" width="14.5703125" style="19" customWidth="1"/>
    <col min="9480" max="9486" width="9.140625" style="19"/>
    <col min="9487" max="9487" width="5.5703125" style="19" customWidth="1"/>
    <col min="9488" max="9488" width="13.140625" style="19" customWidth="1"/>
    <col min="9489" max="9489" width="51.42578125" style="19" customWidth="1"/>
    <col min="9490" max="9490" width="11.7109375" style="19" customWidth="1"/>
    <col min="9491" max="9729" width="9.140625" style="19"/>
    <col min="9730" max="9731" width="41" style="19" customWidth="1"/>
    <col min="9732" max="9732" width="23.42578125" style="19" customWidth="1"/>
    <col min="9733" max="9733" width="25" style="19" customWidth="1"/>
    <col min="9734" max="9734" width="43.140625" style="19" customWidth="1"/>
    <col min="9735" max="9735" width="14.5703125" style="19" customWidth="1"/>
    <col min="9736" max="9742" width="9.140625" style="19"/>
    <col min="9743" max="9743" width="5.5703125" style="19" customWidth="1"/>
    <col min="9744" max="9744" width="13.140625" style="19" customWidth="1"/>
    <col min="9745" max="9745" width="51.42578125" style="19" customWidth="1"/>
    <col min="9746" max="9746" width="11.7109375" style="19" customWidth="1"/>
    <col min="9747" max="9985" width="9.140625" style="19"/>
    <col min="9986" max="9987" width="41" style="19" customWidth="1"/>
    <col min="9988" max="9988" width="23.42578125" style="19" customWidth="1"/>
    <col min="9989" max="9989" width="25" style="19" customWidth="1"/>
    <col min="9990" max="9990" width="43.140625" style="19" customWidth="1"/>
    <col min="9991" max="9991" width="14.5703125" style="19" customWidth="1"/>
    <col min="9992" max="9998" width="9.140625" style="19"/>
    <col min="9999" max="9999" width="5.5703125" style="19" customWidth="1"/>
    <col min="10000" max="10000" width="13.140625" style="19" customWidth="1"/>
    <col min="10001" max="10001" width="51.42578125" style="19" customWidth="1"/>
    <col min="10002" max="10002" width="11.7109375" style="19" customWidth="1"/>
    <col min="10003" max="10241" width="9.140625" style="19"/>
    <col min="10242" max="10243" width="41" style="19" customWidth="1"/>
    <col min="10244" max="10244" width="23.42578125" style="19" customWidth="1"/>
    <col min="10245" max="10245" width="25" style="19" customWidth="1"/>
    <col min="10246" max="10246" width="43.140625" style="19" customWidth="1"/>
    <col min="10247" max="10247" width="14.5703125" style="19" customWidth="1"/>
    <col min="10248" max="10254" width="9.140625" style="19"/>
    <col min="10255" max="10255" width="5.5703125" style="19" customWidth="1"/>
    <col min="10256" max="10256" width="13.140625" style="19" customWidth="1"/>
    <col min="10257" max="10257" width="51.42578125" style="19" customWidth="1"/>
    <col min="10258" max="10258" width="11.7109375" style="19" customWidth="1"/>
    <col min="10259" max="10497" width="9.140625" style="19"/>
    <col min="10498" max="10499" width="41" style="19" customWidth="1"/>
    <col min="10500" max="10500" width="23.42578125" style="19" customWidth="1"/>
    <col min="10501" max="10501" width="25" style="19" customWidth="1"/>
    <col min="10502" max="10502" width="43.140625" style="19" customWidth="1"/>
    <col min="10503" max="10503" width="14.5703125" style="19" customWidth="1"/>
    <col min="10504" max="10510" width="9.140625" style="19"/>
    <col min="10511" max="10511" width="5.5703125" style="19" customWidth="1"/>
    <col min="10512" max="10512" width="13.140625" style="19" customWidth="1"/>
    <col min="10513" max="10513" width="51.42578125" style="19" customWidth="1"/>
    <col min="10514" max="10514" width="11.7109375" style="19" customWidth="1"/>
    <col min="10515" max="10753" width="9.140625" style="19"/>
    <col min="10754" max="10755" width="41" style="19" customWidth="1"/>
    <col min="10756" max="10756" width="23.42578125" style="19" customWidth="1"/>
    <col min="10757" max="10757" width="25" style="19" customWidth="1"/>
    <col min="10758" max="10758" width="43.140625" style="19" customWidth="1"/>
    <col min="10759" max="10759" width="14.5703125" style="19" customWidth="1"/>
    <col min="10760" max="10766" width="9.140625" style="19"/>
    <col min="10767" max="10767" width="5.5703125" style="19" customWidth="1"/>
    <col min="10768" max="10768" width="13.140625" style="19" customWidth="1"/>
    <col min="10769" max="10769" width="51.42578125" style="19" customWidth="1"/>
    <col min="10770" max="10770" width="11.7109375" style="19" customWidth="1"/>
    <col min="10771" max="11009" width="9.140625" style="19"/>
    <col min="11010" max="11011" width="41" style="19" customWidth="1"/>
    <col min="11012" max="11012" width="23.42578125" style="19" customWidth="1"/>
    <col min="11013" max="11013" width="25" style="19" customWidth="1"/>
    <col min="11014" max="11014" width="43.140625" style="19" customWidth="1"/>
    <col min="11015" max="11015" width="14.5703125" style="19" customWidth="1"/>
    <col min="11016" max="11022" width="9.140625" style="19"/>
    <col min="11023" max="11023" width="5.5703125" style="19" customWidth="1"/>
    <col min="11024" max="11024" width="13.140625" style="19" customWidth="1"/>
    <col min="11025" max="11025" width="51.42578125" style="19" customWidth="1"/>
    <col min="11026" max="11026" width="11.7109375" style="19" customWidth="1"/>
    <col min="11027" max="11265" width="9.140625" style="19"/>
    <col min="11266" max="11267" width="41" style="19" customWidth="1"/>
    <col min="11268" max="11268" width="23.42578125" style="19" customWidth="1"/>
    <col min="11269" max="11269" width="25" style="19" customWidth="1"/>
    <col min="11270" max="11270" width="43.140625" style="19" customWidth="1"/>
    <col min="11271" max="11271" width="14.5703125" style="19" customWidth="1"/>
    <col min="11272" max="11278" width="9.140625" style="19"/>
    <col min="11279" max="11279" width="5.5703125" style="19" customWidth="1"/>
    <col min="11280" max="11280" width="13.140625" style="19" customWidth="1"/>
    <col min="11281" max="11281" width="51.42578125" style="19" customWidth="1"/>
    <col min="11282" max="11282" width="11.7109375" style="19" customWidth="1"/>
    <col min="11283" max="11521" width="9.140625" style="19"/>
    <col min="11522" max="11523" width="41" style="19" customWidth="1"/>
    <col min="11524" max="11524" width="23.42578125" style="19" customWidth="1"/>
    <col min="11525" max="11525" width="25" style="19" customWidth="1"/>
    <col min="11526" max="11526" width="43.140625" style="19" customWidth="1"/>
    <col min="11527" max="11527" width="14.5703125" style="19" customWidth="1"/>
    <col min="11528" max="11534" width="9.140625" style="19"/>
    <col min="11535" max="11535" width="5.5703125" style="19" customWidth="1"/>
    <col min="11536" max="11536" width="13.140625" style="19" customWidth="1"/>
    <col min="11537" max="11537" width="51.42578125" style="19" customWidth="1"/>
    <col min="11538" max="11538" width="11.7109375" style="19" customWidth="1"/>
    <col min="11539" max="11777" width="9.140625" style="19"/>
    <col min="11778" max="11779" width="41" style="19" customWidth="1"/>
    <col min="11780" max="11780" width="23.42578125" style="19" customWidth="1"/>
    <col min="11781" max="11781" width="25" style="19" customWidth="1"/>
    <col min="11782" max="11782" width="43.140625" style="19" customWidth="1"/>
    <col min="11783" max="11783" width="14.5703125" style="19" customWidth="1"/>
    <col min="11784" max="11790" width="9.140625" style="19"/>
    <col min="11791" max="11791" width="5.5703125" style="19" customWidth="1"/>
    <col min="11792" max="11792" width="13.140625" style="19" customWidth="1"/>
    <col min="11793" max="11793" width="51.42578125" style="19" customWidth="1"/>
    <col min="11794" max="11794" width="11.7109375" style="19" customWidth="1"/>
    <col min="11795" max="12033" width="9.140625" style="19"/>
    <col min="12034" max="12035" width="41" style="19" customWidth="1"/>
    <col min="12036" max="12036" width="23.42578125" style="19" customWidth="1"/>
    <col min="12037" max="12037" width="25" style="19" customWidth="1"/>
    <col min="12038" max="12038" width="43.140625" style="19" customWidth="1"/>
    <col min="12039" max="12039" width="14.5703125" style="19" customWidth="1"/>
    <col min="12040" max="12046" width="9.140625" style="19"/>
    <col min="12047" max="12047" width="5.5703125" style="19" customWidth="1"/>
    <col min="12048" max="12048" width="13.140625" style="19" customWidth="1"/>
    <col min="12049" max="12049" width="51.42578125" style="19" customWidth="1"/>
    <col min="12050" max="12050" width="11.7109375" style="19" customWidth="1"/>
    <col min="12051" max="12289" width="9.140625" style="19"/>
    <col min="12290" max="12291" width="41" style="19" customWidth="1"/>
    <col min="12292" max="12292" width="23.42578125" style="19" customWidth="1"/>
    <col min="12293" max="12293" width="25" style="19" customWidth="1"/>
    <col min="12294" max="12294" width="43.140625" style="19" customWidth="1"/>
    <col min="12295" max="12295" width="14.5703125" style="19" customWidth="1"/>
    <col min="12296" max="12302" width="9.140625" style="19"/>
    <col min="12303" max="12303" width="5.5703125" style="19" customWidth="1"/>
    <col min="12304" max="12304" width="13.140625" style="19" customWidth="1"/>
    <col min="12305" max="12305" width="51.42578125" style="19" customWidth="1"/>
    <col min="12306" max="12306" width="11.7109375" style="19" customWidth="1"/>
    <col min="12307" max="12545" width="9.140625" style="19"/>
    <col min="12546" max="12547" width="41" style="19" customWidth="1"/>
    <col min="12548" max="12548" width="23.42578125" style="19" customWidth="1"/>
    <col min="12549" max="12549" width="25" style="19" customWidth="1"/>
    <col min="12550" max="12550" width="43.140625" style="19" customWidth="1"/>
    <col min="12551" max="12551" width="14.5703125" style="19" customWidth="1"/>
    <col min="12552" max="12558" width="9.140625" style="19"/>
    <col min="12559" max="12559" width="5.5703125" style="19" customWidth="1"/>
    <col min="12560" max="12560" width="13.140625" style="19" customWidth="1"/>
    <col min="12561" max="12561" width="51.42578125" style="19" customWidth="1"/>
    <col min="12562" max="12562" width="11.7109375" style="19" customWidth="1"/>
    <col min="12563" max="12801" width="9.140625" style="19"/>
    <col min="12802" max="12803" width="41" style="19" customWidth="1"/>
    <col min="12804" max="12804" width="23.42578125" style="19" customWidth="1"/>
    <col min="12805" max="12805" width="25" style="19" customWidth="1"/>
    <col min="12806" max="12806" width="43.140625" style="19" customWidth="1"/>
    <col min="12807" max="12807" width="14.5703125" style="19" customWidth="1"/>
    <col min="12808" max="12814" width="9.140625" style="19"/>
    <col min="12815" max="12815" width="5.5703125" style="19" customWidth="1"/>
    <col min="12816" max="12816" width="13.140625" style="19" customWidth="1"/>
    <col min="12817" max="12817" width="51.42578125" style="19" customWidth="1"/>
    <col min="12818" max="12818" width="11.7109375" style="19" customWidth="1"/>
    <col min="12819" max="13057" width="9.140625" style="19"/>
    <col min="13058" max="13059" width="41" style="19" customWidth="1"/>
    <col min="13060" max="13060" width="23.42578125" style="19" customWidth="1"/>
    <col min="13061" max="13061" width="25" style="19" customWidth="1"/>
    <col min="13062" max="13062" width="43.140625" style="19" customWidth="1"/>
    <col min="13063" max="13063" width="14.5703125" style="19" customWidth="1"/>
    <col min="13064" max="13070" width="9.140625" style="19"/>
    <col min="13071" max="13071" width="5.5703125" style="19" customWidth="1"/>
    <col min="13072" max="13072" width="13.140625" style="19" customWidth="1"/>
    <col min="13073" max="13073" width="51.42578125" style="19" customWidth="1"/>
    <col min="13074" max="13074" width="11.7109375" style="19" customWidth="1"/>
    <col min="13075" max="13313" width="9.140625" style="19"/>
    <col min="13314" max="13315" width="41" style="19" customWidth="1"/>
    <col min="13316" max="13316" width="23.42578125" style="19" customWidth="1"/>
    <col min="13317" max="13317" width="25" style="19" customWidth="1"/>
    <col min="13318" max="13318" width="43.140625" style="19" customWidth="1"/>
    <col min="13319" max="13319" width="14.5703125" style="19" customWidth="1"/>
    <col min="13320" max="13326" width="9.140625" style="19"/>
    <col min="13327" max="13327" width="5.5703125" style="19" customWidth="1"/>
    <col min="13328" max="13328" width="13.140625" style="19" customWidth="1"/>
    <col min="13329" max="13329" width="51.42578125" style="19" customWidth="1"/>
    <col min="13330" max="13330" width="11.7109375" style="19" customWidth="1"/>
    <col min="13331" max="13569" width="9.140625" style="19"/>
    <col min="13570" max="13571" width="41" style="19" customWidth="1"/>
    <col min="13572" max="13572" width="23.42578125" style="19" customWidth="1"/>
    <col min="13573" max="13573" width="25" style="19" customWidth="1"/>
    <col min="13574" max="13574" width="43.140625" style="19" customWidth="1"/>
    <col min="13575" max="13575" width="14.5703125" style="19" customWidth="1"/>
    <col min="13576" max="13582" width="9.140625" style="19"/>
    <col min="13583" max="13583" width="5.5703125" style="19" customWidth="1"/>
    <col min="13584" max="13584" width="13.140625" style="19" customWidth="1"/>
    <col min="13585" max="13585" width="51.42578125" style="19" customWidth="1"/>
    <col min="13586" max="13586" width="11.7109375" style="19" customWidth="1"/>
    <col min="13587" max="13825" width="9.140625" style="19"/>
    <col min="13826" max="13827" width="41" style="19" customWidth="1"/>
    <col min="13828" max="13828" width="23.42578125" style="19" customWidth="1"/>
    <col min="13829" max="13829" width="25" style="19" customWidth="1"/>
    <col min="13830" max="13830" width="43.140625" style="19" customWidth="1"/>
    <col min="13831" max="13831" width="14.5703125" style="19" customWidth="1"/>
    <col min="13832" max="13838" width="9.140625" style="19"/>
    <col min="13839" max="13839" width="5.5703125" style="19" customWidth="1"/>
    <col min="13840" max="13840" width="13.140625" style="19" customWidth="1"/>
    <col min="13841" max="13841" width="51.42578125" style="19" customWidth="1"/>
    <col min="13842" max="13842" width="11.7109375" style="19" customWidth="1"/>
    <col min="13843" max="14081" width="9.140625" style="19"/>
    <col min="14082" max="14083" width="41" style="19" customWidth="1"/>
    <col min="14084" max="14084" width="23.42578125" style="19" customWidth="1"/>
    <col min="14085" max="14085" width="25" style="19" customWidth="1"/>
    <col min="14086" max="14086" width="43.140625" style="19" customWidth="1"/>
    <col min="14087" max="14087" width="14.5703125" style="19" customWidth="1"/>
    <col min="14088" max="14094" width="9.140625" style="19"/>
    <col min="14095" max="14095" width="5.5703125" style="19" customWidth="1"/>
    <col min="14096" max="14096" width="13.140625" style="19" customWidth="1"/>
    <col min="14097" max="14097" width="51.42578125" style="19" customWidth="1"/>
    <col min="14098" max="14098" width="11.7109375" style="19" customWidth="1"/>
    <col min="14099" max="14337" width="9.140625" style="19"/>
    <col min="14338" max="14339" width="41" style="19" customWidth="1"/>
    <col min="14340" max="14340" width="23.42578125" style="19" customWidth="1"/>
    <col min="14341" max="14341" width="25" style="19" customWidth="1"/>
    <col min="14342" max="14342" width="43.140625" style="19" customWidth="1"/>
    <col min="14343" max="14343" width="14.5703125" style="19" customWidth="1"/>
    <col min="14344" max="14350" width="9.140625" style="19"/>
    <col min="14351" max="14351" width="5.5703125" style="19" customWidth="1"/>
    <col min="14352" max="14352" width="13.140625" style="19" customWidth="1"/>
    <col min="14353" max="14353" width="51.42578125" style="19" customWidth="1"/>
    <col min="14354" max="14354" width="11.7109375" style="19" customWidth="1"/>
    <col min="14355" max="14593" width="9.140625" style="19"/>
    <col min="14594" max="14595" width="41" style="19" customWidth="1"/>
    <col min="14596" max="14596" width="23.42578125" style="19" customWidth="1"/>
    <col min="14597" max="14597" width="25" style="19" customWidth="1"/>
    <col min="14598" max="14598" width="43.140625" style="19" customWidth="1"/>
    <col min="14599" max="14599" width="14.5703125" style="19" customWidth="1"/>
    <col min="14600" max="14606" width="9.140625" style="19"/>
    <col min="14607" max="14607" width="5.5703125" style="19" customWidth="1"/>
    <col min="14608" max="14608" width="13.140625" style="19" customWidth="1"/>
    <col min="14609" max="14609" width="51.42578125" style="19" customWidth="1"/>
    <col min="14610" max="14610" width="11.7109375" style="19" customWidth="1"/>
    <col min="14611" max="14849" width="9.140625" style="19"/>
    <col min="14850" max="14851" width="41" style="19" customWidth="1"/>
    <col min="14852" max="14852" width="23.42578125" style="19" customWidth="1"/>
    <col min="14853" max="14853" width="25" style="19" customWidth="1"/>
    <col min="14854" max="14854" width="43.140625" style="19" customWidth="1"/>
    <col min="14855" max="14855" width="14.5703125" style="19" customWidth="1"/>
    <col min="14856" max="14862" width="9.140625" style="19"/>
    <col min="14863" max="14863" width="5.5703125" style="19" customWidth="1"/>
    <col min="14864" max="14864" width="13.140625" style="19" customWidth="1"/>
    <col min="14865" max="14865" width="51.42578125" style="19" customWidth="1"/>
    <col min="14866" max="14866" width="11.7109375" style="19" customWidth="1"/>
    <col min="14867" max="15105" width="9.140625" style="19"/>
    <col min="15106" max="15107" width="41" style="19" customWidth="1"/>
    <col min="15108" max="15108" width="23.42578125" style="19" customWidth="1"/>
    <col min="15109" max="15109" width="25" style="19" customWidth="1"/>
    <col min="15110" max="15110" width="43.140625" style="19" customWidth="1"/>
    <col min="15111" max="15111" width="14.5703125" style="19" customWidth="1"/>
    <col min="15112" max="15118" width="9.140625" style="19"/>
    <col min="15119" max="15119" width="5.5703125" style="19" customWidth="1"/>
    <col min="15120" max="15120" width="13.140625" style="19" customWidth="1"/>
    <col min="15121" max="15121" width="51.42578125" style="19" customWidth="1"/>
    <col min="15122" max="15122" width="11.7109375" style="19" customWidth="1"/>
    <col min="15123" max="15361" width="9.140625" style="19"/>
    <col min="15362" max="15363" width="41" style="19" customWidth="1"/>
    <col min="15364" max="15364" width="23.42578125" style="19" customWidth="1"/>
    <col min="15365" max="15365" width="25" style="19" customWidth="1"/>
    <col min="15366" max="15366" width="43.140625" style="19" customWidth="1"/>
    <col min="15367" max="15367" width="14.5703125" style="19" customWidth="1"/>
    <col min="15368" max="15374" width="9.140625" style="19"/>
    <col min="15375" max="15375" width="5.5703125" style="19" customWidth="1"/>
    <col min="15376" max="15376" width="13.140625" style="19" customWidth="1"/>
    <col min="15377" max="15377" width="51.42578125" style="19" customWidth="1"/>
    <col min="15378" max="15378" width="11.7109375" style="19" customWidth="1"/>
    <col min="15379" max="15617" width="9.140625" style="19"/>
    <col min="15618" max="15619" width="41" style="19" customWidth="1"/>
    <col min="15620" max="15620" width="23.42578125" style="19" customWidth="1"/>
    <col min="15621" max="15621" width="25" style="19" customWidth="1"/>
    <col min="15622" max="15622" width="43.140625" style="19" customWidth="1"/>
    <col min="15623" max="15623" width="14.5703125" style="19" customWidth="1"/>
    <col min="15624" max="15630" width="9.140625" style="19"/>
    <col min="15631" max="15631" width="5.5703125" style="19" customWidth="1"/>
    <col min="15632" max="15632" width="13.140625" style="19" customWidth="1"/>
    <col min="15633" max="15633" width="51.42578125" style="19" customWidth="1"/>
    <col min="15634" max="15634" width="11.7109375" style="19" customWidth="1"/>
    <col min="15635" max="15873" width="9.140625" style="19"/>
    <col min="15874" max="15875" width="41" style="19" customWidth="1"/>
    <col min="15876" max="15876" width="23.42578125" style="19" customWidth="1"/>
    <col min="15877" max="15877" width="25" style="19" customWidth="1"/>
    <col min="15878" max="15878" width="43.140625" style="19" customWidth="1"/>
    <col min="15879" max="15879" width="14.5703125" style="19" customWidth="1"/>
    <col min="15880" max="15886" width="9.140625" style="19"/>
    <col min="15887" max="15887" width="5.5703125" style="19" customWidth="1"/>
    <col min="15888" max="15888" width="13.140625" style="19" customWidth="1"/>
    <col min="15889" max="15889" width="51.42578125" style="19" customWidth="1"/>
    <col min="15890" max="15890" width="11.7109375" style="19" customWidth="1"/>
    <col min="15891" max="16129" width="9.140625" style="19"/>
    <col min="16130" max="16131" width="41" style="19" customWidth="1"/>
    <col min="16132" max="16132" width="23.42578125" style="19" customWidth="1"/>
    <col min="16133" max="16133" width="25" style="19" customWidth="1"/>
    <col min="16134" max="16134" width="43.140625" style="19" customWidth="1"/>
    <col min="16135" max="16135" width="14.5703125" style="19" customWidth="1"/>
    <col min="16136" max="16142" width="9.140625" style="19"/>
    <col min="16143" max="16143" width="5.5703125" style="19" customWidth="1"/>
    <col min="16144" max="16144" width="13.140625" style="19" customWidth="1"/>
    <col min="16145" max="16145" width="51.42578125" style="19" customWidth="1"/>
    <col min="16146" max="16146" width="11.7109375" style="19" customWidth="1"/>
    <col min="16147" max="16384" width="9.140625" style="19"/>
  </cols>
  <sheetData>
    <row r="1" spans="1:40" x14ac:dyDescent="0.25">
      <c r="M1" s="96" t="s">
        <v>127</v>
      </c>
    </row>
    <row r="3" spans="1:40" ht="15" customHeight="1" x14ac:dyDescent="0.25">
      <c r="A3" s="558" t="s">
        <v>228</v>
      </c>
      <c r="B3" s="558"/>
      <c r="C3" s="558"/>
      <c r="D3" s="558"/>
      <c r="E3" s="558"/>
      <c r="F3" s="558"/>
      <c r="G3" s="558"/>
      <c r="H3" s="558"/>
      <c r="I3" s="558"/>
      <c r="J3" s="558"/>
      <c r="K3" s="558"/>
      <c r="L3" s="558"/>
      <c r="O3" s="23"/>
      <c r="P3" s="23"/>
      <c r="Q3" s="23"/>
      <c r="R3" s="23"/>
      <c r="S3" s="23"/>
      <c r="T3" s="23"/>
      <c r="U3" s="23"/>
      <c r="V3" s="23"/>
      <c r="W3" s="23"/>
      <c r="X3" s="23"/>
      <c r="Y3" s="23"/>
      <c r="Z3" s="23"/>
      <c r="AA3" s="23"/>
      <c r="AB3" s="23"/>
      <c r="AC3" s="23"/>
      <c r="AD3" s="23"/>
      <c r="AE3" s="23"/>
      <c r="AF3" s="23"/>
      <c r="AG3" s="23"/>
      <c r="AH3" s="23"/>
      <c r="AI3" s="23"/>
      <c r="AJ3" s="23"/>
      <c r="AK3" s="23"/>
      <c r="AL3" s="23"/>
      <c r="AM3" s="23"/>
      <c r="AN3" s="23"/>
    </row>
    <row r="4" spans="1:40" x14ac:dyDescent="0.25">
      <c r="B4" s="23"/>
      <c r="C4" s="23"/>
      <c r="D4" s="23"/>
      <c r="F4" s="76"/>
      <c r="G4" s="76"/>
      <c r="H4" s="76"/>
      <c r="I4" s="76"/>
      <c r="J4" s="76"/>
      <c r="K4" s="76"/>
      <c r="L4" s="76"/>
      <c r="O4" s="23"/>
      <c r="P4" s="23"/>
      <c r="Q4" s="23"/>
      <c r="R4" s="23"/>
      <c r="S4" s="23"/>
      <c r="T4" s="23"/>
      <c r="U4" s="23"/>
      <c r="V4" s="23"/>
      <c r="W4" s="23"/>
      <c r="X4" s="23"/>
      <c r="Y4" s="23"/>
      <c r="Z4" s="23"/>
      <c r="AA4" s="23"/>
      <c r="AB4" s="23"/>
      <c r="AC4" s="23"/>
      <c r="AD4" s="23"/>
      <c r="AE4" s="23"/>
      <c r="AF4" s="23"/>
      <c r="AG4" s="23"/>
      <c r="AH4" s="23"/>
      <c r="AI4" s="23"/>
      <c r="AJ4" s="23"/>
      <c r="AK4" s="23"/>
      <c r="AL4" s="23"/>
      <c r="AM4" s="23"/>
      <c r="AN4" s="23"/>
    </row>
    <row r="5" spans="1:40" ht="112.5" customHeight="1" x14ac:dyDescent="0.25">
      <c r="B5" s="541" t="s">
        <v>194</v>
      </c>
      <c r="C5" s="542"/>
      <c r="D5" s="107" t="s">
        <v>196</v>
      </c>
      <c r="E5" s="107" t="s">
        <v>197</v>
      </c>
      <c r="F5" s="107" t="s">
        <v>198</v>
      </c>
      <c r="G5" s="107" t="s">
        <v>199</v>
      </c>
      <c r="H5" s="107" t="s">
        <v>200</v>
      </c>
      <c r="I5" s="107" t="s">
        <v>201</v>
      </c>
      <c r="J5" s="76"/>
      <c r="K5" s="76"/>
      <c r="L5" s="76"/>
      <c r="O5" s="23"/>
      <c r="P5" s="23"/>
      <c r="Q5" s="23"/>
      <c r="R5" s="23"/>
      <c r="S5" s="23"/>
      <c r="T5" s="23"/>
      <c r="U5" s="23"/>
      <c r="V5" s="23"/>
      <c r="W5" s="23"/>
      <c r="X5" s="23"/>
      <c r="Y5" s="23"/>
      <c r="Z5" s="23"/>
      <c r="AA5" s="23"/>
      <c r="AB5" s="23"/>
      <c r="AC5" s="23"/>
      <c r="AD5" s="23"/>
      <c r="AE5" s="23"/>
      <c r="AF5" s="23"/>
      <c r="AG5" s="23"/>
      <c r="AH5" s="23"/>
      <c r="AI5" s="23"/>
      <c r="AJ5" s="23"/>
      <c r="AK5" s="23"/>
      <c r="AL5" s="23"/>
      <c r="AM5" s="23"/>
      <c r="AN5" s="23"/>
    </row>
    <row r="6" spans="1:40" ht="37.5" customHeight="1" x14ac:dyDescent="0.25">
      <c r="B6" s="543" t="s">
        <v>188</v>
      </c>
      <c r="C6" s="544"/>
      <c r="D6" s="197">
        <f>D14</f>
        <v>1027210.38</v>
      </c>
      <c r="E6" s="197">
        <f>D14</f>
        <v>1027210.38</v>
      </c>
      <c r="F6" s="197">
        <f>D14</f>
        <v>1027210.38</v>
      </c>
      <c r="G6" s="200">
        <f>F12+F13+F11</f>
        <v>2052137.62</v>
      </c>
      <c r="H6" s="200">
        <f>G6</f>
        <v>2052137.62</v>
      </c>
      <c r="I6" s="200">
        <f>H6</f>
        <v>2052137.62</v>
      </c>
      <c r="J6" s="76"/>
      <c r="K6" s="76"/>
      <c r="L6" s="76"/>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x14ac:dyDescent="0.25">
      <c r="B7" s="23"/>
      <c r="C7" s="23"/>
      <c r="D7" s="23"/>
      <c r="F7" s="76"/>
      <c r="G7" s="76"/>
      <c r="H7" s="76"/>
      <c r="I7" s="76"/>
      <c r="J7" s="76"/>
      <c r="K7" s="76"/>
      <c r="L7" s="76"/>
      <c r="O7" s="23"/>
      <c r="P7" s="23"/>
      <c r="Q7" s="23"/>
      <c r="R7" s="23"/>
      <c r="S7" s="23"/>
      <c r="T7" s="23"/>
      <c r="U7" s="23"/>
      <c r="V7" s="23"/>
      <c r="W7" s="23"/>
      <c r="X7" s="23"/>
      <c r="Y7" s="23"/>
      <c r="Z7" s="23"/>
      <c r="AA7" s="23"/>
      <c r="AB7" s="23"/>
      <c r="AC7" s="23"/>
      <c r="AD7" s="23"/>
      <c r="AE7" s="23"/>
      <c r="AF7" s="23"/>
      <c r="AG7" s="23"/>
      <c r="AH7" s="23"/>
      <c r="AI7" s="23"/>
      <c r="AJ7" s="23"/>
      <c r="AK7" s="23"/>
      <c r="AL7" s="23"/>
      <c r="AM7" s="23"/>
      <c r="AN7" s="23"/>
    </row>
    <row r="8" spans="1:40" x14ac:dyDescent="0.25">
      <c r="B8" s="23"/>
      <c r="C8" s="23"/>
      <c r="D8" s="23"/>
      <c r="F8" s="76"/>
      <c r="G8" s="76"/>
      <c r="H8" s="76"/>
      <c r="I8" s="76"/>
      <c r="J8" s="76"/>
      <c r="K8" s="76"/>
      <c r="L8" s="76"/>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x14ac:dyDescent="0.25">
      <c r="B9" s="22" t="s">
        <v>19</v>
      </c>
      <c r="C9" s="23"/>
      <c r="D9" s="23"/>
      <c r="F9" s="76"/>
      <c r="G9" s="76"/>
      <c r="H9" s="76"/>
      <c r="I9" s="76"/>
      <c r="J9" s="76"/>
      <c r="K9" s="76"/>
      <c r="L9" s="76"/>
      <c r="O9" s="23"/>
      <c r="P9" s="23"/>
      <c r="Q9" s="23"/>
      <c r="R9" s="23"/>
      <c r="S9" s="23"/>
      <c r="T9" s="23"/>
      <c r="U9" s="23"/>
      <c r="V9" s="23"/>
      <c r="W9" s="23"/>
      <c r="X9" s="23"/>
      <c r="Y9" s="23"/>
      <c r="Z9" s="23"/>
      <c r="AA9" s="23"/>
      <c r="AB9" s="23"/>
      <c r="AC9" s="23"/>
      <c r="AD9" s="23"/>
      <c r="AE9" s="23"/>
      <c r="AF9" s="23"/>
      <c r="AG9" s="23"/>
      <c r="AH9" s="23"/>
      <c r="AI9" s="23"/>
      <c r="AJ9" s="23"/>
      <c r="AK9" s="23"/>
      <c r="AL9" s="23"/>
      <c r="AM9" s="23"/>
      <c r="AN9" s="23"/>
    </row>
    <row r="10" spans="1:40" ht="57.75" customHeight="1" x14ac:dyDescent="0.25">
      <c r="B10" s="49" t="s">
        <v>15</v>
      </c>
      <c r="C10" s="82" t="s">
        <v>14</v>
      </c>
      <c r="D10" s="83" t="s">
        <v>296</v>
      </c>
      <c r="E10" s="83" t="s">
        <v>133</v>
      </c>
      <c r="F10" s="84" t="s">
        <v>16</v>
      </c>
      <c r="G10" s="76"/>
      <c r="H10" s="76"/>
      <c r="I10" s="76"/>
      <c r="J10" s="76"/>
      <c r="K10" s="76"/>
      <c r="L10" s="76"/>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40" x14ac:dyDescent="0.25">
      <c r="B11" s="48" t="s">
        <v>1</v>
      </c>
      <c r="C11" s="77">
        <v>648056</v>
      </c>
      <c r="D11" s="77">
        <f>C11</f>
        <v>648056</v>
      </c>
      <c r="E11" s="77">
        <f>D35</f>
        <v>2289869</v>
      </c>
      <c r="F11" s="287">
        <f>E11-C11</f>
        <v>1641813</v>
      </c>
      <c r="G11" s="288"/>
      <c r="H11" s="289"/>
      <c r="I11" s="289"/>
      <c r="J11" s="289"/>
      <c r="K11" s="289"/>
      <c r="L11" s="289"/>
      <c r="M11" s="289"/>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40" ht="30" x14ac:dyDescent="0.25">
      <c r="B12" s="78" t="s">
        <v>47</v>
      </c>
      <c r="C12" s="290">
        <v>0</v>
      </c>
      <c r="D12" s="291">
        <f>C12</f>
        <v>0</v>
      </c>
      <c r="E12" s="291">
        <f>G35</f>
        <v>221600</v>
      </c>
      <c r="F12" s="287">
        <f>E12-C12</f>
        <v>221600</v>
      </c>
      <c r="G12" s="288"/>
      <c r="H12" s="289"/>
      <c r="I12" s="289"/>
      <c r="J12" s="289"/>
      <c r="K12" s="289"/>
      <c r="L12" s="289"/>
      <c r="M12" s="289"/>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40" ht="34.5" customHeight="1" x14ac:dyDescent="0.25">
      <c r="B13" s="292" t="s">
        <v>44</v>
      </c>
      <c r="C13" s="291">
        <f>146991.15+232163.23</f>
        <v>379154.38</v>
      </c>
      <c r="D13" s="291">
        <f>C13</f>
        <v>379154.38</v>
      </c>
      <c r="E13" s="291">
        <f>M42</f>
        <v>567879</v>
      </c>
      <c r="F13" s="287">
        <f>E13-C13</f>
        <v>188724.62</v>
      </c>
      <c r="G13" s="288"/>
      <c r="H13" s="289"/>
      <c r="I13" s="289"/>
      <c r="J13" s="289"/>
      <c r="K13" s="289"/>
      <c r="L13" s="289"/>
      <c r="M13" s="289"/>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40" ht="16.5" customHeight="1" x14ac:dyDescent="0.25">
      <c r="B14" s="293" t="s">
        <v>5</v>
      </c>
      <c r="C14" s="294">
        <f>C11+C13+C12</f>
        <v>1027210.38</v>
      </c>
      <c r="D14" s="295">
        <f>D11+D13+D12</f>
        <v>1027210.38</v>
      </c>
      <c r="E14" s="294">
        <f>E11+E13+E12</f>
        <v>3079348</v>
      </c>
      <c r="F14" s="287">
        <f>F11+F13+F12</f>
        <v>2052137.62</v>
      </c>
      <c r="G14" s="289"/>
      <c r="H14" s="289"/>
      <c r="I14" s="289"/>
      <c r="J14" s="289"/>
      <c r="K14" s="289"/>
      <c r="L14" s="289"/>
      <c r="M14" s="289"/>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40" ht="16.5" customHeight="1" x14ac:dyDescent="0.25">
      <c r="B15" s="296"/>
      <c r="C15" s="296"/>
      <c r="D15" s="296"/>
      <c r="E15" s="296"/>
      <c r="F15" s="296"/>
      <c r="G15" s="296"/>
      <c r="H15" s="289"/>
      <c r="I15" s="289"/>
      <c r="J15" s="289"/>
      <c r="K15" s="289"/>
      <c r="L15" s="289"/>
      <c r="M15" s="289"/>
      <c r="N15" s="289"/>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row>
    <row r="16" spans="1:40" x14ac:dyDescent="0.25">
      <c r="B16" s="22" t="s">
        <v>18</v>
      </c>
      <c r="C16" s="23"/>
      <c r="D16" s="23"/>
      <c r="E16" s="23"/>
      <c r="F16" s="23"/>
      <c r="G16" s="23"/>
      <c r="H16" s="23"/>
      <c r="I16" s="23"/>
      <c r="J16" s="23"/>
      <c r="K16" s="23"/>
      <c r="L16" s="23"/>
      <c r="M16" s="289"/>
      <c r="N16" s="289"/>
    </row>
    <row r="17" spans="2:17" ht="72" customHeight="1" x14ac:dyDescent="0.25">
      <c r="B17" s="551"/>
      <c r="C17" s="549" t="s">
        <v>6</v>
      </c>
      <c r="D17" s="551" t="s">
        <v>7</v>
      </c>
      <c r="E17" s="551"/>
      <c r="F17" s="552" t="s">
        <v>8</v>
      </c>
      <c r="G17" s="552"/>
      <c r="H17" s="553" t="s">
        <v>239</v>
      </c>
      <c r="I17" s="556" t="s">
        <v>238</v>
      </c>
      <c r="J17" s="549" t="s">
        <v>237</v>
      </c>
      <c r="K17" s="549" t="s">
        <v>193</v>
      </c>
      <c r="L17" s="549" t="s">
        <v>235</v>
      </c>
      <c r="M17" s="550" t="s">
        <v>236</v>
      </c>
      <c r="N17" s="289"/>
      <c r="O17" s="76"/>
    </row>
    <row r="18" spans="2:17" ht="31.5" customHeight="1" x14ac:dyDescent="0.25">
      <c r="B18" s="551"/>
      <c r="C18" s="549"/>
      <c r="D18" s="50" t="s">
        <v>9</v>
      </c>
      <c r="E18" s="244" t="s">
        <v>10</v>
      </c>
      <c r="F18" s="50" t="s">
        <v>9</v>
      </c>
      <c r="G18" s="244" t="s">
        <v>11</v>
      </c>
      <c r="H18" s="553"/>
      <c r="I18" s="557"/>
      <c r="J18" s="549"/>
      <c r="K18" s="549"/>
      <c r="L18" s="549"/>
      <c r="M18" s="550"/>
      <c r="N18" s="289"/>
      <c r="O18" s="76"/>
      <c r="P18" s="76"/>
    </row>
    <row r="19" spans="2:17" x14ac:dyDescent="0.25">
      <c r="B19" s="297" t="s">
        <v>343</v>
      </c>
      <c r="C19" s="298">
        <v>1</v>
      </c>
      <c r="D19" s="298">
        <v>1</v>
      </c>
      <c r="E19" s="299">
        <v>1</v>
      </c>
      <c r="F19" s="298"/>
      <c r="G19" s="299"/>
      <c r="H19" s="51">
        <f>ROUND((E19*1485)*12,2)</f>
        <v>17820</v>
      </c>
      <c r="I19" s="50">
        <f>ROUND(H19*0.4,2)</f>
        <v>7128</v>
      </c>
      <c r="J19" s="50">
        <f>ROUND(H19*0.3,2)</f>
        <v>5346</v>
      </c>
      <c r="K19" s="50">
        <f>ROUND((H19+J19+I19)*0.2409,2)</f>
        <v>7297.82</v>
      </c>
      <c r="L19" s="196">
        <f>3540</f>
        <v>3540</v>
      </c>
      <c r="M19" s="158">
        <f>ROUND(SUM(H19:L19),0)</f>
        <v>41132</v>
      </c>
      <c r="N19" s="289"/>
      <c r="O19" s="76"/>
      <c r="P19" s="76"/>
      <c r="Q19" s="24"/>
    </row>
    <row r="20" spans="2:17" ht="30" x14ac:dyDescent="0.25">
      <c r="B20" s="53" t="s">
        <v>298</v>
      </c>
      <c r="C20" s="243">
        <v>1</v>
      </c>
      <c r="D20" s="290"/>
      <c r="E20" s="290"/>
      <c r="F20" s="50">
        <v>1</v>
      </c>
      <c r="G20" s="55">
        <v>1</v>
      </c>
      <c r="H20" s="51">
        <f>ROUND((G20*891)*12,2)</f>
        <v>10692</v>
      </c>
      <c r="I20" s="50"/>
      <c r="J20" s="50">
        <f>ROUND(H20*0.3,2)</f>
        <v>3207.6</v>
      </c>
      <c r="K20" s="50">
        <f t="shared" ref="K20:K22" si="0">ROUND((H20+J20+I20)*0.2409,2)</f>
        <v>3348.41</v>
      </c>
      <c r="L20" s="300">
        <v>3524</v>
      </c>
      <c r="M20" s="158">
        <f t="shared" ref="M20:M22" si="1">ROUND(SUM(H20:L20),0)</f>
        <v>20772</v>
      </c>
      <c r="N20" s="289"/>
      <c r="O20" s="76"/>
      <c r="P20" s="76"/>
    </row>
    <row r="21" spans="2:17" x14ac:dyDescent="0.25">
      <c r="B21" s="53" t="s">
        <v>13</v>
      </c>
      <c r="C21" s="244">
        <v>1</v>
      </c>
      <c r="D21" s="50">
        <v>1</v>
      </c>
      <c r="E21" s="79">
        <v>0.5</v>
      </c>
      <c r="F21" s="50"/>
      <c r="G21" s="55"/>
      <c r="H21" s="51">
        <f>ROUND((E21*1485)*12,2)</f>
        <v>8910</v>
      </c>
      <c r="I21" s="51">
        <f>ROUND(H21*0.4,2)</f>
        <v>3564</v>
      </c>
      <c r="J21" s="51">
        <f>ROUND(H21*0.3,2)</f>
        <v>2673</v>
      </c>
      <c r="K21" s="51">
        <f t="shared" si="0"/>
        <v>3648.91</v>
      </c>
      <c r="L21" s="52">
        <f>(3416)*E21</f>
        <v>1708</v>
      </c>
      <c r="M21" s="158">
        <f t="shared" si="1"/>
        <v>20504</v>
      </c>
      <c r="N21" s="289"/>
      <c r="O21" s="76"/>
      <c r="P21" s="76"/>
    </row>
    <row r="22" spans="2:17" x14ac:dyDescent="0.25">
      <c r="B22" s="53" t="s">
        <v>305</v>
      </c>
      <c r="C22" s="244">
        <v>1</v>
      </c>
      <c r="D22" s="50">
        <v>1</v>
      </c>
      <c r="E22" s="79">
        <v>0.5</v>
      </c>
      <c r="F22" s="50"/>
      <c r="G22" s="55"/>
      <c r="H22" s="51">
        <f>ROUND((E22*1485)*12,2)</f>
        <v>8910</v>
      </c>
      <c r="I22" s="51"/>
      <c r="J22" s="51">
        <f>ROUND(H22*0.3,2)</f>
        <v>2673</v>
      </c>
      <c r="K22" s="51">
        <f t="shared" si="0"/>
        <v>2790.34</v>
      </c>
      <c r="L22" s="52">
        <f>(3416*E22)</f>
        <v>1708</v>
      </c>
      <c r="M22" s="158">
        <f t="shared" si="1"/>
        <v>16081</v>
      </c>
      <c r="N22" s="289"/>
      <c r="O22" s="76"/>
      <c r="P22" s="76"/>
    </row>
    <row r="23" spans="2:17" x14ac:dyDescent="0.25">
      <c r="B23" s="56" t="s">
        <v>5</v>
      </c>
      <c r="C23" s="57">
        <f>C20+C21+C19+C22</f>
        <v>4</v>
      </c>
      <c r="D23" s="57">
        <f t="shared" ref="D23:M23" si="2">D20+D21+D19+D22</f>
        <v>3</v>
      </c>
      <c r="E23" s="57">
        <f t="shared" si="2"/>
        <v>2</v>
      </c>
      <c r="F23" s="57">
        <f t="shared" si="2"/>
        <v>1</v>
      </c>
      <c r="G23" s="57">
        <f t="shared" si="2"/>
        <v>1</v>
      </c>
      <c r="H23" s="58">
        <f t="shared" si="2"/>
        <v>46332</v>
      </c>
      <c r="I23" s="58">
        <f t="shared" si="2"/>
        <v>10692</v>
      </c>
      <c r="J23" s="58">
        <f t="shared" si="2"/>
        <v>13899.6</v>
      </c>
      <c r="K23" s="58">
        <f t="shared" si="2"/>
        <v>17085.48</v>
      </c>
      <c r="L23" s="58">
        <f t="shared" si="2"/>
        <v>10480</v>
      </c>
      <c r="M23" s="201">
        <f t="shared" si="2"/>
        <v>98489</v>
      </c>
      <c r="N23" s="289"/>
      <c r="O23" s="76"/>
      <c r="P23" s="76"/>
    </row>
    <row r="24" spans="2:17" x14ac:dyDescent="0.25">
      <c r="B24" s="124" t="s">
        <v>345</v>
      </c>
      <c r="C24" s="26"/>
      <c r="D24" s="26"/>
      <c r="E24" s="26"/>
      <c r="F24" s="26"/>
      <c r="G24" s="26"/>
      <c r="H24" s="27"/>
      <c r="I24" s="27"/>
      <c r="J24" s="27"/>
      <c r="K24" s="27"/>
      <c r="L24" s="27"/>
      <c r="M24" s="289"/>
      <c r="N24" s="289"/>
      <c r="O24" s="76"/>
    </row>
    <row r="25" spans="2:17" x14ac:dyDescent="0.25">
      <c r="B25" s="199" t="s">
        <v>299</v>
      </c>
      <c r="C25" s="26"/>
      <c r="D25" s="26"/>
      <c r="E25" s="26"/>
      <c r="F25" s="26"/>
      <c r="G25" s="26"/>
      <c r="H25" s="27"/>
      <c r="I25" s="27"/>
      <c r="J25" s="27"/>
      <c r="K25" s="27"/>
      <c r="L25" s="27"/>
      <c r="M25" s="289"/>
      <c r="N25" s="289"/>
      <c r="O25" s="76"/>
    </row>
    <row r="26" spans="2:17" x14ac:dyDescent="0.25">
      <c r="B26" s="199" t="s">
        <v>297</v>
      </c>
      <c r="C26" s="26"/>
      <c r="D26" s="26"/>
      <c r="E26" s="26"/>
      <c r="F26" s="26"/>
      <c r="G26" s="26"/>
      <c r="H26" s="27"/>
      <c r="I26" s="27"/>
      <c r="J26" s="27"/>
      <c r="K26" s="27"/>
      <c r="L26" s="27"/>
      <c r="M26" s="289"/>
      <c r="N26" s="289"/>
      <c r="O26" s="76"/>
    </row>
    <row r="27" spans="2:17" ht="15.75" customHeight="1" x14ac:dyDescent="0.25">
      <c r="B27" s="199" t="s">
        <v>300</v>
      </c>
      <c r="C27" s="26"/>
      <c r="D27" s="26"/>
      <c r="E27" s="26"/>
      <c r="F27" s="26"/>
      <c r="G27" s="26"/>
      <c r="H27" s="27"/>
      <c r="I27" s="27"/>
      <c r="J27" s="27"/>
      <c r="K27" s="27"/>
      <c r="L27" s="27"/>
      <c r="M27" s="289"/>
      <c r="N27" s="289"/>
      <c r="O27" s="76"/>
    </row>
    <row r="28" spans="2:17" x14ac:dyDescent="0.25">
      <c r="B28" s="296"/>
      <c r="C28" s="26"/>
      <c r="D28" s="26"/>
      <c r="E28" s="26"/>
      <c r="F28" s="26"/>
      <c r="G28" s="26"/>
      <c r="H28" s="27"/>
      <c r="I28" s="27"/>
      <c r="J28" s="27"/>
      <c r="K28" s="27"/>
      <c r="L28" s="27"/>
      <c r="M28" s="289"/>
      <c r="N28" s="289"/>
      <c r="O28" s="76"/>
    </row>
    <row r="29" spans="2:17" x14ac:dyDescent="0.25">
      <c r="B29" s="296"/>
      <c r="C29" s="26"/>
      <c r="D29" s="26"/>
      <c r="E29" s="26"/>
      <c r="F29" s="26"/>
      <c r="G29" s="26"/>
      <c r="H29" s="27"/>
      <c r="I29" s="27"/>
      <c r="J29" s="27"/>
      <c r="K29" s="27"/>
      <c r="L29" s="27"/>
      <c r="M29" s="289"/>
      <c r="N29" s="289"/>
      <c r="O29" s="76"/>
    </row>
    <row r="30" spans="2:17" x14ac:dyDescent="0.25">
      <c r="C30" s="28"/>
      <c r="D30" s="28"/>
      <c r="E30" s="296"/>
      <c r="F30" s="26"/>
      <c r="G30" s="289"/>
      <c r="H30" s="289"/>
      <c r="I30" s="27"/>
      <c r="J30" s="27"/>
      <c r="K30" s="27"/>
      <c r="L30" s="27"/>
      <c r="M30" s="289"/>
      <c r="N30" s="289"/>
      <c r="O30" s="76"/>
    </row>
    <row r="31" spans="2:17" x14ac:dyDescent="0.25">
      <c r="B31" s="301"/>
      <c r="C31" s="28"/>
      <c r="D31" s="28"/>
      <c r="E31" s="296"/>
      <c r="F31" s="26"/>
      <c r="G31" s="289"/>
      <c r="H31" s="289"/>
      <c r="I31" s="27"/>
      <c r="J31" s="27"/>
      <c r="K31" s="27"/>
      <c r="L31" s="27"/>
      <c r="M31" s="289"/>
      <c r="N31" s="289"/>
      <c r="O31" s="76"/>
    </row>
    <row r="32" spans="2:17" ht="60.75" customHeight="1" x14ac:dyDescent="0.25">
      <c r="H32" s="289"/>
      <c r="I32" s="27"/>
      <c r="J32" s="27"/>
      <c r="K32" s="27"/>
      <c r="L32" s="27"/>
      <c r="M32" s="289"/>
      <c r="N32" s="289"/>
      <c r="O32" s="76"/>
    </row>
    <row r="33" spans="2:16" x14ac:dyDescent="0.25">
      <c r="B33" s="301" t="s">
        <v>130</v>
      </c>
      <c r="H33" s="289"/>
      <c r="I33" s="27"/>
      <c r="J33" s="27"/>
      <c r="K33" s="27"/>
      <c r="L33" s="27"/>
      <c r="M33" s="289"/>
      <c r="N33" s="289"/>
      <c r="O33" s="76"/>
    </row>
    <row r="34" spans="2:16" ht="60" x14ac:dyDescent="0.25">
      <c r="B34" s="302" t="s">
        <v>12</v>
      </c>
      <c r="C34" s="302" t="s">
        <v>242</v>
      </c>
      <c r="D34" s="59" t="s">
        <v>241</v>
      </c>
      <c r="E34" s="302" t="s">
        <v>40</v>
      </c>
      <c r="F34" s="302" t="s">
        <v>242</v>
      </c>
      <c r="G34" s="59" t="s">
        <v>241</v>
      </c>
      <c r="H34" s="289"/>
      <c r="I34" s="27"/>
      <c r="J34" s="27"/>
      <c r="K34" s="27"/>
      <c r="L34" s="27"/>
      <c r="M34" s="289"/>
      <c r="N34" s="289"/>
      <c r="O34" s="76"/>
    </row>
    <row r="35" spans="2:16" x14ac:dyDescent="0.25">
      <c r="B35" s="61">
        <v>23.25</v>
      </c>
      <c r="C35" s="60">
        <f>M23</f>
        <v>98489</v>
      </c>
      <c r="D35" s="198">
        <f>ROUND(B35*C35,0)</f>
        <v>2289869</v>
      </c>
      <c r="E35" s="303">
        <v>2.25</v>
      </c>
      <c r="F35" s="160">
        <f>M23</f>
        <v>98489</v>
      </c>
      <c r="G35" s="116">
        <f>ROUND(E35*F35,0)</f>
        <v>221600</v>
      </c>
      <c r="H35" s="289"/>
      <c r="I35" s="27"/>
      <c r="J35" s="27"/>
      <c r="K35" s="27"/>
      <c r="L35" s="27"/>
      <c r="M35" s="289"/>
      <c r="N35" s="289"/>
      <c r="O35" s="76"/>
    </row>
    <row r="36" spans="2:16" ht="24" customHeight="1" x14ac:dyDescent="0.25">
      <c r="B36" s="25"/>
      <c r="C36" s="26"/>
      <c r="D36" s="26"/>
      <c r="E36" s="26"/>
      <c r="F36" s="26"/>
      <c r="G36" s="26"/>
      <c r="H36" s="27"/>
      <c r="I36" s="27"/>
      <c r="J36" s="27"/>
      <c r="K36" s="27"/>
      <c r="L36" s="27"/>
      <c r="M36" s="289"/>
      <c r="N36" s="289"/>
      <c r="O36" s="76"/>
    </row>
    <row r="37" spans="2:16" x14ac:dyDescent="0.25">
      <c r="B37" s="304" t="s">
        <v>45</v>
      </c>
      <c r="C37" s="289"/>
      <c r="D37" s="289"/>
      <c r="E37" s="289"/>
      <c r="F37" s="289"/>
      <c r="G37" s="289"/>
      <c r="H37" s="289"/>
      <c r="I37" s="289"/>
      <c r="J37" s="289"/>
      <c r="K37" s="289"/>
      <c r="L37" s="289"/>
      <c r="M37" s="289"/>
      <c r="N37" s="289"/>
      <c r="O37" s="76"/>
    </row>
    <row r="38" spans="2:16" ht="27" customHeight="1" x14ac:dyDescent="0.25">
      <c r="B38" s="551"/>
      <c r="C38" s="549" t="s">
        <v>6</v>
      </c>
      <c r="D38" s="551" t="s">
        <v>7</v>
      </c>
      <c r="E38" s="551"/>
      <c r="F38" s="552" t="s">
        <v>8</v>
      </c>
      <c r="G38" s="552"/>
      <c r="H38" s="553" t="s">
        <v>239</v>
      </c>
      <c r="I38" s="554" t="s">
        <v>240</v>
      </c>
      <c r="J38" s="553" t="s">
        <v>237</v>
      </c>
      <c r="K38" s="549" t="s">
        <v>193</v>
      </c>
      <c r="L38" s="549" t="s">
        <v>235</v>
      </c>
      <c r="M38" s="550" t="s">
        <v>236</v>
      </c>
      <c r="N38" s="289"/>
      <c r="O38" s="76"/>
      <c r="P38" s="76"/>
    </row>
    <row r="39" spans="2:16" ht="52.5" customHeight="1" x14ac:dyDescent="0.25">
      <c r="B39" s="551"/>
      <c r="C39" s="549"/>
      <c r="D39" s="50" t="s">
        <v>9</v>
      </c>
      <c r="E39" s="244" t="s">
        <v>10</v>
      </c>
      <c r="F39" s="50" t="s">
        <v>9</v>
      </c>
      <c r="G39" s="244" t="s">
        <v>11</v>
      </c>
      <c r="H39" s="553"/>
      <c r="I39" s="555"/>
      <c r="J39" s="553"/>
      <c r="K39" s="549"/>
      <c r="L39" s="549"/>
      <c r="M39" s="550"/>
      <c r="N39" s="289"/>
      <c r="O39" s="76"/>
      <c r="P39" s="76"/>
    </row>
    <row r="40" spans="2:16" ht="30" x14ac:dyDescent="0.25">
      <c r="B40" s="53" t="s">
        <v>298</v>
      </c>
      <c r="C40" s="243">
        <v>11</v>
      </c>
      <c r="D40" s="290"/>
      <c r="E40" s="290"/>
      <c r="F40" s="244">
        <v>11</v>
      </c>
      <c r="G40" s="81">
        <v>15</v>
      </c>
      <c r="H40" s="51">
        <f>ROUND((G40*891)*12,2)</f>
        <v>160380</v>
      </c>
      <c r="I40" s="51"/>
      <c r="J40" s="51">
        <f>ROUND(H40*0.3,2)</f>
        <v>48114</v>
      </c>
      <c r="K40" s="51">
        <f>ROUND((H40+J40+I40)*0.2409,2)</f>
        <v>50226.2</v>
      </c>
      <c r="L40" s="52">
        <f>G40*3524</f>
        <v>52860</v>
      </c>
      <c r="M40" s="158">
        <f>ROUND(SUM(H40:L40),0)</f>
        <v>311580</v>
      </c>
      <c r="N40" s="289"/>
      <c r="O40" s="76"/>
      <c r="P40" s="76"/>
    </row>
    <row r="41" spans="2:16" x14ac:dyDescent="0.25">
      <c r="B41" s="53" t="s">
        <v>13</v>
      </c>
      <c r="C41" s="305">
        <v>9</v>
      </c>
      <c r="D41" s="305">
        <v>9</v>
      </c>
      <c r="E41" s="306">
        <v>6.25</v>
      </c>
      <c r="F41" s="307"/>
      <c r="G41" s="307"/>
      <c r="H41" s="51">
        <f>ROUND((E41*1485)*12,2)</f>
        <v>111375</v>
      </c>
      <c r="I41" s="51">
        <f>ROUND(H41*0.4,2)</f>
        <v>44550</v>
      </c>
      <c r="J41" s="51">
        <f>ROUND(H41*0.3,2)</f>
        <v>33412.5</v>
      </c>
      <c r="K41" s="51">
        <f>ROUND((H41+J41+I41)*0.2409,2)</f>
        <v>45611.4</v>
      </c>
      <c r="L41" s="52">
        <f>E41*3416</f>
        <v>21350</v>
      </c>
      <c r="M41" s="158">
        <f>ROUND(SUM(H41:L41),0)</f>
        <v>256299</v>
      </c>
      <c r="N41" s="289"/>
      <c r="O41" s="76"/>
      <c r="P41" s="76"/>
    </row>
    <row r="42" spans="2:16" x14ac:dyDescent="0.25">
      <c r="B42" s="308" t="s">
        <v>5</v>
      </c>
      <c r="C42" s="309">
        <f>C40+C41</f>
        <v>20</v>
      </c>
      <c r="D42" s="309">
        <f t="shared" ref="D42:L42" si="3">D40+D41</f>
        <v>9</v>
      </c>
      <c r="E42" s="309">
        <f t="shared" si="3"/>
        <v>6.25</v>
      </c>
      <c r="F42" s="309">
        <f t="shared" si="3"/>
        <v>11</v>
      </c>
      <c r="G42" s="309">
        <f t="shared" si="3"/>
        <v>15</v>
      </c>
      <c r="H42" s="310">
        <f t="shared" si="3"/>
        <v>271755</v>
      </c>
      <c r="I42" s="310"/>
      <c r="J42" s="310">
        <f t="shared" si="3"/>
        <v>81526.5</v>
      </c>
      <c r="K42" s="310">
        <f t="shared" si="3"/>
        <v>95837.6</v>
      </c>
      <c r="L42" s="310">
        <f t="shared" si="3"/>
        <v>74210</v>
      </c>
      <c r="M42" s="159">
        <f>M40+M41</f>
        <v>567879</v>
      </c>
      <c r="N42" s="289"/>
      <c r="O42" s="76"/>
      <c r="P42" s="76"/>
    </row>
    <row r="43" spans="2:16" x14ac:dyDescent="0.25">
      <c r="B43" s="124" t="s">
        <v>345</v>
      </c>
      <c r="C43" s="26"/>
      <c r="D43" s="26"/>
      <c r="E43" s="26"/>
      <c r="F43" s="26"/>
      <c r="G43" s="26"/>
      <c r="H43" s="27"/>
      <c r="I43" s="27"/>
      <c r="J43" s="27"/>
      <c r="K43" s="27"/>
      <c r="L43" s="27"/>
      <c r="M43" s="289"/>
      <c r="N43" s="289"/>
      <c r="O43" s="76"/>
    </row>
    <row r="44" spans="2:16" x14ac:dyDescent="0.25">
      <c r="B44" s="296" t="s">
        <v>229</v>
      </c>
      <c r="C44" s="26"/>
      <c r="D44" s="26"/>
      <c r="E44" s="26"/>
      <c r="F44" s="26"/>
      <c r="G44" s="26"/>
      <c r="H44" s="27"/>
      <c r="I44" s="27"/>
      <c r="J44" s="27"/>
      <c r="K44" s="27"/>
      <c r="L44" s="27"/>
      <c r="M44" s="289"/>
      <c r="N44" s="289"/>
      <c r="O44" s="76"/>
    </row>
    <row r="45" spans="2:16" x14ac:dyDescent="0.25">
      <c r="B45" s="296" t="s">
        <v>230</v>
      </c>
      <c r="C45" s="26"/>
      <c r="D45" s="26"/>
      <c r="E45" s="26"/>
      <c r="F45" s="26"/>
      <c r="G45" s="26"/>
      <c r="H45" s="27"/>
      <c r="I45" s="27"/>
      <c r="J45" s="27"/>
      <c r="K45" s="27"/>
      <c r="L45" s="27"/>
      <c r="M45" s="289"/>
      <c r="N45" s="289"/>
      <c r="O45" s="76"/>
    </row>
    <row r="46" spans="2:16" x14ac:dyDescent="0.25">
      <c r="B46" s="289"/>
      <c r="C46" s="289"/>
      <c r="D46" s="289"/>
      <c r="E46" s="289"/>
      <c r="F46" s="289"/>
      <c r="G46" s="289"/>
      <c r="H46" s="289"/>
      <c r="I46" s="289"/>
      <c r="J46" s="289"/>
      <c r="K46" s="289"/>
      <c r="L46" s="289"/>
      <c r="M46" s="289"/>
      <c r="N46" s="289"/>
      <c r="O46" s="76"/>
    </row>
    <row r="47" spans="2:16" x14ac:dyDescent="0.25">
      <c r="B47" s="289"/>
      <c r="C47" s="289"/>
      <c r="D47" s="289"/>
      <c r="E47" s="289"/>
      <c r="F47" s="289"/>
      <c r="G47" s="289"/>
      <c r="H47" s="289"/>
      <c r="I47" s="289"/>
      <c r="J47" s="289"/>
      <c r="K47" s="289"/>
      <c r="L47" s="289"/>
      <c r="M47" s="289"/>
      <c r="N47" s="289"/>
      <c r="O47" s="76"/>
    </row>
    <row r="48" spans="2:16" ht="18.75" customHeight="1" x14ac:dyDescent="0.25">
      <c r="B48" s="296"/>
      <c r="C48" s="289"/>
      <c r="D48" s="289"/>
      <c r="E48" s="289"/>
      <c r="F48" s="289"/>
      <c r="G48" s="289"/>
      <c r="H48" s="311"/>
      <c r="I48" s="289"/>
      <c r="J48" s="289"/>
      <c r="K48" s="289"/>
      <c r="L48" s="289"/>
      <c r="M48" s="289"/>
      <c r="N48" s="289"/>
      <c r="O48" s="76"/>
    </row>
    <row r="49" spans="2:15" x14ac:dyDescent="0.25">
      <c r="B49" s="296"/>
      <c r="C49" s="296"/>
      <c r="D49" s="296"/>
      <c r="E49" s="296"/>
      <c r="F49" s="296"/>
      <c r="G49" s="296"/>
      <c r="H49" s="296"/>
      <c r="I49" s="296"/>
      <c r="J49" s="296"/>
      <c r="K49" s="296"/>
      <c r="L49" s="296"/>
      <c r="M49" s="289"/>
      <c r="N49" s="289"/>
      <c r="O49" s="76"/>
    </row>
    <row r="50" spans="2:15" x14ac:dyDescent="0.25">
      <c r="B50" s="124"/>
      <c r="C50" s="296"/>
      <c r="D50" s="296"/>
      <c r="E50" s="296"/>
      <c r="F50" s="296"/>
      <c r="G50" s="296"/>
      <c r="H50" s="296"/>
      <c r="I50" s="296"/>
      <c r="J50" s="296"/>
      <c r="K50" s="296"/>
      <c r="L50" s="296"/>
      <c r="M50" s="289"/>
      <c r="N50" s="289"/>
      <c r="O50" s="76"/>
    </row>
    <row r="51" spans="2:15" ht="42.75" customHeight="1" x14ac:dyDescent="0.25">
      <c r="B51" s="289"/>
      <c r="C51" s="289"/>
      <c r="D51" s="289"/>
      <c r="E51" s="289"/>
      <c r="F51" s="289"/>
      <c r="G51" s="289"/>
      <c r="H51" s="296"/>
      <c r="I51" s="296"/>
      <c r="J51" s="296"/>
      <c r="K51" s="296"/>
      <c r="L51" s="296"/>
      <c r="M51" s="289"/>
      <c r="N51" s="289"/>
      <c r="O51" s="76"/>
    </row>
    <row r="52" spans="2:15" x14ac:dyDescent="0.25">
      <c r="B52" s="289"/>
      <c r="C52" s="289"/>
      <c r="D52" s="289"/>
      <c r="E52" s="289"/>
      <c r="F52" s="289"/>
      <c r="G52" s="289"/>
      <c r="H52" s="296"/>
      <c r="I52" s="296"/>
      <c r="J52" s="296"/>
      <c r="K52" s="296"/>
      <c r="L52" s="296"/>
      <c r="M52" s="289"/>
      <c r="N52" s="289"/>
      <c r="O52" s="76"/>
    </row>
    <row r="53" spans="2:15" x14ac:dyDescent="0.25">
      <c r="B53" s="289"/>
      <c r="C53" s="289"/>
      <c r="D53" s="289"/>
      <c r="E53" s="289"/>
      <c r="F53" s="289"/>
      <c r="G53" s="289"/>
      <c r="H53" s="296"/>
      <c r="I53" s="296"/>
      <c r="J53" s="296"/>
      <c r="K53" s="296"/>
      <c r="L53" s="296"/>
      <c r="M53" s="289"/>
      <c r="N53" s="289"/>
      <c r="O53" s="76"/>
    </row>
    <row r="54" spans="2:15" x14ac:dyDescent="0.25">
      <c r="B54" s="289"/>
      <c r="C54" s="289"/>
      <c r="D54" s="289"/>
      <c r="E54" s="289"/>
      <c r="F54" s="289"/>
      <c r="G54" s="289"/>
      <c r="H54" s="296"/>
      <c r="I54" s="296"/>
      <c r="J54" s="296"/>
      <c r="K54" s="296"/>
      <c r="L54" s="296"/>
      <c r="M54" s="289"/>
      <c r="N54" s="289"/>
      <c r="O54" s="76"/>
    </row>
    <row r="55" spans="2:15" x14ac:dyDescent="0.25">
      <c r="B55" s="296"/>
      <c r="C55" s="296"/>
      <c r="D55" s="296"/>
      <c r="E55" s="296"/>
      <c r="F55" s="296"/>
      <c r="G55" s="296"/>
      <c r="H55" s="296"/>
      <c r="I55" s="296"/>
      <c r="J55" s="296"/>
      <c r="K55" s="296"/>
      <c r="L55" s="296"/>
      <c r="M55" s="289"/>
      <c r="N55" s="289"/>
      <c r="O55" s="76"/>
    </row>
    <row r="56" spans="2:15" x14ac:dyDescent="0.25">
      <c r="O56" s="76"/>
    </row>
    <row r="57" spans="2:15" x14ac:dyDescent="0.25">
      <c r="O57" s="76"/>
    </row>
    <row r="58" spans="2:15" x14ac:dyDescent="0.25">
      <c r="O58" s="76"/>
    </row>
    <row r="59" spans="2:15" x14ac:dyDescent="0.25">
      <c r="B59" s="21"/>
      <c r="O59" s="76"/>
    </row>
    <row r="60" spans="2:15" x14ac:dyDescent="0.25">
      <c r="B60" s="21"/>
      <c r="O60" s="76"/>
    </row>
    <row r="61" spans="2:15" x14ac:dyDescent="0.25">
      <c r="O61" s="76"/>
    </row>
    <row r="62" spans="2:15" x14ac:dyDescent="0.25">
      <c r="J62" s="24"/>
      <c r="O62" s="76"/>
    </row>
    <row r="64" spans="2:15" ht="30" customHeight="1" x14ac:dyDescent="0.25"/>
    <row r="66" s="76" customFormat="1" x14ac:dyDescent="0.25"/>
    <row r="67" s="76" customFormat="1" x14ac:dyDescent="0.25"/>
    <row r="68" s="76" customFormat="1" x14ac:dyDescent="0.25"/>
    <row r="69" s="76" customFormat="1" x14ac:dyDescent="0.25"/>
    <row r="70" s="76" customFormat="1" x14ac:dyDescent="0.25"/>
    <row r="71" s="76" customFormat="1" x14ac:dyDescent="0.25"/>
    <row r="72" s="76" customFormat="1" x14ac:dyDescent="0.25"/>
    <row r="73" s="76" customFormat="1" x14ac:dyDescent="0.25"/>
    <row r="74" s="76" customFormat="1" x14ac:dyDescent="0.25"/>
    <row r="75" s="76" customFormat="1" x14ac:dyDescent="0.25"/>
    <row r="76" s="76" customFormat="1" x14ac:dyDescent="0.25"/>
    <row r="77" s="76" customFormat="1" x14ac:dyDescent="0.25"/>
  </sheetData>
  <mergeCells count="23">
    <mergeCell ref="M17:M18"/>
    <mergeCell ref="B5:C5"/>
    <mergeCell ref="B6:C6"/>
    <mergeCell ref="I17:I18"/>
    <mergeCell ref="A3:L3"/>
    <mergeCell ref="B17:B18"/>
    <mergeCell ref="C17:C18"/>
    <mergeCell ref="D17:E17"/>
    <mergeCell ref="F17:G17"/>
    <mergeCell ref="H17:H18"/>
    <mergeCell ref="J17:J18"/>
    <mergeCell ref="K17:K18"/>
    <mergeCell ref="L17:L18"/>
    <mergeCell ref="K38:K39"/>
    <mergeCell ref="L38:L39"/>
    <mergeCell ref="M38:M39"/>
    <mergeCell ref="B38:B39"/>
    <mergeCell ref="C38:C39"/>
    <mergeCell ref="D38:E38"/>
    <mergeCell ref="F38:G38"/>
    <mergeCell ref="H38:H39"/>
    <mergeCell ref="J38:J39"/>
    <mergeCell ref="I38:I39"/>
  </mergeCells>
  <pageMargins left="0.19685039370078741" right="0.15748031496062992" top="0.27559055118110237" bottom="1.0236220472440944" header="0.15748031496062992" footer="0.15748031496062992"/>
  <pageSetup paperSize="9" scale="69" fitToHeight="0" orientation="landscape" r:id="rId1"/>
  <headerFooter>
    <oddFooter>&amp;L(TA-1235)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41"/>
  <sheetViews>
    <sheetView showGridLines="0" view="pageLayout" topLeftCell="A18" zoomScaleNormal="100" workbookViewId="0">
      <selection activeCell="B36" sqref="B35:B36"/>
    </sheetView>
  </sheetViews>
  <sheetFormatPr defaultRowHeight="15" x14ac:dyDescent="0.25"/>
  <cols>
    <col min="1" max="1" width="3.42578125" style="4" customWidth="1"/>
    <col min="2" max="2" width="26.28515625" style="4" customWidth="1"/>
    <col min="3" max="3" width="20.7109375" style="4" customWidth="1"/>
    <col min="4" max="4" width="15" style="4" customWidth="1"/>
    <col min="5" max="5" width="17.42578125" style="4" customWidth="1"/>
    <col min="6" max="6" width="16.42578125" style="4" customWidth="1"/>
    <col min="7" max="8" width="16.140625" style="4" customWidth="1"/>
    <col min="9" max="9" width="20.42578125" style="4" customWidth="1"/>
    <col min="10" max="10" width="19" style="4" customWidth="1"/>
    <col min="11" max="11" width="14.28515625" style="4" customWidth="1"/>
    <col min="12" max="12" width="13.85546875" style="4" customWidth="1"/>
    <col min="13" max="13" width="12.5703125" style="4" customWidth="1"/>
    <col min="14" max="14" width="13.5703125" style="4" customWidth="1"/>
    <col min="15" max="15" width="14.140625" style="2" customWidth="1"/>
    <col min="16" max="16" width="9.140625" style="2"/>
    <col min="17" max="17" width="11" style="4" customWidth="1"/>
    <col min="18" max="18" width="11.85546875" style="4" customWidth="1"/>
    <col min="19" max="19" width="12" style="4" customWidth="1"/>
    <col min="20" max="20" width="11.7109375" style="4" customWidth="1"/>
    <col min="21" max="259" width="9.140625" style="4"/>
    <col min="260" max="261" width="41" style="4" customWidth="1"/>
    <col min="262" max="262" width="23.42578125" style="4" customWidth="1"/>
    <col min="263" max="263" width="25" style="4" customWidth="1"/>
    <col min="264" max="264" width="43.140625" style="4" customWidth="1"/>
    <col min="265" max="265" width="14.5703125" style="4" customWidth="1"/>
    <col min="266" max="272" width="9.140625" style="4"/>
    <col min="273" max="273" width="5.5703125" style="4" customWidth="1"/>
    <col min="274" max="274" width="13.140625" style="4" customWidth="1"/>
    <col min="275" max="275" width="51.42578125" style="4" customWidth="1"/>
    <col min="276" max="276" width="11.7109375" style="4" customWidth="1"/>
    <col min="277" max="515" width="9.140625" style="4"/>
    <col min="516" max="517" width="41" style="4" customWidth="1"/>
    <col min="518" max="518" width="23.42578125" style="4" customWidth="1"/>
    <col min="519" max="519" width="25" style="4" customWidth="1"/>
    <col min="520" max="520" width="43.140625" style="4" customWidth="1"/>
    <col min="521" max="521" width="14.5703125" style="4" customWidth="1"/>
    <col min="522" max="528" width="9.140625" style="4"/>
    <col min="529" max="529" width="5.5703125" style="4" customWidth="1"/>
    <col min="530" max="530" width="13.140625" style="4" customWidth="1"/>
    <col min="531" max="531" width="51.42578125" style="4" customWidth="1"/>
    <col min="532" max="532" width="11.7109375" style="4" customWidth="1"/>
    <col min="533" max="771" width="9.140625" style="4"/>
    <col min="772" max="773" width="41" style="4" customWidth="1"/>
    <col min="774" max="774" width="23.42578125" style="4" customWidth="1"/>
    <col min="775" max="775" width="25" style="4" customWidth="1"/>
    <col min="776" max="776" width="43.140625" style="4" customWidth="1"/>
    <col min="777" max="777" width="14.5703125" style="4" customWidth="1"/>
    <col min="778" max="784" width="9.140625" style="4"/>
    <col min="785" max="785" width="5.5703125" style="4" customWidth="1"/>
    <col min="786" max="786" width="13.140625" style="4" customWidth="1"/>
    <col min="787" max="787" width="51.42578125" style="4" customWidth="1"/>
    <col min="788" max="788" width="11.7109375" style="4" customWidth="1"/>
    <col min="789" max="1027" width="9.140625" style="4"/>
    <col min="1028" max="1029" width="41" style="4" customWidth="1"/>
    <col min="1030" max="1030" width="23.42578125" style="4" customWidth="1"/>
    <col min="1031" max="1031" width="25" style="4" customWidth="1"/>
    <col min="1032" max="1032" width="43.140625" style="4" customWidth="1"/>
    <col min="1033" max="1033" width="14.5703125" style="4" customWidth="1"/>
    <col min="1034" max="1040" width="9.140625" style="4"/>
    <col min="1041" max="1041" width="5.5703125" style="4" customWidth="1"/>
    <col min="1042" max="1042" width="13.140625" style="4" customWidth="1"/>
    <col min="1043" max="1043" width="51.42578125" style="4" customWidth="1"/>
    <col min="1044" max="1044" width="11.7109375" style="4" customWidth="1"/>
    <col min="1045" max="1283" width="9.140625" style="4"/>
    <col min="1284" max="1285" width="41" style="4" customWidth="1"/>
    <col min="1286" max="1286" width="23.42578125" style="4" customWidth="1"/>
    <col min="1287" max="1287" width="25" style="4" customWidth="1"/>
    <col min="1288" max="1288" width="43.140625" style="4" customWidth="1"/>
    <col min="1289" max="1289" width="14.5703125" style="4" customWidth="1"/>
    <col min="1290" max="1296" width="9.140625" style="4"/>
    <col min="1297" max="1297" width="5.5703125" style="4" customWidth="1"/>
    <col min="1298" max="1298" width="13.140625" style="4" customWidth="1"/>
    <col min="1299" max="1299" width="51.42578125" style="4" customWidth="1"/>
    <col min="1300" max="1300" width="11.7109375" style="4" customWidth="1"/>
    <col min="1301" max="1539" width="9.140625" style="4"/>
    <col min="1540" max="1541" width="41" style="4" customWidth="1"/>
    <col min="1542" max="1542" width="23.42578125" style="4" customWidth="1"/>
    <col min="1543" max="1543" width="25" style="4" customWidth="1"/>
    <col min="1544" max="1544" width="43.140625" style="4" customWidth="1"/>
    <col min="1545" max="1545" width="14.5703125" style="4" customWidth="1"/>
    <col min="1546" max="1552" width="9.140625" style="4"/>
    <col min="1553" max="1553" width="5.5703125" style="4" customWidth="1"/>
    <col min="1554" max="1554" width="13.140625" style="4" customWidth="1"/>
    <col min="1555" max="1555" width="51.42578125" style="4" customWidth="1"/>
    <col min="1556" max="1556" width="11.7109375" style="4" customWidth="1"/>
    <col min="1557" max="1795" width="9.140625" style="4"/>
    <col min="1796" max="1797" width="41" style="4" customWidth="1"/>
    <col min="1798" max="1798" width="23.42578125" style="4" customWidth="1"/>
    <col min="1799" max="1799" width="25" style="4" customWidth="1"/>
    <col min="1800" max="1800" width="43.140625" style="4" customWidth="1"/>
    <col min="1801" max="1801" width="14.5703125" style="4" customWidth="1"/>
    <col min="1802" max="1808" width="9.140625" style="4"/>
    <col min="1809" max="1809" width="5.5703125" style="4" customWidth="1"/>
    <col min="1810" max="1810" width="13.140625" style="4" customWidth="1"/>
    <col min="1811" max="1811" width="51.42578125" style="4" customWidth="1"/>
    <col min="1812" max="1812" width="11.7109375" style="4" customWidth="1"/>
    <col min="1813" max="2051" width="9.140625" style="4"/>
    <col min="2052" max="2053" width="41" style="4" customWidth="1"/>
    <col min="2054" max="2054" width="23.42578125" style="4" customWidth="1"/>
    <col min="2055" max="2055" width="25" style="4" customWidth="1"/>
    <col min="2056" max="2056" width="43.140625" style="4" customWidth="1"/>
    <col min="2057" max="2057" width="14.5703125" style="4" customWidth="1"/>
    <col min="2058" max="2064" width="9.140625" style="4"/>
    <col min="2065" max="2065" width="5.5703125" style="4" customWidth="1"/>
    <col min="2066" max="2066" width="13.140625" style="4" customWidth="1"/>
    <col min="2067" max="2067" width="51.42578125" style="4" customWidth="1"/>
    <col min="2068" max="2068" width="11.7109375" style="4" customWidth="1"/>
    <col min="2069" max="2307" width="9.140625" style="4"/>
    <col min="2308" max="2309" width="41" style="4" customWidth="1"/>
    <col min="2310" max="2310" width="23.42578125" style="4" customWidth="1"/>
    <col min="2311" max="2311" width="25" style="4" customWidth="1"/>
    <col min="2312" max="2312" width="43.140625" style="4" customWidth="1"/>
    <col min="2313" max="2313" width="14.5703125" style="4" customWidth="1"/>
    <col min="2314" max="2320" width="9.140625" style="4"/>
    <col min="2321" max="2321" width="5.5703125" style="4" customWidth="1"/>
    <col min="2322" max="2322" width="13.140625" style="4" customWidth="1"/>
    <col min="2323" max="2323" width="51.42578125" style="4" customWidth="1"/>
    <col min="2324" max="2324" width="11.7109375" style="4" customWidth="1"/>
    <col min="2325" max="2563" width="9.140625" style="4"/>
    <col min="2564" max="2565" width="41" style="4" customWidth="1"/>
    <col min="2566" max="2566" width="23.42578125" style="4" customWidth="1"/>
    <col min="2567" max="2567" width="25" style="4" customWidth="1"/>
    <col min="2568" max="2568" width="43.140625" style="4" customWidth="1"/>
    <col min="2569" max="2569" width="14.5703125" style="4" customWidth="1"/>
    <col min="2570" max="2576" width="9.140625" style="4"/>
    <col min="2577" max="2577" width="5.5703125" style="4" customWidth="1"/>
    <col min="2578" max="2578" width="13.140625" style="4" customWidth="1"/>
    <col min="2579" max="2579" width="51.42578125" style="4" customWidth="1"/>
    <col min="2580" max="2580" width="11.7109375" style="4" customWidth="1"/>
    <col min="2581" max="2819" width="9.140625" style="4"/>
    <col min="2820" max="2821" width="41" style="4" customWidth="1"/>
    <col min="2822" max="2822" width="23.42578125" style="4" customWidth="1"/>
    <col min="2823" max="2823" width="25" style="4" customWidth="1"/>
    <col min="2824" max="2824" width="43.140625" style="4" customWidth="1"/>
    <col min="2825" max="2825" width="14.5703125" style="4" customWidth="1"/>
    <col min="2826" max="2832" width="9.140625" style="4"/>
    <col min="2833" max="2833" width="5.5703125" style="4" customWidth="1"/>
    <col min="2834" max="2834" width="13.140625" style="4" customWidth="1"/>
    <col min="2835" max="2835" width="51.42578125" style="4" customWidth="1"/>
    <col min="2836" max="2836" width="11.7109375" style="4" customWidth="1"/>
    <col min="2837" max="3075" width="9.140625" style="4"/>
    <col min="3076" max="3077" width="41" style="4" customWidth="1"/>
    <col min="3078" max="3078" width="23.42578125" style="4" customWidth="1"/>
    <col min="3079" max="3079" width="25" style="4" customWidth="1"/>
    <col min="3080" max="3080" width="43.140625" style="4" customWidth="1"/>
    <col min="3081" max="3081" width="14.5703125" style="4" customWidth="1"/>
    <col min="3082" max="3088" width="9.140625" style="4"/>
    <col min="3089" max="3089" width="5.5703125" style="4" customWidth="1"/>
    <col min="3090" max="3090" width="13.140625" style="4" customWidth="1"/>
    <col min="3091" max="3091" width="51.42578125" style="4" customWidth="1"/>
    <col min="3092" max="3092" width="11.7109375" style="4" customWidth="1"/>
    <col min="3093" max="3331" width="9.140625" style="4"/>
    <col min="3332" max="3333" width="41" style="4" customWidth="1"/>
    <col min="3334" max="3334" width="23.42578125" style="4" customWidth="1"/>
    <col min="3335" max="3335" width="25" style="4" customWidth="1"/>
    <col min="3336" max="3336" width="43.140625" style="4" customWidth="1"/>
    <col min="3337" max="3337" width="14.5703125" style="4" customWidth="1"/>
    <col min="3338" max="3344" width="9.140625" style="4"/>
    <col min="3345" max="3345" width="5.5703125" style="4" customWidth="1"/>
    <col min="3346" max="3346" width="13.140625" style="4" customWidth="1"/>
    <col min="3347" max="3347" width="51.42578125" style="4" customWidth="1"/>
    <col min="3348" max="3348" width="11.7109375" style="4" customWidth="1"/>
    <col min="3349" max="3587" width="9.140625" style="4"/>
    <col min="3588" max="3589" width="41" style="4" customWidth="1"/>
    <col min="3590" max="3590" width="23.42578125" style="4" customWidth="1"/>
    <col min="3591" max="3591" width="25" style="4" customWidth="1"/>
    <col min="3592" max="3592" width="43.140625" style="4" customWidth="1"/>
    <col min="3593" max="3593" width="14.5703125" style="4" customWidth="1"/>
    <col min="3594" max="3600" width="9.140625" style="4"/>
    <col min="3601" max="3601" width="5.5703125" style="4" customWidth="1"/>
    <col min="3602" max="3602" width="13.140625" style="4" customWidth="1"/>
    <col min="3603" max="3603" width="51.42578125" style="4" customWidth="1"/>
    <col min="3604" max="3604" width="11.7109375" style="4" customWidth="1"/>
    <col min="3605" max="3843" width="9.140625" style="4"/>
    <col min="3844" max="3845" width="41" style="4" customWidth="1"/>
    <col min="3846" max="3846" width="23.42578125" style="4" customWidth="1"/>
    <col min="3847" max="3847" width="25" style="4" customWidth="1"/>
    <col min="3848" max="3848" width="43.140625" style="4" customWidth="1"/>
    <col min="3849" max="3849" width="14.5703125" style="4" customWidth="1"/>
    <col min="3850" max="3856" width="9.140625" style="4"/>
    <col min="3857" max="3857" width="5.5703125" style="4" customWidth="1"/>
    <col min="3858" max="3858" width="13.140625" style="4" customWidth="1"/>
    <col min="3859" max="3859" width="51.42578125" style="4" customWidth="1"/>
    <col min="3860" max="3860" width="11.7109375" style="4" customWidth="1"/>
    <col min="3861" max="4099" width="9.140625" style="4"/>
    <col min="4100" max="4101" width="41" style="4" customWidth="1"/>
    <col min="4102" max="4102" width="23.42578125" style="4" customWidth="1"/>
    <col min="4103" max="4103" width="25" style="4" customWidth="1"/>
    <col min="4104" max="4104" width="43.140625" style="4" customWidth="1"/>
    <col min="4105" max="4105" width="14.5703125" style="4" customWidth="1"/>
    <col min="4106" max="4112" width="9.140625" style="4"/>
    <col min="4113" max="4113" width="5.5703125" style="4" customWidth="1"/>
    <col min="4114" max="4114" width="13.140625" style="4" customWidth="1"/>
    <col min="4115" max="4115" width="51.42578125" style="4" customWidth="1"/>
    <col min="4116" max="4116" width="11.7109375" style="4" customWidth="1"/>
    <col min="4117" max="4355" width="9.140625" style="4"/>
    <col min="4356" max="4357" width="41" style="4" customWidth="1"/>
    <col min="4358" max="4358" width="23.42578125" style="4" customWidth="1"/>
    <col min="4359" max="4359" width="25" style="4" customWidth="1"/>
    <col min="4360" max="4360" width="43.140625" style="4" customWidth="1"/>
    <col min="4361" max="4361" width="14.5703125" style="4" customWidth="1"/>
    <col min="4362" max="4368" width="9.140625" style="4"/>
    <col min="4369" max="4369" width="5.5703125" style="4" customWidth="1"/>
    <col min="4370" max="4370" width="13.140625" style="4" customWidth="1"/>
    <col min="4371" max="4371" width="51.42578125" style="4" customWidth="1"/>
    <col min="4372" max="4372" width="11.7109375" style="4" customWidth="1"/>
    <col min="4373" max="4611" width="9.140625" style="4"/>
    <col min="4612" max="4613" width="41" style="4" customWidth="1"/>
    <col min="4614" max="4614" width="23.42578125" style="4" customWidth="1"/>
    <col min="4615" max="4615" width="25" style="4" customWidth="1"/>
    <col min="4616" max="4616" width="43.140625" style="4" customWidth="1"/>
    <col min="4617" max="4617" width="14.5703125" style="4" customWidth="1"/>
    <col min="4618" max="4624" width="9.140625" style="4"/>
    <col min="4625" max="4625" width="5.5703125" style="4" customWidth="1"/>
    <col min="4626" max="4626" width="13.140625" style="4" customWidth="1"/>
    <col min="4627" max="4627" width="51.42578125" style="4" customWidth="1"/>
    <col min="4628" max="4628" width="11.7109375" style="4" customWidth="1"/>
    <col min="4629" max="4867" width="9.140625" style="4"/>
    <col min="4868" max="4869" width="41" style="4" customWidth="1"/>
    <col min="4870" max="4870" width="23.42578125" style="4" customWidth="1"/>
    <col min="4871" max="4871" width="25" style="4" customWidth="1"/>
    <col min="4872" max="4872" width="43.140625" style="4" customWidth="1"/>
    <col min="4873" max="4873" width="14.5703125" style="4" customWidth="1"/>
    <col min="4874" max="4880" width="9.140625" style="4"/>
    <col min="4881" max="4881" width="5.5703125" style="4" customWidth="1"/>
    <col min="4882" max="4882" width="13.140625" style="4" customWidth="1"/>
    <col min="4883" max="4883" width="51.42578125" style="4" customWidth="1"/>
    <col min="4884" max="4884" width="11.7109375" style="4" customWidth="1"/>
    <col min="4885" max="5123" width="9.140625" style="4"/>
    <col min="5124" max="5125" width="41" style="4" customWidth="1"/>
    <col min="5126" max="5126" width="23.42578125" style="4" customWidth="1"/>
    <col min="5127" max="5127" width="25" style="4" customWidth="1"/>
    <col min="5128" max="5128" width="43.140625" style="4" customWidth="1"/>
    <col min="5129" max="5129" width="14.5703125" style="4" customWidth="1"/>
    <col min="5130" max="5136" width="9.140625" style="4"/>
    <col min="5137" max="5137" width="5.5703125" style="4" customWidth="1"/>
    <col min="5138" max="5138" width="13.140625" style="4" customWidth="1"/>
    <col min="5139" max="5139" width="51.42578125" style="4" customWidth="1"/>
    <col min="5140" max="5140" width="11.7109375" style="4" customWidth="1"/>
    <col min="5141" max="5379" width="9.140625" style="4"/>
    <col min="5380" max="5381" width="41" style="4" customWidth="1"/>
    <col min="5382" max="5382" width="23.42578125" style="4" customWidth="1"/>
    <col min="5383" max="5383" width="25" style="4" customWidth="1"/>
    <col min="5384" max="5384" width="43.140625" style="4" customWidth="1"/>
    <col min="5385" max="5385" width="14.5703125" style="4" customWidth="1"/>
    <col min="5386" max="5392" width="9.140625" style="4"/>
    <col min="5393" max="5393" width="5.5703125" style="4" customWidth="1"/>
    <col min="5394" max="5394" width="13.140625" style="4" customWidth="1"/>
    <col min="5395" max="5395" width="51.42578125" style="4" customWidth="1"/>
    <col min="5396" max="5396" width="11.7109375" style="4" customWidth="1"/>
    <col min="5397" max="5635" width="9.140625" style="4"/>
    <col min="5636" max="5637" width="41" style="4" customWidth="1"/>
    <col min="5638" max="5638" width="23.42578125" style="4" customWidth="1"/>
    <col min="5639" max="5639" width="25" style="4" customWidth="1"/>
    <col min="5640" max="5640" width="43.140625" style="4" customWidth="1"/>
    <col min="5641" max="5641" width="14.5703125" style="4" customWidth="1"/>
    <col min="5642" max="5648" width="9.140625" style="4"/>
    <col min="5649" max="5649" width="5.5703125" style="4" customWidth="1"/>
    <col min="5650" max="5650" width="13.140625" style="4" customWidth="1"/>
    <col min="5651" max="5651" width="51.42578125" style="4" customWidth="1"/>
    <col min="5652" max="5652" width="11.7109375" style="4" customWidth="1"/>
    <col min="5653" max="5891" width="9.140625" style="4"/>
    <col min="5892" max="5893" width="41" style="4" customWidth="1"/>
    <col min="5894" max="5894" width="23.42578125" style="4" customWidth="1"/>
    <col min="5895" max="5895" width="25" style="4" customWidth="1"/>
    <col min="5896" max="5896" width="43.140625" style="4" customWidth="1"/>
    <col min="5897" max="5897" width="14.5703125" style="4" customWidth="1"/>
    <col min="5898" max="5904" width="9.140625" style="4"/>
    <col min="5905" max="5905" width="5.5703125" style="4" customWidth="1"/>
    <col min="5906" max="5906" width="13.140625" style="4" customWidth="1"/>
    <col min="5907" max="5907" width="51.42578125" style="4" customWidth="1"/>
    <col min="5908" max="5908" width="11.7109375" style="4" customWidth="1"/>
    <col min="5909" max="6147" width="9.140625" style="4"/>
    <col min="6148" max="6149" width="41" style="4" customWidth="1"/>
    <col min="6150" max="6150" width="23.42578125" style="4" customWidth="1"/>
    <col min="6151" max="6151" width="25" style="4" customWidth="1"/>
    <col min="6152" max="6152" width="43.140625" style="4" customWidth="1"/>
    <col min="6153" max="6153" width="14.5703125" style="4" customWidth="1"/>
    <col min="6154" max="6160" width="9.140625" style="4"/>
    <col min="6161" max="6161" width="5.5703125" style="4" customWidth="1"/>
    <col min="6162" max="6162" width="13.140625" style="4" customWidth="1"/>
    <col min="6163" max="6163" width="51.42578125" style="4" customWidth="1"/>
    <col min="6164" max="6164" width="11.7109375" style="4" customWidth="1"/>
    <col min="6165" max="6403" width="9.140625" style="4"/>
    <col min="6404" max="6405" width="41" style="4" customWidth="1"/>
    <col min="6406" max="6406" width="23.42578125" style="4" customWidth="1"/>
    <col min="6407" max="6407" width="25" style="4" customWidth="1"/>
    <col min="6408" max="6408" width="43.140625" style="4" customWidth="1"/>
    <col min="6409" max="6409" width="14.5703125" style="4" customWidth="1"/>
    <col min="6410" max="6416" width="9.140625" style="4"/>
    <col min="6417" max="6417" width="5.5703125" style="4" customWidth="1"/>
    <col min="6418" max="6418" width="13.140625" style="4" customWidth="1"/>
    <col min="6419" max="6419" width="51.42578125" style="4" customWidth="1"/>
    <col min="6420" max="6420" width="11.7109375" style="4" customWidth="1"/>
    <col min="6421" max="6659" width="9.140625" style="4"/>
    <col min="6660" max="6661" width="41" style="4" customWidth="1"/>
    <col min="6662" max="6662" width="23.42578125" style="4" customWidth="1"/>
    <col min="6663" max="6663" width="25" style="4" customWidth="1"/>
    <col min="6664" max="6664" width="43.140625" style="4" customWidth="1"/>
    <col min="6665" max="6665" width="14.5703125" style="4" customWidth="1"/>
    <col min="6666" max="6672" width="9.140625" style="4"/>
    <col min="6673" max="6673" width="5.5703125" style="4" customWidth="1"/>
    <col min="6674" max="6674" width="13.140625" style="4" customWidth="1"/>
    <col min="6675" max="6675" width="51.42578125" style="4" customWidth="1"/>
    <col min="6676" max="6676" width="11.7109375" style="4" customWidth="1"/>
    <col min="6677" max="6915" width="9.140625" style="4"/>
    <col min="6916" max="6917" width="41" style="4" customWidth="1"/>
    <col min="6918" max="6918" width="23.42578125" style="4" customWidth="1"/>
    <col min="6919" max="6919" width="25" style="4" customWidth="1"/>
    <col min="6920" max="6920" width="43.140625" style="4" customWidth="1"/>
    <col min="6921" max="6921" width="14.5703125" style="4" customWidth="1"/>
    <col min="6922" max="6928" width="9.140625" style="4"/>
    <col min="6929" max="6929" width="5.5703125" style="4" customWidth="1"/>
    <col min="6930" max="6930" width="13.140625" style="4" customWidth="1"/>
    <col min="6931" max="6931" width="51.42578125" style="4" customWidth="1"/>
    <col min="6932" max="6932" width="11.7109375" style="4" customWidth="1"/>
    <col min="6933" max="7171" width="9.140625" style="4"/>
    <col min="7172" max="7173" width="41" style="4" customWidth="1"/>
    <col min="7174" max="7174" width="23.42578125" style="4" customWidth="1"/>
    <col min="7175" max="7175" width="25" style="4" customWidth="1"/>
    <col min="7176" max="7176" width="43.140625" style="4" customWidth="1"/>
    <col min="7177" max="7177" width="14.5703125" style="4" customWidth="1"/>
    <col min="7178" max="7184" width="9.140625" style="4"/>
    <col min="7185" max="7185" width="5.5703125" style="4" customWidth="1"/>
    <col min="7186" max="7186" width="13.140625" style="4" customWidth="1"/>
    <col min="7187" max="7187" width="51.42578125" style="4" customWidth="1"/>
    <col min="7188" max="7188" width="11.7109375" style="4" customWidth="1"/>
    <col min="7189" max="7427" width="9.140625" style="4"/>
    <col min="7428" max="7429" width="41" style="4" customWidth="1"/>
    <col min="7430" max="7430" width="23.42578125" style="4" customWidth="1"/>
    <col min="7431" max="7431" width="25" style="4" customWidth="1"/>
    <col min="7432" max="7432" width="43.140625" style="4" customWidth="1"/>
    <col min="7433" max="7433" width="14.5703125" style="4" customWidth="1"/>
    <col min="7434" max="7440" width="9.140625" style="4"/>
    <col min="7441" max="7441" width="5.5703125" style="4" customWidth="1"/>
    <col min="7442" max="7442" width="13.140625" style="4" customWidth="1"/>
    <col min="7443" max="7443" width="51.42578125" style="4" customWidth="1"/>
    <col min="7444" max="7444" width="11.7109375" style="4" customWidth="1"/>
    <col min="7445" max="7683" width="9.140625" style="4"/>
    <col min="7684" max="7685" width="41" style="4" customWidth="1"/>
    <col min="7686" max="7686" width="23.42578125" style="4" customWidth="1"/>
    <col min="7687" max="7687" width="25" style="4" customWidth="1"/>
    <col min="7688" max="7688" width="43.140625" style="4" customWidth="1"/>
    <col min="7689" max="7689" width="14.5703125" style="4" customWidth="1"/>
    <col min="7690" max="7696" width="9.140625" style="4"/>
    <col min="7697" max="7697" width="5.5703125" style="4" customWidth="1"/>
    <col min="7698" max="7698" width="13.140625" style="4" customWidth="1"/>
    <col min="7699" max="7699" width="51.42578125" style="4" customWidth="1"/>
    <col min="7700" max="7700" width="11.7109375" style="4" customWidth="1"/>
    <col min="7701" max="7939" width="9.140625" style="4"/>
    <col min="7940" max="7941" width="41" style="4" customWidth="1"/>
    <col min="7942" max="7942" width="23.42578125" style="4" customWidth="1"/>
    <col min="7943" max="7943" width="25" style="4" customWidth="1"/>
    <col min="7944" max="7944" width="43.140625" style="4" customWidth="1"/>
    <col min="7945" max="7945" width="14.5703125" style="4" customWidth="1"/>
    <col min="7946" max="7952" width="9.140625" style="4"/>
    <col min="7953" max="7953" width="5.5703125" style="4" customWidth="1"/>
    <col min="7954" max="7954" width="13.140625" style="4" customWidth="1"/>
    <col min="7955" max="7955" width="51.42578125" style="4" customWidth="1"/>
    <col min="7956" max="7956" width="11.7109375" style="4" customWidth="1"/>
    <col min="7957" max="8195" width="9.140625" style="4"/>
    <col min="8196" max="8197" width="41" style="4" customWidth="1"/>
    <col min="8198" max="8198" width="23.42578125" style="4" customWidth="1"/>
    <col min="8199" max="8199" width="25" style="4" customWidth="1"/>
    <col min="8200" max="8200" width="43.140625" style="4" customWidth="1"/>
    <col min="8201" max="8201" width="14.5703125" style="4" customWidth="1"/>
    <col min="8202" max="8208" width="9.140625" style="4"/>
    <col min="8209" max="8209" width="5.5703125" style="4" customWidth="1"/>
    <col min="8210" max="8210" width="13.140625" style="4" customWidth="1"/>
    <col min="8211" max="8211" width="51.42578125" style="4" customWidth="1"/>
    <col min="8212" max="8212" width="11.7109375" style="4" customWidth="1"/>
    <col min="8213" max="8451" width="9.140625" style="4"/>
    <col min="8452" max="8453" width="41" style="4" customWidth="1"/>
    <col min="8454" max="8454" width="23.42578125" style="4" customWidth="1"/>
    <col min="8455" max="8455" width="25" style="4" customWidth="1"/>
    <col min="8456" max="8456" width="43.140625" style="4" customWidth="1"/>
    <col min="8457" max="8457" width="14.5703125" style="4" customWidth="1"/>
    <col min="8458" max="8464" width="9.140625" style="4"/>
    <col min="8465" max="8465" width="5.5703125" style="4" customWidth="1"/>
    <col min="8466" max="8466" width="13.140625" style="4" customWidth="1"/>
    <col min="8467" max="8467" width="51.42578125" style="4" customWidth="1"/>
    <col min="8468" max="8468" width="11.7109375" style="4" customWidth="1"/>
    <col min="8469" max="8707" width="9.140625" style="4"/>
    <col min="8708" max="8709" width="41" style="4" customWidth="1"/>
    <col min="8710" max="8710" width="23.42578125" style="4" customWidth="1"/>
    <col min="8711" max="8711" width="25" style="4" customWidth="1"/>
    <col min="8712" max="8712" width="43.140625" style="4" customWidth="1"/>
    <col min="8713" max="8713" width="14.5703125" style="4" customWidth="1"/>
    <col min="8714" max="8720" width="9.140625" style="4"/>
    <col min="8721" max="8721" width="5.5703125" style="4" customWidth="1"/>
    <col min="8722" max="8722" width="13.140625" style="4" customWidth="1"/>
    <col min="8723" max="8723" width="51.42578125" style="4" customWidth="1"/>
    <col min="8724" max="8724" width="11.7109375" style="4" customWidth="1"/>
    <col min="8725" max="8963" width="9.140625" style="4"/>
    <col min="8964" max="8965" width="41" style="4" customWidth="1"/>
    <col min="8966" max="8966" width="23.42578125" style="4" customWidth="1"/>
    <col min="8967" max="8967" width="25" style="4" customWidth="1"/>
    <col min="8968" max="8968" width="43.140625" style="4" customWidth="1"/>
    <col min="8969" max="8969" width="14.5703125" style="4" customWidth="1"/>
    <col min="8970" max="8976" width="9.140625" style="4"/>
    <col min="8977" max="8977" width="5.5703125" style="4" customWidth="1"/>
    <col min="8978" max="8978" width="13.140625" style="4" customWidth="1"/>
    <col min="8979" max="8979" width="51.42578125" style="4" customWidth="1"/>
    <col min="8980" max="8980" width="11.7109375" style="4" customWidth="1"/>
    <col min="8981" max="9219" width="9.140625" style="4"/>
    <col min="9220" max="9221" width="41" style="4" customWidth="1"/>
    <col min="9222" max="9222" width="23.42578125" style="4" customWidth="1"/>
    <col min="9223" max="9223" width="25" style="4" customWidth="1"/>
    <col min="9224" max="9224" width="43.140625" style="4" customWidth="1"/>
    <col min="9225" max="9225" width="14.5703125" style="4" customWidth="1"/>
    <col min="9226" max="9232" width="9.140625" style="4"/>
    <col min="9233" max="9233" width="5.5703125" style="4" customWidth="1"/>
    <col min="9234" max="9234" width="13.140625" style="4" customWidth="1"/>
    <col min="9235" max="9235" width="51.42578125" style="4" customWidth="1"/>
    <col min="9236" max="9236" width="11.7109375" style="4" customWidth="1"/>
    <col min="9237" max="9475" width="9.140625" style="4"/>
    <col min="9476" max="9477" width="41" style="4" customWidth="1"/>
    <col min="9478" max="9478" width="23.42578125" style="4" customWidth="1"/>
    <col min="9479" max="9479" width="25" style="4" customWidth="1"/>
    <col min="9480" max="9480" width="43.140625" style="4" customWidth="1"/>
    <col min="9481" max="9481" width="14.5703125" style="4" customWidth="1"/>
    <col min="9482" max="9488" width="9.140625" style="4"/>
    <col min="9489" max="9489" width="5.5703125" style="4" customWidth="1"/>
    <col min="9490" max="9490" width="13.140625" style="4" customWidth="1"/>
    <col min="9491" max="9491" width="51.42578125" style="4" customWidth="1"/>
    <col min="9492" max="9492" width="11.7109375" style="4" customWidth="1"/>
    <col min="9493" max="9731" width="9.140625" style="4"/>
    <col min="9732" max="9733" width="41" style="4" customWidth="1"/>
    <col min="9734" max="9734" width="23.42578125" style="4" customWidth="1"/>
    <col min="9735" max="9735" width="25" style="4" customWidth="1"/>
    <col min="9736" max="9736" width="43.140625" style="4" customWidth="1"/>
    <col min="9737" max="9737" width="14.5703125" style="4" customWidth="1"/>
    <col min="9738" max="9744" width="9.140625" style="4"/>
    <col min="9745" max="9745" width="5.5703125" style="4" customWidth="1"/>
    <col min="9746" max="9746" width="13.140625" style="4" customWidth="1"/>
    <col min="9747" max="9747" width="51.42578125" style="4" customWidth="1"/>
    <col min="9748" max="9748" width="11.7109375" style="4" customWidth="1"/>
    <col min="9749" max="9987" width="9.140625" style="4"/>
    <col min="9988" max="9989" width="41" style="4" customWidth="1"/>
    <col min="9990" max="9990" width="23.42578125" style="4" customWidth="1"/>
    <col min="9991" max="9991" width="25" style="4" customWidth="1"/>
    <col min="9992" max="9992" width="43.140625" style="4" customWidth="1"/>
    <col min="9993" max="9993" width="14.5703125" style="4" customWidth="1"/>
    <col min="9994" max="10000" width="9.140625" style="4"/>
    <col min="10001" max="10001" width="5.5703125" style="4" customWidth="1"/>
    <col min="10002" max="10002" width="13.140625" style="4" customWidth="1"/>
    <col min="10003" max="10003" width="51.42578125" style="4" customWidth="1"/>
    <col min="10004" max="10004" width="11.7109375" style="4" customWidth="1"/>
    <col min="10005" max="10243" width="9.140625" style="4"/>
    <col min="10244" max="10245" width="41" style="4" customWidth="1"/>
    <col min="10246" max="10246" width="23.42578125" style="4" customWidth="1"/>
    <col min="10247" max="10247" width="25" style="4" customWidth="1"/>
    <col min="10248" max="10248" width="43.140625" style="4" customWidth="1"/>
    <col min="10249" max="10249" width="14.5703125" style="4" customWidth="1"/>
    <col min="10250" max="10256" width="9.140625" style="4"/>
    <col min="10257" max="10257" width="5.5703125" style="4" customWidth="1"/>
    <col min="10258" max="10258" width="13.140625" style="4" customWidth="1"/>
    <col min="10259" max="10259" width="51.42578125" style="4" customWidth="1"/>
    <col min="10260" max="10260" width="11.7109375" style="4" customWidth="1"/>
    <col min="10261" max="10499" width="9.140625" style="4"/>
    <col min="10500" max="10501" width="41" style="4" customWidth="1"/>
    <col min="10502" max="10502" width="23.42578125" style="4" customWidth="1"/>
    <col min="10503" max="10503" width="25" style="4" customWidth="1"/>
    <col min="10504" max="10504" width="43.140625" style="4" customWidth="1"/>
    <col min="10505" max="10505" width="14.5703125" style="4" customWidth="1"/>
    <col min="10506" max="10512" width="9.140625" style="4"/>
    <col min="10513" max="10513" width="5.5703125" style="4" customWidth="1"/>
    <col min="10514" max="10514" width="13.140625" style="4" customWidth="1"/>
    <col min="10515" max="10515" width="51.42578125" style="4" customWidth="1"/>
    <col min="10516" max="10516" width="11.7109375" style="4" customWidth="1"/>
    <col min="10517" max="10755" width="9.140625" style="4"/>
    <col min="10756" max="10757" width="41" style="4" customWidth="1"/>
    <col min="10758" max="10758" width="23.42578125" style="4" customWidth="1"/>
    <col min="10759" max="10759" width="25" style="4" customWidth="1"/>
    <col min="10760" max="10760" width="43.140625" style="4" customWidth="1"/>
    <col min="10761" max="10761" width="14.5703125" style="4" customWidth="1"/>
    <col min="10762" max="10768" width="9.140625" style="4"/>
    <col min="10769" max="10769" width="5.5703125" style="4" customWidth="1"/>
    <col min="10770" max="10770" width="13.140625" style="4" customWidth="1"/>
    <col min="10771" max="10771" width="51.42578125" style="4" customWidth="1"/>
    <col min="10772" max="10772" width="11.7109375" style="4" customWidth="1"/>
    <col min="10773" max="11011" width="9.140625" style="4"/>
    <col min="11012" max="11013" width="41" style="4" customWidth="1"/>
    <col min="11014" max="11014" width="23.42578125" style="4" customWidth="1"/>
    <col min="11015" max="11015" width="25" style="4" customWidth="1"/>
    <col min="11016" max="11016" width="43.140625" style="4" customWidth="1"/>
    <col min="11017" max="11017" width="14.5703125" style="4" customWidth="1"/>
    <col min="11018" max="11024" width="9.140625" style="4"/>
    <col min="11025" max="11025" width="5.5703125" style="4" customWidth="1"/>
    <col min="11026" max="11026" width="13.140625" style="4" customWidth="1"/>
    <col min="11027" max="11027" width="51.42578125" style="4" customWidth="1"/>
    <col min="11028" max="11028" width="11.7109375" style="4" customWidth="1"/>
    <col min="11029" max="11267" width="9.140625" style="4"/>
    <col min="11268" max="11269" width="41" style="4" customWidth="1"/>
    <col min="11270" max="11270" width="23.42578125" style="4" customWidth="1"/>
    <col min="11271" max="11271" width="25" style="4" customWidth="1"/>
    <col min="11272" max="11272" width="43.140625" style="4" customWidth="1"/>
    <col min="11273" max="11273" width="14.5703125" style="4" customWidth="1"/>
    <col min="11274" max="11280" width="9.140625" style="4"/>
    <col min="11281" max="11281" width="5.5703125" style="4" customWidth="1"/>
    <col min="11282" max="11282" width="13.140625" style="4" customWidth="1"/>
    <col min="11283" max="11283" width="51.42578125" style="4" customWidth="1"/>
    <col min="11284" max="11284" width="11.7109375" style="4" customWidth="1"/>
    <col min="11285" max="11523" width="9.140625" style="4"/>
    <col min="11524" max="11525" width="41" style="4" customWidth="1"/>
    <col min="11526" max="11526" width="23.42578125" style="4" customWidth="1"/>
    <col min="11527" max="11527" width="25" style="4" customWidth="1"/>
    <col min="11528" max="11528" width="43.140625" style="4" customWidth="1"/>
    <col min="11529" max="11529" width="14.5703125" style="4" customWidth="1"/>
    <col min="11530" max="11536" width="9.140625" style="4"/>
    <col min="11537" max="11537" width="5.5703125" style="4" customWidth="1"/>
    <col min="11538" max="11538" width="13.140625" style="4" customWidth="1"/>
    <col min="11539" max="11539" width="51.42578125" style="4" customWidth="1"/>
    <col min="11540" max="11540" width="11.7109375" style="4" customWidth="1"/>
    <col min="11541" max="11779" width="9.140625" style="4"/>
    <col min="11780" max="11781" width="41" style="4" customWidth="1"/>
    <col min="11782" max="11782" width="23.42578125" style="4" customWidth="1"/>
    <col min="11783" max="11783" width="25" style="4" customWidth="1"/>
    <col min="11784" max="11784" width="43.140625" style="4" customWidth="1"/>
    <col min="11785" max="11785" width="14.5703125" style="4" customWidth="1"/>
    <col min="11786" max="11792" width="9.140625" style="4"/>
    <col min="11793" max="11793" width="5.5703125" style="4" customWidth="1"/>
    <col min="11794" max="11794" width="13.140625" style="4" customWidth="1"/>
    <col min="11795" max="11795" width="51.42578125" style="4" customWidth="1"/>
    <col min="11796" max="11796" width="11.7109375" style="4" customWidth="1"/>
    <col min="11797" max="12035" width="9.140625" style="4"/>
    <col min="12036" max="12037" width="41" style="4" customWidth="1"/>
    <col min="12038" max="12038" width="23.42578125" style="4" customWidth="1"/>
    <col min="12039" max="12039" width="25" style="4" customWidth="1"/>
    <col min="12040" max="12040" width="43.140625" style="4" customWidth="1"/>
    <col min="12041" max="12041" width="14.5703125" style="4" customWidth="1"/>
    <col min="12042" max="12048" width="9.140625" style="4"/>
    <col min="12049" max="12049" width="5.5703125" style="4" customWidth="1"/>
    <col min="12050" max="12050" width="13.140625" style="4" customWidth="1"/>
    <col min="12051" max="12051" width="51.42578125" style="4" customWidth="1"/>
    <col min="12052" max="12052" width="11.7109375" style="4" customWidth="1"/>
    <col min="12053" max="12291" width="9.140625" style="4"/>
    <col min="12292" max="12293" width="41" style="4" customWidth="1"/>
    <col min="12294" max="12294" width="23.42578125" style="4" customWidth="1"/>
    <col min="12295" max="12295" width="25" style="4" customWidth="1"/>
    <col min="12296" max="12296" width="43.140625" style="4" customWidth="1"/>
    <col min="12297" max="12297" width="14.5703125" style="4" customWidth="1"/>
    <col min="12298" max="12304" width="9.140625" style="4"/>
    <col min="12305" max="12305" width="5.5703125" style="4" customWidth="1"/>
    <col min="12306" max="12306" width="13.140625" style="4" customWidth="1"/>
    <col min="12307" max="12307" width="51.42578125" style="4" customWidth="1"/>
    <col min="12308" max="12308" width="11.7109375" style="4" customWidth="1"/>
    <col min="12309" max="12547" width="9.140625" style="4"/>
    <col min="12548" max="12549" width="41" style="4" customWidth="1"/>
    <col min="12550" max="12550" width="23.42578125" style="4" customWidth="1"/>
    <col min="12551" max="12551" width="25" style="4" customWidth="1"/>
    <col min="12552" max="12552" width="43.140625" style="4" customWidth="1"/>
    <col min="12553" max="12553" width="14.5703125" style="4" customWidth="1"/>
    <col min="12554" max="12560" width="9.140625" style="4"/>
    <col min="12561" max="12561" width="5.5703125" style="4" customWidth="1"/>
    <col min="12562" max="12562" width="13.140625" style="4" customWidth="1"/>
    <col min="12563" max="12563" width="51.42578125" style="4" customWidth="1"/>
    <col min="12564" max="12564" width="11.7109375" style="4" customWidth="1"/>
    <col min="12565" max="12803" width="9.140625" style="4"/>
    <col min="12804" max="12805" width="41" style="4" customWidth="1"/>
    <col min="12806" max="12806" width="23.42578125" style="4" customWidth="1"/>
    <col min="12807" max="12807" width="25" style="4" customWidth="1"/>
    <col min="12808" max="12808" width="43.140625" style="4" customWidth="1"/>
    <col min="12809" max="12809" width="14.5703125" style="4" customWidth="1"/>
    <col min="12810" max="12816" width="9.140625" style="4"/>
    <col min="12817" max="12817" width="5.5703125" style="4" customWidth="1"/>
    <col min="12818" max="12818" width="13.140625" style="4" customWidth="1"/>
    <col min="12819" max="12819" width="51.42578125" style="4" customWidth="1"/>
    <col min="12820" max="12820" width="11.7109375" style="4" customWidth="1"/>
    <col min="12821" max="13059" width="9.140625" style="4"/>
    <col min="13060" max="13061" width="41" style="4" customWidth="1"/>
    <col min="13062" max="13062" width="23.42578125" style="4" customWidth="1"/>
    <col min="13063" max="13063" width="25" style="4" customWidth="1"/>
    <col min="13064" max="13064" width="43.140625" style="4" customWidth="1"/>
    <col min="13065" max="13065" width="14.5703125" style="4" customWidth="1"/>
    <col min="13066" max="13072" width="9.140625" style="4"/>
    <col min="13073" max="13073" width="5.5703125" style="4" customWidth="1"/>
    <col min="13074" max="13074" width="13.140625" style="4" customWidth="1"/>
    <col min="13075" max="13075" width="51.42578125" style="4" customWidth="1"/>
    <col min="13076" max="13076" width="11.7109375" style="4" customWidth="1"/>
    <col min="13077" max="13315" width="9.140625" style="4"/>
    <col min="13316" max="13317" width="41" style="4" customWidth="1"/>
    <col min="13318" max="13318" width="23.42578125" style="4" customWidth="1"/>
    <col min="13319" max="13319" width="25" style="4" customWidth="1"/>
    <col min="13320" max="13320" width="43.140625" style="4" customWidth="1"/>
    <col min="13321" max="13321" width="14.5703125" style="4" customWidth="1"/>
    <col min="13322" max="13328" width="9.140625" style="4"/>
    <col min="13329" max="13329" width="5.5703125" style="4" customWidth="1"/>
    <col min="13330" max="13330" width="13.140625" style="4" customWidth="1"/>
    <col min="13331" max="13331" width="51.42578125" style="4" customWidth="1"/>
    <col min="13332" max="13332" width="11.7109375" style="4" customWidth="1"/>
    <col min="13333" max="13571" width="9.140625" style="4"/>
    <col min="13572" max="13573" width="41" style="4" customWidth="1"/>
    <col min="13574" max="13574" width="23.42578125" style="4" customWidth="1"/>
    <col min="13575" max="13575" width="25" style="4" customWidth="1"/>
    <col min="13576" max="13576" width="43.140625" style="4" customWidth="1"/>
    <col min="13577" max="13577" width="14.5703125" style="4" customWidth="1"/>
    <col min="13578" max="13584" width="9.140625" style="4"/>
    <col min="13585" max="13585" width="5.5703125" style="4" customWidth="1"/>
    <col min="13586" max="13586" width="13.140625" style="4" customWidth="1"/>
    <col min="13587" max="13587" width="51.42578125" style="4" customWidth="1"/>
    <col min="13588" max="13588" width="11.7109375" style="4" customWidth="1"/>
    <col min="13589" max="13827" width="9.140625" style="4"/>
    <col min="13828" max="13829" width="41" style="4" customWidth="1"/>
    <col min="13830" max="13830" width="23.42578125" style="4" customWidth="1"/>
    <col min="13831" max="13831" width="25" style="4" customWidth="1"/>
    <col min="13832" max="13832" width="43.140625" style="4" customWidth="1"/>
    <col min="13833" max="13833" width="14.5703125" style="4" customWidth="1"/>
    <col min="13834" max="13840" width="9.140625" style="4"/>
    <col min="13841" max="13841" width="5.5703125" style="4" customWidth="1"/>
    <col min="13842" max="13842" width="13.140625" style="4" customWidth="1"/>
    <col min="13843" max="13843" width="51.42578125" style="4" customWidth="1"/>
    <col min="13844" max="13844" width="11.7109375" style="4" customWidth="1"/>
    <col min="13845" max="14083" width="9.140625" style="4"/>
    <col min="14084" max="14085" width="41" style="4" customWidth="1"/>
    <col min="14086" max="14086" width="23.42578125" style="4" customWidth="1"/>
    <col min="14087" max="14087" width="25" style="4" customWidth="1"/>
    <col min="14088" max="14088" width="43.140625" style="4" customWidth="1"/>
    <col min="14089" max="14089" width="14.5703125" style="4" customWidth="1"/>
    <col min="14090" max="14096" width="9.140625" style="4"/>
    <col min="14097" max="14097" width="5.5703125" style="4" customWidth="1"/>
    <col min="14098" max="14098" width="13.140625" style="4" customWidth="1"/>
    <col min="14099" max="14099" width="51.42578125" style="4" customWidth="1"/>
    <col min="14100" max="14100" width="11.7109375" style="4" customWidth="1"/>
    <col min="14101" max="14339" width="9.140625" style="4"/>
    <col min="14340" max="14341" width="41" style="4" customWidth="1"/>
    <col min="14342" max="14342" width="23.42578125" style="4" customWidth="1"/>
    <col min="14343" max="14343" width="25" style="4" customWidth="1"/>
    <col min="14344" max="14344" width="43.140625" style="4" customWidth="1"/>
    <col min="14345" max="14345" width="14.5703125" style="4" customWidth="1"/>
    <col min="14346" max="14352" width="9.140625" style="4"/>
    <col min="14353" max="14353" width="5.5703125" style="4" customWidth="1"/>
    <col min="14354" max="14354" width="13.140625" style="4" customWidth="1"/>
    <col min="14355" max="14355" width="51.42578125" style="4" customWidth="1"/>
    <col min="14356" max="14356" width="11.7109375" style="4" customWidth="1"/>
    <col min="14357" max="14595" width="9.140625" style="4"/>
    <col min="14596" max="14597" width="41" style="4" customWidth="1"/>
    <col min="14598" max="14598" width="23.42578125" style="4" customWidth="1"/>
    <col min="14599" max="14599" width="25" style="4" customWidth="1"/>
    <col min="14600" max="14600" width="43.140625" style="4" customWidth="1"/>
    <col min="14601" max="14601" width="14.5703125" style="4" customWidth="1"/>
    <col min="14602" max="14608" width="9.140625" style="4"/>
    <col min="14609" max="14609" width="5.5703125" style="4" customWidth="1"/>
    <col min="14610" max="14610" width="13.140625" style="4" customWidth="1"/>
    <col min="14611" max="14611" width="51.42578125" style="4" customWidth="1"/>
    <col min="14612" max="14612" width="11.7109375" style="4" customWidth="1"/>
    <col min="14613" max="14851" width="9.140625" style="4"/>
    <col min="14852" max="14853" width="41" style="4" customWidth="1"/>
    <col min="14854" max="14854" width="23.42578125" style="4" customWidth="1"/>
    <col min="14855" max="14855" width="25" style="4" customWidth="1"/>
    <col min="14856" max="14856" width="43.140625" style="4" customWidth="1"/>
    <col min="14857" max="14857" width="14.5703125" style="4" customWidth="1"/>
    <col min="14858" max="14864" width="9.140625" style="4"/>
    <col min="14865" max="14865" width="5.5703125" style="4" customWidth="1"/>
    <col min="14866" max="14866" width="13.140625" style="4" customWidth="1"/>
    <col min="14867" max="14867" width="51.42578125" style="4" customWidth="1"/>
    <col min="14868" max="14868" width="11.7109375" style="4" customWidth="1"/>
    <col min="14869" max="15107" width="9.140625" style="4"/>
    <col min="15108" max="15109" width="41" style="4" customWidth="1"/>
    <col min="15110" max="15110" width="23.42578125" style="4" customWidth="1"/>
    <col min="15111" max="15111" width="25" style="4" customWidth="1"/>
    <col min="15112" max="15112" width="43.140625" style="4" customWidth="1"/>
    <col min="15113" max="15113" width="14.5703125" style="4" customWidth="1"/>
    <col min="15114" max="15120" width="9.140625" style="4"/>
    <col min="15121" max="15121" width="5.5703125" style="4" customWidth="1"/>
    <col min="15122" max="15122" width="13.140625" style="4" customWidth="1"/>
    <col min="15123" max="15123" width="51.42578125" style="4" customWidth="1"/>
    <col min="15124" max="15124" width="11.7109375" style="4" customWidth="1"/>
    <col min="15125" max="15363" width="9.140625" style="4"/>
    <col min="15364" max="15365" width="41" style="4" customWidth="1"/>
    <col min="15366" max="15366" width="23.42578125" style="4" customWidth="1"/>
    <col min="15367" max="15367" width="25" style="4" customWidth="1"/>
    <col min="15368" max="15368" width="43.140625" style="4" customWidth="1"/>
    <col min="15369" max="15369" width="14.5703125" style="4" customWidth="1"/>
    <col min="15370" max="15376" width="9.140625" style="4"/>
    <col min="15377" max="15377" width="5.5703125" style="4" customWidth="1"/>
    <col min="15378" max="15378" width="13.140625" style="4" customWidth="1"/>
    <col min="15379" max="15379" width="51.42578125" style="4" customWidth="1"/>
    <col min="15380" max="15380" width="11.7109375" style="4" customWidth="1"/>
    <col min="15381" max="15619" width="9.140625" style="4"/>
    <col min="15620" max="15621" width="41" style="4" customWidth="1"/>
    <col min="15622" max="15622" width="23.42578125" style="4" customWidth="1"/>
    <col min="15623" max="15623" width="25" style="4" customWidth="1"/>
    <col min="15624" max="15624" width="43.140625" style="4" customWidth="1"/>
    <col min="15625" max="15625" width="14.5703125" style="4" customWidth="1"/>
    <col min="15626" max="15632" width="9.140625" style="4"/>
    <col min="15633" max="15633" width="5.5703125" style="4" customWidth="1"/>
    <col min="15634" max="15634" width="13.140625" style="4" customWidth="1"/>
    <col min="15635" max="15635" width="51.42578125" style="4" customWidth="1"/>
    <col min="15636" max="15636" width="11.7109375" style="4" customWidth="1"/>
    <col min="15637" max="15875" width="9.140625" style="4"/>
    <col min="15876" max="15877" width="41" style="4" customWidth="1"/>
    <col min="15878" max="15878" width="23.42578125" style="4" customWidth="1"/>
    <col min="15879" max="15879" width="25" style="4" customWidth="1"/>
    <col min="15880" max="15880" width="43.140625" style="4" customWidth="1"/>
    <col min="15881" max="15881" width="14.5703125" style="4" customWidth="1"/>
    <col min="15882" max="15888" width="9.140625" style="4"/>
    <col min="15889" max="15889" width="5.5703125" style="4" customWidth="1"/>
    <col min="15890" max="15890" width="13.140625" style="4" customWidth="1"/>
    <col min="15891" max="15891" width="51.42578125" style="4" customWidth="1"/>
    <col min="15892" max="15892" width="11.7109375" style="4" customWidth="1"/>
    <col min="15893" max="16131" width="9.140625" style="4"/>
    <col min="16132" max="16133" width="41" style="4" customWidth="1"/>
    <col min="16134" max="16134" width="23.42578125" style="4" customWidth="1"/>
    <col min="16135" max="16135" width="25" style="4" customWidth="1"/>
    <col min="16136" max="16136" width="43.140625" style="4" customWidth="1"/>
    <col min="16137" max="16137" width="14.5703125" style="4" customWidth="1"/>
    <col min="16138" max="16144" width="9.140625" style="4"/>
    <col min="16145" max="16145" width="5.5703125" style="4" customWidth="1"/>
    <col min="16146" max="16146" width="13.140625" style="4" customWidth="1"/>
    <col min="16147" max="16147" width="51.42578125" style="4" customWidth="1"/>
    <col min="16148" max="16148" width="11.7109375" style="4" customWidth="1"/>
    <col min="16149" max="16384" width="9.140625" style="4"/>
  </cols>
  <sheetData>
    <row r="1" spans="1:42" x14ac:dyDescent="0.25">
      <c r="M1" s="4" t="s">
        <v>128</v>
      </c>
    </row>
    <row r="3" spans="1:42" ht="18.75" x14ac:dyDescent="0.3">
      <c r="A3" s="559" t="s">
        <v>131</v>
      </c>
      <c r="B3" s="559"/>
      <c r="C3" s="559"/>
      <c r="D3" s="559"/>
      <c r="E3" s="559"/>
      <c r="F3" s="559"/>
      <c r="G3" s="559"/>
      <c r="H3" s="559"/>
      <c r="I3" s="559"/>
      <c r="J3" s="559"/>
      <c r="K3" s="559"/>
      <c r="L3" s="559"/>
      <c r="M3" s="559"/>
      <c r="N3" s="62"/>
      <c r="Q3" s="3"/>
      <c r="R3" s="3"/>
      <c r="S3" s="3"/>
      <c r="T3" s="3"/>
      <c r="U3" s="3"/>
      <c r="V3" s="3"/>
      <c r="W3" s="3"/>
      <c r="X3" s="3"/>
      <c r="Y3" s="3"/>
      <c r="Z3" s="3"/>
      <c r="AA3" s="3"/>
      <c r="AB3" s="3"/>
      <c r="AC3" s="3"/>
      <c r="AD3" s="3"/>
      <c r="AE3" s="3"/>
      <c r="AF3" s="3"/>
      <c r="AG3" s="3"/>
      <c r="AH3" s="3"/>
      <c r="AI3" s="3"/>
      <c r="AJ3" s="3"/>
      <c r="AK3" s="3"/>
      <c r="AL3" s="3"/>
      <c r="AM3" s="3"/>
      <c r="AN3" s="3"/>
      <c r="AO3" s="3"/>
      <c r="AP3" s="3"/>
    </row>
    <row r="4" spans="1:42" ht="15" customHeight="1" x14ac:dyDescent="0.3">
      <c r="A4" s="312"/>
      <c r="B4" s="312"/>
      <c r="C4" s="312"/>
      <c r="D4" s="312"/>
      <c r="E4" s="312"/>
      <c r="F4" s="312"/>
      <c r="G4" s="312"/>
      <c r="H4" s="312"/>
      <c r="I4" s="312"/>
      <c r="J4" s="312"/>
      <c r="K4" s="312"/>
      <c r="L4" s="312"/>
      <c r="M4" s="312"/>
      <c r="N4" s="62"/>
      <c r="Q4" s="3"/>
      <c r="R4" s="3"/>
      <c r="S4" s="3"/>
      <c r="T4" s="3"/>
      <c r="U4" s="3"/>
      <c r="V4" s="3"/>
      <c r="W4" s="3"/>
      <c r="X4" s="3"/>
      <c r="Y4" s="3"/>
      <c r="Z4" s="3"/>
      <c r="AA4" s="3"/>
      <c r="AB4" s="3"/>
      <c r="AC4" s="3"/>
      <c r="AD4" s="3"/>
      <c r="AE4" s="3"/>
      <c r="AF4" s="3"/>
      <c r="AG4" s="3"/>
      <c r="AH4" s="3"/>
      <c r="AI4" s="3"/>
      <c r="AJ4" s="3"/>
      <c r="AK4" s="3"/>
      <c r="AL4" s="3"/>
      <c r="AM4" s="3"/>
      <c r="AN4" s="3"/>
      <c r="AO4" s="3"/>
      <c r="AP4" s="3"/>
    </row>
    <row r="5" spans="1:42" ht="94.5" x14ac:dyDescent="0.3">
      <c r="A5" s="312"/>
      <c r="B5" s="563" t="s">
        <v>194</v>
      </c>
      <c r="C5" s="564"/>
      <c r="D5" s="172" t="s">
        <v>199</v>
      </c>
      <c r="E5" s="172" t="s">
        <v>200</v>
      </c>
      <c r="F5" s="172" t="s">
        <v>201</v>
      </c>
      <c r="G5" s="313"/>
      <c r="H5" s="313"/>
      <c r="I5" s="313"/>
      <c r="J5" s="313"/>
      <c r="K5" s="312"/>
      <c r="L5" s="312"/>
      <c r="M5" s="312"/>
      <c r="N5" s="62"/>
      <c r="Q5" s="3"/>
      <c r="R5" s="3"/>
      <c r="S5" s="3"/>
      <c r="T5" s="3"/>
      <c r="U5" s="3"/>
      <c r="V5" s="3"/>
      <c r="W5" s="3"/>
      <c r="X5" s="3"/>
      <c r="Y5" s="3"/>
      <c r="Z5" s="3"/>
      <c r="AA5" s="3"/>
      <c r="AB5" s="3"/>
      <c r="AC5" s="3"/>
      <c r="AD5" s="3"/>
      <c r="AE5" s="3"/>
      <c r="AF5" s="3"/>
      <c r="AG5" s="3"/>
      <c r="AH5" s="3"/>
      <c r="AI5" s="3"/>
      <c r="AJ5" s="3"/>
      <c r="AK5" s="3"/>
      <c r="AL5" s="3"/>
      <c r="AM5" s="3"/>
      <c r="AN5" s="3"/>
      <c r="AO5" s="3"/>
      <c r="AP5" s="3"/>
    </row>
    <row r="6" spans="1:42" ht="39" customHeight="1" x14ac:dyDescent="0.3">
      <c r="A6" s="312"/>
      <c r="B6" s="565" t="s">
        <v>188</v>
      </c>
      <c r="C6" s="566"/>
      <c r="D6" s="202">
        <f>D22</f>
        <v>25728</v>
      </c>
      <c r="E6" s="202">
        <f>D6</f>
        <v>25728</v>
      </c>
      <c r="F6" s="202">
        <f>E6</f>
        <v>25728</v>
      </c>
      <c r="G6" s="313"/>
      <c r="H6" s="313"/>
      <c r="I6" s="313"/>
      <c r="J6" s="313"/>
      <c r="K6" s="312"/>
      <c r="L6" s="312"/>
      <c r="M6" s="312"/>
      <c r="N6" s="62"/>
      <c r="Q6" s="3"/>
      <c r="R6" s="3"/>
      <c r="S6" s="3"/>
      <c r="T6" s="3"/>
      <c r="U6" s="3"/>
      <c r="V6" s="3"/>
      <c r="W6" s="3"/>
      <c r="X6" s="3"/>
      <c r="Y6" s="3"/>
      <c r="Z6" s="3"/>
      <c r="AA6" s="3"/>
      <c r="AB6" s="3"/>
      <c r="AC6" s="3"/>
      <c r="AD6" s="3"/>
      <c r="AE6" s="3"/>
      <c r="AF6" s="3"/>
      <c r="AG6" s="3"/>
      <c r="AH6" s="3"/>
      <c r="AI6" s="3"/>
      <c r="AJ6" s="3"/>
      <c r="AK6" s="3"/>
      <c r="AL6" s="3"/>
      <c r="AM6" s="3"/>
      <c r="AN6" s="3"/>
      <c r="AO6" s="3"/>
      <c r="AP6" s="3"/>
    </row>
    <row r="7" spans="1:42" ht="15" customHeight="1" x14ac:dyDescent="0.3">
      <c r="A7" s="312"/>
      <c r="B7" s="314"/>
      <c r="C7" s="314"/>
      <c r="D7" s="315"/>
      <c r="E7" s="315"/>
      <c r="F7" s="315"/>
      <c r="G7" s="315"/>
      <c r="H7" s="315"/>
      <c r="I7" s="315"/>
      <c r="J7" s="315"/>
      <c r="K7" s="312"/>
      <c r="L7" s="312"/>
      <c r="M7" s="312"/>
      <c r="N7" s="62"/>
      <c r="Q7" s="3"/>
      <c r="R7" s="3"/>
      <c r="S7" s="3"/>
      <c r="T7" s="3"/>
      <c r="U7" s="3"/>
      <c r="V7" s="3"/>
      <c r="W7" s="3"/>
      <c r="X7" s="3"/>
      <c r="Y7" s="3"/>
      <c r="Z7" s="3"/>
      <c r="AA7" s="3"/>
      <c r="AB7" s="3"/>
      <c r="AC7" s="3"/>
      <c r="AD7" s="3"/>
      <c r="AE7" s="3"/>
      <c r="AF7" s="3"/>
      <c r="AG7" s="3"/>
      <c r="AH7" s="3"/>
      <c r="AI7" s="3"/>
      <c r="AJ7" s="3"/>
      <c r="AK7" s="3"/>
      <c r="AL7" s="3"/>
      <c r="AM7" s="3"/>
      <c r="AN7" s="3"/>
      <c r="AO7" s="3"/>
      <c r="AP7" s="3"/>
    </row>
    <row r="8" spans="1:42" ht="15" customHeight="1" x14ac:dyDescent="0.25">
      <c r="A8" s="313"/>
      <c r="B8" s="5"/>
      <c r="C8" s="3"/>
      <c r="D8" s="3"/>
      <c r="E8" s="3"/>
      <c r="F8" s="313"/>
      <c r="G8" s="316"/>
      <c r="H8" s="316"/>
      <c r="I8" s="316"/>
      <c r="J8" s="316"/>
      <c r="K8" s="316"/>
      <c r="L8" s="316"/>
      <c r="M8" s="316"/>
      <c r="N8" s="2"/>
      <c r="Q8" s="3"/>
      <c r="R8" s="3"/>
      <c r="S8" s="3"/>
      <c r="T8" s="3"/>
      <c r="U8" s="3"/>
      <c r="V8" s="3"/>
      <c r="W8" s="3"/>
      <c r="X8" s="3"/>
      <c r="Y8" s="3"/>
      <c r="Z8" s="3"/>
      <c r="AA8" s="3"/>
      <c r="AB8" s="3"/>
      <c r="AC8" s="3"/>
      <c r="AD8" s="3"/>
      <c r="AE8" s="3"/>
      <c r="AF8" s="3"/>
      <c r="AG8" s="3"/>
      <c r="AH8" s="3"/>
      <c r="AI8" s="3"/>
      <c r="AJ8" s="3"/>
      <c r="AK8" s="3"/>
      <c r="AL8" s="3"/>
      <c r="AM8" s="3"/>
      <c r="AN8" s="3"/>
      <c r="AO8" s="3"/>
      <c r="AP8" s="3"/>
    </row>
    <row r="9" spans="1:42" ht="45" customHeight="1" x14ac:dyDescent="0.25">
      <c r="A9" s="313"/>
      <c r="B9" s="560"/>
      <c r="C9" s="561" t="s">
        <v>6</v>
      </c>
      <c r="D9" s="560" t="s">
        <v>7</v>
      </c>
      <c r="E9" s="560"/>
      <c r="F9" s="562" t="s">
        <v>8</v>
      </c>
      <c r="G9" s="562"/>
      <c r="H9" s="553" t="s">
        <v>239</v>
      </c>
      <c r="I9" s="554" t="s">
        <v>240</v>
      </c>
      <c r="J9" s="553" t="s">
        <v>237</v>
      </c>
      <c r="K9" s="549" t="s">
        <v>193</v>
      </c>
      <c r="L9" s="549" t="s">
        <v>235</v>
      </c>
      <c r="M9" s="550" t="s">
        <v>236</v>
      </c>
      <c r="N9" s="2"/>
      <c r="P9" s="4"/>
    </row>
    <row r="10" spans="1:42" ht="45" customHeight="1" x14ac:dyDescent="0.25">
      <c r="A10" s="313"/>
      <c r="B10" s="560"/>
      <c r="C10" s="561"/>
      <c r="D10" s="64" t="s">
        <v>9</v>
      </c>
      <c r="E10" s="246" t="s">
        <v>10</v>
      </c>
      <c r="F10" s="64" t="s">
        <v>9</v>
      </c>
      <c r="G10" s="246" t="s">
        <v>11</v>
      </c>
      <c r="H10" s="553"/>
      <c r="I10" s="555"/>
      <c r="J10" s="553"/>
      <c r="K10" s="549"/>
      <c r="L10" s="549"/>
      <c r="M10" s="550"/>
      <c r="N10" s="2"/>
    </row>
    <row r="11" spans="1:42" x14ac:dyDescent="0.25">
      <c r="A11" s="313"/>
      <c r="B11" s="297" t="s">
        <v>343</v>
      </c>
      <c r="C11" s="317">
        <v>1</v>
      </c>
      <c r="D11" s="317">
        <v>1</v>
      </c>
      <c r="E11" s="318">
        <v>0.25</v>
      </c>
      <c r="F11" s="317"/>
      <c r="G11" s="318"/>
      <c r="H11" s="65">
        <f>ROUND((E11*1485)*12,2)</f>
        <v>4455</v>
      </c>
      <c r="I11" s="51">
        <f>ROUND(H11*0.4,2)</f>
        <v>1782</v>
      </c>
      <c r="J11" s="51">
        <f>ROUND(H11*0.3,2)</f>
        <v>1336.5</v>
      </c>
      <c r="K11" s="51">
        <f>ROUND((H11+J11+I11)*0.2409,2)</f>
        <v>1824.46</v>
      </c>
      <c r="L11" s="66">
        <f>3540*E11</f>
        <v>885</v>
      </c>
      <c r="M11" s="156">
        <f>ROUND(SUM(H11:L11),0)</f>
        <v>10283</v>
      </c>
      <c r="N11" s="2"/>
      <c r="Q11" s="6"/>
    </row>
    <row r="12" spans="1:42" ht="30" x14ac:dyDescent="0.25">
      <c r="A12" s="313"/>
      <c r="B12" s="53" t="s">
        <v>298</v>
      </c>
      <c r="C12" s="245">
        <v>1</v>
      </c>
      <c r="D12" s="317"/>
      <c r="E12" s="318"/>
      <c r="F12" s="317">
        <v>1</v>
      </c>
      <c r="G12" s="318">
        <v>0.25</v>
      </c>
      <c r="H12" s="65">
        <f>ROUND((G12*891)*12,2)</f>
        <v>2673</v>
      </c>
      <c r="I12" s="65"/>
      <c r="J12" s="51">
        <f t="shared" ref="J12:J13" si="0">ROUND(H12*0.3,2)</f>
        <v>801.9</v>
      </c>
      <c r="K12" s="51">
        <f t="shared" ref="K12:K13" si="1">ROUND((H12+J12+I12)*0.2409,2)</f>
        <v>837.1</v>
      </c>
      <c r="L12" s="319">
        <f>3524*G12</f>
        <v>881</v>
      </c>
      <c r="M12" s="156">
        <f t="shared" ref="M12:M13" si="2">ROUND(SUM(H12:L12),0)</f>
        <v>5193</v>
      </c>
      <c r="N12" s="2"/>
      <c r="Q12" s="6"/>
    </row>
    <row r="13" spans="1:42" x14ac:dyDescent="0.25">
      <c r="A13" s="313"/>
      <c r="B13" s="67" t="s">
        <v>13</v>
      </c>
      <c r="C13" s="246">
        <v>1</v>
      </c>
      <c r="D13" s="64">
        <v>1</v>
      </c>
      <c r="E13" s="68">
        <v>0.25</v>
      </c>
      <c r="F13" s="64"/>
      <c r="G13" s="69"/>
      <c r="H13" s="65">
        <f>ROUND((E13*1485)*12,2)</f>
        <v>4455</v>
      </c>
      <c r="I13" s="51">
        <f>ROUND(H13*0.4,2)</f>
        <v>1782</v>
      </c>
      <c r="J13" s="51">
        <f t="shared" si="0"/>
        <v>1336.5</v>
      </c>
      <c r="K13" s="51">
        <f t="shared" si="1"/>
        <v>1824.46</v>
      </c>
      <c r="L13" s="66">
        <f>3416*E13</f>
        <v>854</v>
      </c>
      <c r="M13" s="156">
        <f t="shared" si="2"/>
        <v>10252</v>
      </c>
      <c r="N13" s="2"/>
    </row>
    <row r="14" spans="1:42" x14ac:dyDescent="0.25">
      <c r="A14" s="313"/>
      <c r="B14" s="70" t="s">
        <v>5</v>
      </c>
      <c r="C14" s="71">
        <f>C13+C11+C12</f>
        <v>3</v>
      </c>
      <c r="D14" s="71">
        <f t="shared" ref="D14:G14" si="3">D13+D11+D12</f>
        <v>2</v>
      </c>
      <c r="E14" s="71">
        <f t="shared" si="3"/>
        <v>0.5</v>
      </c>
      <c r="F14" s="71">
        <f t="shared" si="3"/>
        <v>1</v>
      </c>
      <c r="G14" s="71">
        <f t="shared" si="3"/>
        <v>0.25</v>
      </c>
      <c r="H14" s="118">
        <f>H13+H11+H12</f>
        <v>11583</v>
      </c>
      <c r="I14" s="118">
        <f>I13+I11+I12</f>
        <v>3564</v>
      </c>
      <c r="J14" s="72">
        <f t="shared" ref="J14:M14" si="4">J13+J11+J12</f>
        <v>3474.9</v>
      </c>
      <c r="K14" s="72">
        <f t="shared" si="4"/>
        <v>4486.0200000000004</v>
      </c>
      <c r="L14" s="72">
        <f t="shared" si="4"/>
        <v>2620</v>
      </c>
      <c r="M14" s="203">
        <f t="shared" si="4"/>
        <v>25728</v>
      </c>
      <c r="N14" s="2"/>
    </row>
    <row r="15" spans="1:42" s="19" customFormat="1" x14ac:dyDescent="0.25">
      <c r="A15" s="296"/>
      <c r="B15" s="124" t="s">
        <v>345</v>
      </c>
      <c r="C15" s="26"/>
      <c r="D15" s="26"/>
      <c r="E15" s="26"/>
      <c r="F15" s="26"/>
      <c r="G15" s="26"/>
      <c r="H15" s="27"/>
      <c r="I15" s="27"/>
      <c r="J15" s="27"/>
      <c r="K15" s="27"/>
      <c r="L15" s="27"/>
      <c r="M15" s="289"/>
      <c r="N15" s="76"/>
      <c r="O15" s="76"/>
    </row>
    <row r="16" spans="1:42" s="19" customFormat="1" x14ac:dyDescent="0.25">
      <c r="A16" s="296"/>
      <c r="B16" s="296" t="s">
        <v>229</v>
      </c>
      <c r="C16" s="296"/>
      <c r="D16" s="26"/>
      <c r="E16" s="26"/>
      <c r="F16" s="26"/>
      <c r="G16" s="26"/>
      <c r="H16" s="27"/>
      <c r="I16" s="27"/>
      <c r="J16" s="27"/>
      <c r="K16" s="27"/>
      <c r="L16" s="27"/>
      <c r="M16" s="289"/>
      <c r="N16" s="76"/>
      <c r="O16" s="76"/>
    </row>
    <row r="17" spans="1:17" s="19" customFormat="1" x14ac:dyDescent="0.25">
      <c r="A17" s="296"/>
      <c r="B17" s="296" t="s">
        <v>230</v>
      </c>
      <c r="C17" s="296"/>
      <c r="D17" s="26"/>
      <c r="E17" s="26"/>
      <c r="F17" s="26"/>
      <c r="G17" s="26"/>
      <c r="H17" s="27"/>
      <c r="I17" s="27"/>
      <c r="J17" s="27"/>
      <c r="K17" s="27"/>
      <c r="L17" s="27"/>
      <c r="M17" s="289"/>
      <c r="N17" s="76"/>
      <c r="O17" s="76"/>
    </row>
    <row r="18" spans="1:17" s="19" customFormat="1" ht="15.75" customHeight="1" x14ac:dyDescent="0.25">
      <c r="A18" s="296"/>
      <c r="B18" s="199" t="s">
        <v>300</v>
      </c>
      <c r="C18" s="26"/>
      <c r="D18" s="26"/>
      <c r="E18" s="26"/>
      <c r="F18" s="26"/>
      <c r="G18" s="26"/>
      <c r="H18" s="27"/>
      <c r="I18" s="27"/>
      <c r="J18" s="27"/>
      <c r="K18" s="27"/>
      <c r="L18" s="27"/>
      <c r="M18" s="289"/>
      <c r="N18" s="76"/>
      <c r="O18" s="76"/>
    </row>
    <row r="19" spans="1:17" s="19" customFormat="1" x14ac:dyDescent="0.25">
      <c r="A19" s="296"/>
      <c r="B19" s="320"/>
      <c r="C19" s="25"/>
      <c r="D19" s="26"/>
      <c r="E19" s="26"/>
      <c r="F19" s="26"/>
      <c r="G19" s="26"/>
      <c r="H19" s="26"/>
      <c r="I19" s="26"/>
      <c r="J19" s="27"/>
      <c r="K19" s="27"/>
      <c r="L19" s="27"/>
      <c r="M19" s="27"/>
      <c r="N19" s="27"/>
      <c r="O19" s="20"/>
      <c r="P19" s="20"/>
      <c r="Q19" s="20"/>
    </row>
    <row r="20" spans="1:17" x14ac:dyDescent="0.25">
      <c r="A20" s="313"/>
      <c r="B20" s="321" t="s">
        <v>130</v>
      </c>
      <c r="C20" s="7"/>
      <c r="D20" s="7"/>
      <c r="E20" s="313"/>
      <c r="F20" s="313"/>
      <c r="G20" s="313"/>
      <c r="H20" s="313"/>
      <c r="I20" s="313"/>
      <c r="J20" s="313"/>
      <c r="K20" s="313"/>
      <c r="L20" s="313"/>
      <c r="M20" s="313"/>
      <c r="Q20" s="2"/>
    </row>
    <row r="21" spans="1:17" ht="45" x14ac:dyDescent="0.25">
      <c r="A21" s="313"/>
      <c r="B21" s="322" t="s">
        <v>22</v>
      </c>
      <c r="C21" s="322" t="s">
        <v>242</v>
      </c>
      <c r="D21" s="73" t="s">
        <v>241</v>
      </c>
      <c r="E21" s="313"/>
      <c r="F21" s="313"/>
      <c r="G21" s="313"/>
      <c r="H21" s="313"/>
      <c r="I21" s="313"/>
      <c r="J21" s="313"/>
      <c r="K21" s="313"/>
      <c r="L21" s="313"/>
      <c r="M21" s="313"/>
      <c r="Q21" s="2"/>
    </row>
    <row r="22" spans="1:17" x14ac:dyDescent="0.25">
      <c r="A22" s="313"/>
      <c r="B22" s="74">
        <v>1</v>
      </c>
      <c r="C22" s="157">
        <f>M14</f>
        <v>25728</v>
      </c>
      <c r="D22" s="113">
        <f>B22*C22</f>
        <v>25728</v>
      </c>
      <c r="E22" s="313"/>
      <c r="F22" s="313"/>
      <c r="G22" s="313"/>
      <c r="H22" s="313"/>
      <c r="I22" s="313"/>
      <c r="J22" s="313"/>
      <c r="K22" s="313"/>
      <c r="L22" s="323"/>
      <c r="M22" s="313"/>
      <c r="Q22" s="2"/>
    </row>
    <row r="23" spans="1:17" x14ac:dyDescent="0.25">
      <c r="A23" s="313"/>
      <c r="B23" s="313"/>
      <c r="C23" s="313"/>
      <c r="D23" s="313"/>
      <c r="E23" s="313"/>
      <c r="F23" s="313"/>
      <c r="G23" s="313"/>
      <c r="H23" s="313"/>
      <c r="I23" s="313"/>
      <c r="J23" s="313"/>
      <c r="K23" s="313"/>
      <c r="L23" s="313"/>
      <c r="M23" s="313"/>
    </row>
    <row r="24" spans="1:17" x14ac:dyDescent="0.25">
      <c r="A24" s="313"/>
      <c r="B24" s="313"/>
      <c r="C24" s="313"/>
      <c r="D24" s="313"/>
      <c r="E24" s="313"/>
      <c r="F24" s="313"/>
      <c r="G24" s="313"/>
      <c r="H24" s="313"/>
      <c r="I24" s="313"/>
      <c r="J24" s="313"/>
      <c r="K24" s="313"/>
      <c r="L24" s="313"/>
      <c r="M24" s="313"/>
    </row>
    <row r="25" spans="1:17" s="63" customFormat="1" x14ac:dyDescent="0.25">
      <c r="A25" s="324"/>
      <c r="B25" s="324"/>
      <c r="C25" s="324"/>
      <c r="D25" s="324"/>
      <c r="E25" s="324"/>
      <c r="F25" s="324"/>
      <c r="G25" s="324"/>
      <c r="H25" s="324"/>
      <c r="I25" s="324"/>
      <c r="J25" s="324"/>
      <c r="K25" s="324"/>
      <c r="L25" s="324"/>
      <c r="M25" s="324"/>
    </row>
    <row r="26" spans="1:17" s="63" customFormat="1" x14ac:dyDescent="0.25">
      <c r="A26" s="324"/>
      <c r="B26" s="324"/>
      <c r="C26" s="324"/>
      <c r="D26" s="324"/>
      <c r="E26" s="324"/>
      <c r="F26" s="324"/>
      <c r="G26" s="324"/>
      <c r="H26" s="324"/>
      <c r="I26" s="324"/>
      <c r="J26" s="324"/>
      <c r="K26" s="324"/>
      <c r="L26" s="324"/>
      <c r="M26" s="324"/>
    </row>
    <row r="27" spans="1:17" s="63" customFormat="1" x14ac:dyDescent="0.25">
      <c r="A27" s="324"/>
      <c r="B27" s="324"/>
      <c r="C27" s="324"/>
      <c r="D27" s="324"/>
      <c r="E27" s="324"/>
      <c r="F27" s="324"/>
      <c r="G27" s="324"/>
      <c r="H27" s="324"/>
      <c r="I27" s="324"/>
      <c r="J27" s="324"/>
      <c r="K27" s="324"/>
      <c r="L27" s="324"/>
      <c r="M27" s="324"/>
    </row>
    <row r="28" spans="1:17" s="63" customFormat="1" x14ac:dyDescent="0.25">
      <c r="A28" s="324"/>
      <c r="B28" s="324"/>
      <c r="C28" s="324"/>
      <c r="D28" s="324"/>
      <c r="E28" s="324"/>
      <c r="F28" s="324"/>
      <c r="G28" s="324"/>
      <c r="H28" s="324"/>
      <c r="I28" s="324"/>
      <c r="J28" s="324"/>
      <c r="K28" s="324"/>
      <c r="L28" s="324"/>
      <c r="M28" s="324"/>
    </row>
    <row r="29" spans="1:17" s="63" customFormat="1" x14ac:dyDescent="0.25">
      <c r="A29" s="324"/>
      <c r="B29" s="324"/>
      <c r="C29" s="324"/>
      <c r="D29" s="324"/>
      <c r="E29" s="324"/>
      <c r="F29" s="324"/>
      <c r="G29" s="324"/>
      <c r="H29" s="324"/>
      <c r="I29" s="324"/>
      <c r="J29" s="324"/>
      <c r="K29" s="324"/>
      <c r="L29" s="324"/>
      <c r="M29" s="324"/>
    </row>
    <row r="30" spans="1:17" s="63" customFormat="1" x14ac:dyDescent="0.25">
      <c r="A30" s="324"/>
      <c r="B30" s="324"/>
      <c r="C30" s="324"/>
      <c r="D30" s="324"/>
      <c r="E30" s="324"/>
      <c r="F30" s="324"/>
      <c r="G30" s="324"/>
      <c r="H30" s="324"/>
      <c r="I30" s="324"/>
      <c r="J30" s="324"/>
      <c r="K30" s="324"/>
      <c r="L30" s="324"/>
      <c r="M30" s="324"/>
    </row>
    <row r="31" spans="1:17" s="63" customFormat="1" x14ac:dyDescent="0.25">
      <c r="A31" s="324"/>
      <c r="B31" s="324"/>
      <c r="C31" s="324"/>
      <c r="D31" s="324"/>
      <c r="E31" s="324"/>
      <c r="F31" s="324"/>
      <c r="G31" s="324"/>
      <c r="H31" s="324"/>
      <c r="I31" s="324"/>
      <c r="J31" s="324"/>
      <c r="K31" s="324"/>
      <c r="L31" s="324"/>
      <c r="M31" s="324"/>
    </row>
    <row r="32" spans="1:17" s="63" customFormat="1" x14ac:dyDescent="0.25">
      <c r="A32" s="324"/>
      <c r="B32" s="324"/>
      <c r="C32" s="324"/>
      <c r="D32" s="324"/>
      <c r="E32" s="324"/>
      <c r="F32" s="324"/>
      <c r="G32" s="324"/>
      <c r="H32" s="324"/>
      <c r="I32" s="324"/>
      <c r="J32" s="324"/>
      <c r="K32" s="324"/>
      <c r="L32" s="324"/>
      <c r="M32" s="324"/>
    </row>
    <row r="33" s="63" customFormat="1" x14ac:dyDescent="0.25"/>
    <row r="34" s="63" customFormat="1" x14ac:dyDescent="0.25"/>
    <row r="35" s="63" customFormat="1" x14ac:dyDescent="0.25"/>
    <row r="36" s="63" customFormat="1" x14ac:dyDescent="0.25"/>
    <row r="41" hidden="1" x14ac:dyDescent="0.25"/>
  </sheetData>
  <mergeCells count="13">
    <mergeCell ref="A3:M3"/>
    <mergeCell ref="B9:B10"/>
    <mergeCell ref="C9:C10"/>
    <mergeCell ref="D9:E9"/>
    <mergeCell ref="F9:G9"/>
    <mergeCell ref="H9:H10"/>
    <mergeCell ref="J9:J10"/>
    <mergeCell ref="K9:K10"/>
    <mergeCell ref="L9:L10"/>
    <mergeCell ref="M9:M10"/>
    <mergeCell ref="B5:C5"/>
    <mergeCell ref="B6:C6"/>
    <mergeCell ref="I9:I10"/>
  </mergeCells>
  <pageMargins left="0.19685039370078741" right="0.15748031496062992" top="0.27559055118110237" bottom="0.19" header="0.15748031496062992" footer="0.17"/>
  <pageSetup paperSize="9" scale="68" fitToHeight="0" orientation="landscape" r:id="rId1"/>
  <headerFooter>
    <oddFooter>&amp;L&amp;10(TA-1235)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57"/>
  <sheetViews>
    <sheetView showGridLines="0" view="pageLayout" topLeftCell="D34" zoomScaleNormal="90" workbookViewId="0">
      <selection activeCell="C34" sqref="C34"/>
    </sheetView>
  </sheetViews>
  <sheetFormatPr defaultRowHeight="15" x14ac:dyDescent="0.25"/>
  <cols>
    <col min="1" max="1" width="3.5703125" style="19" customWidth="1"/>
    <col min="2" max="2" width="5.28515625" style="19" customWidth="1"/>
    <col min="3" max="3" width="28.7109375" style="19" customWidth="1"/>
    <col min="4" max="4" width="20.7109375" style="19" customWidth="1"/>
    <col min="5" max="5" width="31.85546875" style="19" customWidth="1"/>
    <col min="6" max="6" width="17.28515625" style="19" customWidth="1"/>
    <col min="7" max="7" width="16.28515625" style="19" customWidth="1"/>
    <col min="8" max="8" width="16.42578125" style="19" customWidth="1"/>
    <col min="9" max="9" width="18.42578125" style="19" customWidth="1"/>
    <col min="10" max="10" width="20.7109375" style="19" customWidth="1"/>
    <col min="11" max="11" width="15.42578125" style="19" bestFit="1" customWidth="1"/>
    <col min="12" max="12" width="14.140625" style="19" bestFit="1" customWidth="1"/>
    <col min="13" max="13" width="16.5703125" style="19" customWidth="1"/>
    <col min="14" max="14" width="13.42578125" style="19" bestFit="1" customWidth="1"/>
    <col min="15" max="15" width="13.5703125" style="19" customWidth="1"/>
    <col min="16" max="16" width="14.140625" style="20" customWidth="1"/>
    <col min="17" max="17" width="9.140625" style="20"/>
    <col min="18" max="18" width="11" style="19" customWidth="1"/>
    <col min="19" max="19" width="11.85546875" style="19" customWidth="1"/>
    <col min="20" max="20" width="12" style="19" customWidth="1"/>
    <col min="21" max="21" width="11.7109375" style="19" customWidth="1"/>
    <col min="22" max="260" width="9.140625" style="19"/>
    <col min="261" max="262" width="41" style="19" customWidth="1"/>
    <col min="263" max="263" width="23.42578125" style="19" customWidth="1"/>
    <col min="264" max="264" width="25" style="19" customWidth="1"/>
    <col min="265" max="265" width="43.140625" style="19" customWidth="1"/>
    <col min="266" max="266" width="14.5703125" style="19" customWidth="1"/>
    <col min="267" max="273" width="9.140625" style="19"/>
    <col min="274" max="274" width="5.5703125" style="19" customWidth="1"/>
    <col min="275" max="275" width="13.140625" style="19" customWidth="1"/>
    <col min="276" max="276" width="51.42578125" style="19" customWidth="1"/>
    <col min="277" max="277" width="11.7109375" style="19" customWidth="1"/>
    <col min="278" max="516" width="9.140625" style="19"/>
    <col min="517" max="518" width="41" style="19" customWidth="1"/>
    <col min="519" max="519" width="23.42578125" style="19" customWidth="1"/>
    <col min="520" max="520" width="25" style="19" customWidth="1"/>
    <col min="521" max="521" width="43.140625" style="19" customWidth="1"/>
    <col min="522" max="522" width="14.5703125" style="19" customWidth="1"/>
    <col min="523" max="529" width="9.140625" style="19"/>
    <col min="530" max="530" width="5.5703125" style="19" customWidth="1"/>
    <col min="531" max="531" width="13.140625" style="19" customWidth="1"/>
    <col min="532" max="532" width="51.42578125" style="19" customWidth="1"/>
    <col min="533" max="533" width="11.7109375" style="19" customWidth="1"/>
    <col min="534" max="772" width="9.140625" style="19"/>
    <col min="773" max="774" width="41" style="19" customWidth="1"/>
    <col min="775" max="775" width="23.42578125" style="19" customWidth="1"/>
    <col min="776" max="776" width="25" style="19" customWidth="1"/>
    <col min="777" max="777" width="43.140625" style="19" customWidth="1"/>
    <col min="778" max="778" width="14.5703125" style="19" customWidth="1"/>
    <col min="779" max="785" width="9.140625" style="19"/>
    <col min="786" max="786" width="5.5703125" style="19" customWidth="1"/>
    <col min="787" max="787" width="13.140625" style="19" customWidth="1"/>
    <col min="788" max="788" width="51.42578125" style="19" customWidth="1"/>
    <col min="789" max="789" width="11.7109375" style="19" customWidth="1"/>
    <col min="790" max="1028" width="9.140625" style="19"/>
    <col min="1029" max="1030" width="41" style="19" customWidth="1"/>
    <col min="1031" max="1031" width="23.42578125" style="19" customWidth="1"/>
    <col min="1032" max="1032" width="25" style="19" customWidth="1"/>
    <col min="1033" max="1033" width="43.140625" style="19" customWidth="1"/>
    <col min="1034" max="1034" width="14.5703125" style="19" customWidth="1"/>
    <col min="1035" max="1041" width="9.140625" style="19"/>
    <col min="1042" max="1042" width="5.5703125" style="19" customWidth="1"/>
    <col min="1043" max="1043" width="13.140625" style="19" customWidth="1"/>
    <col min="1044" max="1044" width="51.42578125" style="19" customWidth="1"/>
    <col min="1045" max="1045" width="11.7109375" style="19" customWidth="1"/>
    <col min="1046" max="1284" width="9.140625" style="19"/>
    <col min="1285" max="1286" width="41" style="19" customWidth="1"/>
    <col min="1287" max="1287" width="23.42578125" style="19" customWidth="1"/>
    <col min="1288" max="1288" width="25" style="19" customWidth="1"/>
    <col min="1289" max="1289" width="43.140625" style="19" customWidth="1"/>
    <col min="1290" max="1290" width="14.5703125" style="19" customWidth="1"/>
    <col min="1291" max="1297" width="9.140625" style="19"/>
    <col min="1298" max="1298" width="5.5703125" style="19" customWidth="1"/>
    <col min="1299" max="1299" width="13.140625" style="19" customWidth="1"/>
    <col min="1300" max="1300" width="51.42578125" style="19" customWidth="1"/>
    <col min="1301" max="1301" width="11.7109375" style="19" customWidth="1"/>
    <col min="1302" max="1540" width="9.140625" style="19"/>
    <col min="1541" max="1542" width="41" style="19" customWidth="1"/>
    <col min="1543" max="1543" width="23.42578125" style="19" customWidth="1"/>
    <col min="1544" max="1544" width="25" style="19" customWidth="1"/>
    <col min="1545" max="1545" width="43.140625" style="19" customWidth="1"/>
    <col min="1546" max="1546" width="14.5703125" style="19" customWidth="1"/>
    <col min="1547" max="1553" width="9.140625" style="19"/>
    <col min="1554" max="1554" width="5.5703125" style="19" customWidth="1"/>
    <col min="1555" max="1555" width="13.140625" style="19" customWidth="1"/>
    <col min="1556" max="1556" width="51.42578125" style="19" customWidth="1"/>
    <col min="1557" max="1557" width="11.7109375" style="19" customWidth="1"/>
    <col min="1558" max="1796" width="9.140625" style="19"/>
    <col min="1797" max="1798" width="41" style="19" customWidth="1"/>
    <col min="1799" max="1799" width="23.42578125" style="19" customWidth="1"/>
    <col min="1800" max="1800" width="25" style="19" customWidth="1"/>
    <col min="1801" max="1801" width="43.140625" style="19" customWidth="1"/>
    <col min="1802" max="1802" width="14.5703125" style="19" customWidth="1"/>
    <col min="1803" max="1809" width="9.140625" style="19"/>
    <col min="1810" max="1810" width="5.5703125" style="19" customWidth="1"/>
    <col min="1811" max="1811" width="13.140625" style="19" customWidth="1"/>
    <col min="1812" max="1812" width="51.42578125" style="19" customWidth="1"/>
    <col min="1813" max="1813" width="11.7109375" style="19" customWidth="1"/>
    <col min="1814" max="2052" width="9.140625" style="19"/>
    <col min="2053" max="2054" width="41" style="19" customWidth="1"/>
    <col min="2055" max="2055" width="23.42578125" style="19" customWidth="1"/>
    <col min="2056" max="2056" width="25" style="19" customWidth="1"/>
    <col min="2057" max="2057" width="43.140625" style="19" customWidth="1"/>
    <col min="2058" max="2058" width="14.5703125" style="19" customWidth="1"/>
    <col min="2059" max="2065" width="9.140625" style="19"/>
    <col min="2066" max="2066" width="5.5703125" style="19" customWidth="1"/>
    <col min="2067" max="2067" width="13.140625" style="19" customWidth="1"/>
    <col min="2068" max="2068" width="51.42578125" style="19" customWidth="1"/>
    <col min="2069" max="2069" width="11.7109375" style="19" customWidth="1"/>
    <col min="2070" max="2308" width="9.140625" style="19"/>
    <col min="2309" max="2310" width="41" style="19" customWidth="1"/>
    <col min="2311" max="2311" width="23.42578125" style="19" customWidth="1"/>
    <col min="2312" max="2312" width="25" style="19" customWidth="1"/>
    <col min="2313" max="2313" width="43.140625" style="19" customWidth="1"/>
    <col min="2314" max="2314" width="14.5703125" style="19" customWidth="1"/>
    <col min="2315" max="2321" width="9.140625" style="19"/>
    <col min="2322" max="2322" width="5.5703125" style="19" customWidth="1"/>
    <col min="2323" max="2323" width="13.140625" style="19" customWidth="1"/>
    <col min="2324" max="2324" width="51.42578125" style="19" customWidth="1"/>
    <col min="2325" max="2325" width="11.7109375" style="19" customWidth="1"/>
    <col min="2326" max="2564" width="9.140625" style="19"/>
    <col min="2565" max="2566" width="41" style="19" customWidth="1"/>
    <col min="2567" max="2567" width="23.42578125" style="19" customWidth="1"/>
    <col min="2568" max="2568" width="25" style="19" customWidth="1"/>
    <col min="2569" max="2569" width="43.140625" style="19" customWidth="1"/>
    <col min="2570" max="2570" width="14.5703125" style="19" customWidth="1"/>
    <col min="2571" max="2577" width="9.140625" style="19"/>
    <col min="2578" max="2578" width="5.5703125" style="19" customWidth="1"/>
    <col min="2579" max="2579" width="13.140625" style="19" customWidth="1"/>
    <col min="2580" max="2580" width="51.42578125" style="19" customWidth="1"/>
    <col min="2581" max="2581" width="11.7109375" style="19" customWidth="1"/>
    <col min="2582" max="2820" width="9.140625" style="19"/>
    <col min="2821" max="2822" width="41" style="19" customWidth="1"/>
    <col min="2823" max="2823" width="23.42578125" style="19" customWidth="1"/>
    <col min="2824" max="2824" width="25" style="19" customWidth="1"/>
    <col min="2825" max="2825" width="43.140625" style="19" customWidth="1"/>
    <col min="2826" max="2826" width="14.5703125" style="19" customWidth="1"/>
    <col min="2827" max="2833" width="9.140625" style="19"/>
    <col min="2834" max="2834" width="5.5703125" style="19" customWidth="1"/>
    <col min="2835" max="2835" width="13.140625" style="19" customWidth="1"/>
    <col min="2836" max="2836" width="51.42578125" style="19" customWidth="1"/>
    <col min="2837" max="2837" width="11.7109375" style="19" customWidth="1"/>
    <col min="2838" max="3076" width="9.140625" style="19"/>
    <col min="3077" max="3078" width="41" style="19" customWidth="1"/>
    <col min="3079" max="3079" width="23.42578125" style="19" customWidth="1"/>
    <col min="3080" max="3080" width="25" style="19" customWidth="1"/>
    <col min="3081" max="3081" width="43.140625" style="19" customWidth="1"/>
    <col min="3082" max="3082" width="14.5703125" style="19" customWidth="1"/>
    <col min="3083" max="3089" width="9.140625" style="19"/>
    <col min="3090" max="3090" width="5.5703125" style="19" customWidth="1"/>
    <col min="3091" max="3091" width="13.140625" style="19" customWidth="1"/>
    <col min="3092" max="3092" width="51.42578125" style="19" customWidth="1"/>
    <col min="3093" max="3093" width="11.7109375" style="19" customWidth="1"/>
    <col min="3094" max="3332" width="9.140625" style="19"/>
    <col min="3333" max="3334" width="41" style="19" customWidth="1"/>
    <col min="3335" max="3335" width="23.42578125" style="19" customWidth="1"/>
    <col min="3336" max="3336" width="25" style="19" customWidth="1"/>
    <col min="3337" max="3337" width="43.140625" style="19" customWidth="1"/>
    <col min="3338" max="3338" width="14.5703125" style="19" customWidth="1"/>
    <col min="3339" max="3345" width="9.140625" style="19"/>
    <col min="3346" max="3346" width="5.5703125" style="19" customWidth="1"/>
    <col min="3347" max="3347" width="13.140625" style="19" customWidth="1"/>
    <col min="3348" max="3348" width="51.42578125" style="19" customWidth="1"/>
    <col min="3349" max="3349" width="11.7109375" style="19" customWidth="1"/>
    <col min="3350" max="3588" width="9.140625" style="19"/>
    <col min="3589" max="3590" width="41" style="19" customWidth="1"/>
    <col min="3591" max="3591" width="23.42578125" style="19" customWidth="1"/>
    <col min="3592" max="3592" width="25" style="19" customWidth="1"/>
    <col min="3593" max="3593" width="43.140625" style="19" customWidth="1"/>
    <col min="3594" max="3594" width="14.5703125" style="19" customWidth="1"/>
    <col min="3595" max="3601" width="9.140625" style="19"/>
    <col min="3602" max="3602" width="5.5703125" style="19" customWidth="1"/>
    <col min="3603" max="3603" width="13.140625" style="19" customWidth="1"/>
    <col min="3604" max="3604" width="51.42578125" style="19" customWidth="1"/>
    <col min="3605" max="3605" width="11.7109375" style="19" customWidth="1"/>
    <col min="3606" max="3844" width="9.140625" style="19"/>
    <col min="3845" max="3846" width="41" style="19" customWidth="1"/>
    <col min="3847" max="3847" width="23.42578125" style="19" customWidth="1"/>
    <col min="3848" max="3848" width="25" style="19" customWidth="1"/>
    <col min="3849" max="3849" width="43.140625" style="19" customWidth="1"/>
    <col min="3850" max="3850" width="14.5703125" style="19" customWidth="1"/>
    <col min="3851" max="3857" width="9.140625" style="19"/>
    <col min="3858" max="3858" width="5.5703125" style="19" customWidth="1"/>
    <col min="3859" max="3859" width="13.140625" style="19" customWidth="1"/>
    <col min="3860" max="3860" width="51.42578125" style="19" customWidth="1"/>
    <col min="3861" max="3861" width="11.7109375" style="19" customWidth="1"/>
    <col min="3862" max="4100" width="9.140625" style="19"/>
    <col min="4101" max="4102" width="41" style="19" customWidth="1"/>
    <col min="4103" max="4103" width="23.42578125" style="19" customWidth="1"/>
    <col min="4104" max="4104" width="25" style="19" customWidth="1"/>
    <col min="4105" max="4105" width="43.140625" style="19" customWidth="1"/>
    <col min="4106" max="4106" width="14.5703125" style="19" customWidth="1"/>
    <col min="4107" max="4113" width="9.140625" style="19"/>
    <col min="4114" max="4114" width="5.5703125" style="19" customWidth="1"/>
    <col min="4115" max="4115" width="13.140625" style="19" customWidth="1"/>
    <col min="4116" max="4116" width="51.42578125" style="19" customWidth="1"/>
    <col min="4117" max="4117" width="11.7109375" style="19" customWidth="1"/>
    <col min="4118" max="4356" width="9.140625" style="19"/>
    <col min="4357" max="4358" width="41" style="19" customWidth="1"/>
    <col min="4359" max="4359" width="23.42578125" style="19" customWidth="1"/>
    <col min="4360" max="4360" width="25" style="19" customWidth="1"/>
    <col min="4361" max="4361" width="43.140625" style="19" customWidth="1"/>
    <col min="4362" max="4362" width="14.5703125" style="19" customWidth="1"/>
    <col min="4363" max="4369" width="9.140625" style="19"/>
    <col min="4370" max="4370" width="5.5703125" style="19" customWidth="1"/>
    <col min="4371" max="4371" width="13.140625" style="19" customWidth="1"/>
    <col min="4372" max="4372" width="51.42578125" style="19" customWidth="1"/>
    <col min="4373" max="4373" width="11.7109375" style="19" customWidth="1"/>
    <col min="4374" max="4612" width="9.140625" style="19"/>
    <col min="4613" max="4614" width="41" style="19" customWidth="1"/>
    <col min="4615" max="4615" width="23.42578125" style="19" customWidth="1"/>
    <col min="4616" max="4616" width="25" style="19" customWidth="1"/>
    <col min="4617" max="4617" width="43.140625" style="19" customWidth="1"/>
    <col min="4618" max="4618" width="14.5703125" style="19" customWidth="1"/>
    <col min="4619" max="4625" width="9.140625" style="19"/>
    <col min="4626" max="4626" width="5.5703125" style="19" customWidth="1"/>
    <col min="4627" max="4627" width="13.140625" style="19" customWidth="1"/>
    <col min="4628" max="4628" width="51.42578125" style="19" customWidth="1"/>
    <col min="4629" max="4629" width="11.7109375" style="19" customWidth="1"/>
    <col min="4630" max="4868" width="9.140625" style="19"/>
    <col min="4869" max="4870" width="41" style="19" customWidth="1"/>
    <col min="4871" max="4871" width="23.42578125" style="19" customWidth="1"/>
    <col min="4872" max="4872" width="25" style="19" customWidth="1"/>
    <col min="4873" max="4873" width="43.140625" style="19" customWidth="1"/>
    <col min="4874" max="4874" width="14.5703125" style="19" customWidth="1"/>
    <col min="4875" max="4881" width="9.140625" style="19"/>
    <col min="4882" max="4882" width="5.5703125" style="19" customWidth="1"/>
    <col min="4883" max="4883" width="13.140625" style="19" customWidth="1"/>
    <col min="4884" max="4884" width="51.42578125" style="19" customWidth="1"/>
    <col min="4885" max="4885" width="11.7109375" style="19" customWidth="1"/>
    <col min="4886" max="5124" width="9.140625" style="19"/>
    <col min="5125" max="5126" width="41" style="19" customWidth="1"/>
    <col min="5127" max="5127" width="23.42578125" style="19" customWidth="1"/>
    <col min="5128" max="5128" width="25" style="19" customWidth="1"/>
    <col min="5129" max="5129" width="43.140625" style="19" customWidth="1"/>
    <col min="5130" max="5130" width="14.5703125" style="19" customWidth="1"/>
    <col min="5131" max="5137" width="9.140625" style="19"/>
    <col min="5138" max="5138" width="5.5703125" style="19" customWidth="1"/>
    <col min="5139" max="5139" width="13.140625" style="19" customWidth="1"/>
    <col min="5140" max="5140" width="51.42578125" style="19" customWidth="1"/>
    <col min="5141" max="5141" width="11.7109375" style="19" customWidth="1"/>
    <col min="5142" max="5380" width="9.140625" style="19"/>
    <col min="5381" max="5382" width="41" style="19" customWidth="1"/>
    <col min="5383" max="5383" width="23.42578125" style="19" customWidth="1"/>
    <col min="5384" max="5384" width="25" style="19" customWidth="1"/>
    <col min="5385" max="5385" width="43.140625" style="19" customWidth="1"/>
    <col min="5386" max="5386" width="14.5703125" style="19" customWidth="1"/>
    <col min="5387" max="5393" width="9.140625" style="19"/>
    <col min="5394" max="5394" width="5.5703125" style="19" customWidth="1"/>
    <col min="5395" max="5395" width="13.140625" style="19" customWidth="1"/>
    <col min="5396" max="5396" width="51.42578125" style="19" customWidth="1"/>
    <col min="5397" max="5397" width="11.7109375" style="19" customWidth="1"/>
    <col min="5398" max="5636" width="9.140625" style="19"/>
    <col min="5637" max="5638" width="41" style="19" customWidth="1"/>
    <col min="5639" max="5639" width="23.42578125" style="19" customWidth="1"/>
    <col min="5640" max="5640" width="25" style="19" customWidth="1"/>
    <col min="5641" max="5641" width="43.140625" style="19" customWidth="1"/>
    <col min="5642" max="5642" width="14.5703125" style="19" customWidth="1"/>
    <col min="5643" max="5649" width="9.140625" style="19"/>
    <col min="5650" max="5650" width="5.5703125" style="19" customWidth="1"/>
    <col min="5651" max="5651" width="13.140625" style="19" customWidth="1"/>
    <col min="5652" max="5652" width="51.42578125" style="19" customWidth="1"/>
    <col min="5653" max="5653" width="11.7109375" style="19" customWidth="1"/>
    <col min="5654" max="5892" width="9.140625" style="19"/>
    <col min="5893" max="5894" width="41" style="19" customWidth="1"/>
    <col min="5895" max="5895" width="23.42578125" style="19" customWidth="1"/>
    <col min="5896" max="5896" width="25" style="19" customWidth="1"/>
    <col min="5897" max="5897" width="43.140625" style="19" customWidth="1"/>
    <col min="5898" max="5898" width="14.5703125" style="19" customWidth="1"/>
    <col min="5899" max="5905" width="9.140625" style="19"/>
    <col min="5906" max="5906" width="5.5703125" style="19" customWidth="1"/>
    <col min="5907" max="5907" width="13.140625" style="19" customWidth="1"/>
    <col min="5908" max="5908" width="51.42578125" style="19" customWidth="1"/>
    <col min="5909" max="5909" width="11.7109375" style="19" customWidth="1"/>
    <col min="5910" max="6148" width="9.140625" style="19"/>
    <col min="6149" max="6150" width="41" style="19" customWidth="1"/>
    <col min="6151" max="6151" width="23.42578125" style="19" customWidth="1"/>
    <col min="6152" max="6152" width="25" style="19" customWidth="1"/>
    <col min="6153" max="6153" width="43.140625" style="19" customWidth="1"/>
    <col min="6154" max="6154" width="14.5703125" style="19" customWidth="1"/>
    <col min="6155" max="6161" width="9.140625" style="19"/>
    <col min="6162" max="6162" width="5.5703125" style="19" customWidth="1"/>
    <col min="6163" max="6163" width="13.140625" style="19" customWidth="1"/>
    <col min="6164" max="6164" width="51.42578125" style="19" customWidth="1"/>
    <col min="6165" max="6165" width="11.7109375" style="19" customWidth="1"/>
    <col min="6166" max="6404" width="9.140625" style="19"/>
    <col min="6405" max="6406" width="41" style="19" customWidth="1"/>
    <col min="6407" max="6407" width="23.42578125" style="19" customWidth="1"/>
    <col min="6408" max="6408" width="25" style="19" customWidth="1"/>
    <col min="6409" max="6409" width="43.140625" style="19" customWidth="1"/>
    <col min="6410" max="6410" width="14.5703125" style="19" customWidth="1"/>
    <col min="6411" max="6417" width="9.140625" style="19"/>
    <col min="6418" max="6418" width="5.5703125" style="19" customWidth="1"/>
    <col min="6419" max="6419" width="13.140625" style="19" customWidth="1"/>
    <col min="6420" max="6420" width="51.42578125" style="19" customWidth="1"/>
    <col min="6421" max="6421" width="11.7109375" style="19" customWidth="1"/>
    <col min="6422" max="6660" width="9.140625" style="19"/>
    <col min="6661" max="6662" width="41" style="19" customWidth="1"/>
    <col min="6663" max="6663" width="23.42578125" style="19" customWidth="1"/>
    <col min="6664" max="6664" width="25" style="19" customWidth="1"/>
    <col min="6665" max="6665" width="43.140625" style="19" customWidth="1"/>
    <col min="6666" max="6666" width="14.5703125" style="19" customWidth="1"/>
    <col min="6667" max="6673" width="9.140625" style="19"/>
    <col min="6674" max="6674" width="5.5703125" style="19" customWidth="1"/>
    <col min="6675" max="6675" width="13.140625" style="19" customWidth="1"/>
    <col min="6676" max="6676" width="51.42578125" style="19" customWidth="1"/>
    <col min="6677" max="6677" width="11.7109375" style="19" customWidth="1"/>
    <col min="6678" max="6916" width="9.140625" style="19"/>
    <col min="6917" max="6918" width="41" style="19" customWidth="1"/>
    <col min="6919" max="6919" width="23.42578125" style="19" customWidth="1"/>
    <col min="6920" max="6920" width="25" style="19" customWidth="1"/>
    <col min="6921" max="6921" width="43.140625" style="19" customWidth="1"/>
    <col min="6922" max="6922" width="14.5703125" style="19" customWidth="1"/>
    <col min="6923" max="6929" width="9.140625" style="19"/>
    <col min="6930" max="6930" width="5.5703125" style="19" customWidth="1"/>
    <col min="6931" max="6931" width="13.140625" style="19" customWidth="1"/>
    <col min="6932" max="6932" width="51.42578125" style="19" customWidth="1"/>
    <col min="6933" max="6933" width="11.7109375" style="19" customWidth="1"/>
    <col min="6934" max="7172" width="9.140625" style="19"/>
    <col min="7173" max="7174" width="41" style="19" customWidth="1"/>
    <col min="7175" max="7175" width="23.42578125" style="19" customWidth="1"/>
    <col min="7176" max="7176" width="25" style="19" customWidth="1"/>
    <col min="7177" max="7177" width="43.140625" style="19" customWidth="1"/>
    <col min="7178" max="7178" width="14.5703125" style="19" customWidth="1"/>
    <col min="7179" max="7185" width="9.140625" style="19"/>
    <col min="7186" max="7186" width="5.5703125" style="19" customWidth="1"/>
    <col min="7187" max="7187" width="13.140625" style="19" customWidth="1"/>
    <col min="7188" max="7188" width="51.42578125" style="19" customWidth="1"/>
    <col min="7189" max="7189" width="11.7109375" style="19" customWidth="1"/>
    <col min="7190" max="7428" width="9.140625" style="19"/>
    <col min="7429" max="7430" width="41" style="19" customWidth="1"/>
    <col min="7431" max="7431" width="23.42578125" style="19" customWidth="1"/>
    <col min="7432" max="7432" width="25" style="19" customWidth="1"/>
    <col min="7433" max="7433" width="43.140625" style="19" customWidth="1"/>
    <col min="7434" max="7434" width="14.5703125" style="19" customWidth="1"/>
    <col min="7435" max="7441" width="9.140625" style="19"/>
    <col min="7442" max="7442" width="5.5703125" style="19" customWidth="1"/>
    <col min="7443" max="7443" width="13.140625" style="19" customWidth="1"/>
    <col min="7444" max="7444" width="51.42578125" style="19" customWidth="1"/>
    <col min="7445" max="7445" width="11.7109375" style="19" customWidth="1"/>
    <col min="7446" max="7684" width="9.140625" style="19"/>
    <col min="7685" max="7686" width="41" style="19" customWidth="1"/>
    <col min="7687" max="7687" width="23.42578125" style="19" customWidth="1"/>
    <col min="7688" max="7688" width="25" style="19" customWidth="1"/>
    <col min="7689" max="7689" width="43.140625" style="19" customWidth="1"/>
    <col min="7690" max="7690" width="14.5703125" style="19" customWidth="1"/>
    <col min="7691" max="7697" width="9.140625" style="19"/>
    <col min="7698" max="7698" width="5.5703125" style="19" customWidth="1"/>
    <col min="7699" max="7699" width="13.140625" style="19" customWidth="1"/>
    <col min="7700" max="7700" width="51.42578125" style="19" customWidth="1"/>
    <col min="7701" max="7701" width="11.7109375" style="19" customWidth="1"/>
    <col min="7702" max="7940" width="9.140625" style="19"/>
    <col min="7941" max="7942" width="41" style="19" customWidth="1"/>
    <col min="7943" max="7943" width="23.42578125" style="19" customWidth="1"/>
    <col min="7944" max="7944" width="25" style="19" customWidth="1"/>
    <col min="7945" max="7945" width="43.140625" style="19" customWidth="1"/>
    <col min="7946" max="7946" width="14.5703125" style="19" customWidth="1"/>
    <col min="7947" max="7953" width="9.140625" style="19"/>
    <col min="7954" max="7954" width="5.5703125" style="19" customWidth="1"/>
    <col min="7955" max="7955" width="13.140625" style="19" customWidth="1"/>
    <col min="7956" max="7956" width="51.42578125" style="19" customWidth="1"/>
    <col min="7957" max="7957" width="11.7109375" style="19" customWidth="1"/>
    <col min="7958" max="8196" width="9.140625" style="19"/>
    <col min="8197" max="8198" width="41" style="19" customWidth="1"/>
    <col min="8199" max="8199" width="23.42578125" style="19" customWidth="1"/>
    <col min="8200" max="8200" width="25" style="19" customWidth="1"/>
    <col min="8201" max="8201" width="43.140625" style="19" customWidth="1"/>
    <col min="8202" max="8202" width="14.5703125" style="19" customWidth="1"/>
    <col min="8203" max="8209" width="9.140625" style="19"/>
    <col min="8210" max="8210" width="5.5703125" style="19" customWidth="1"/>
    <col min="8211" max="8211" width="13.140625" style="19" customWidth="1"/>
    <col min="8212" max="8212" width="51.42578125" style="19" customWidth="1"/>
    <col min="8213" max="8213" width="11.7109375" style="19" customWidth="1"/>
    <col min="8214" max="8452" width="9.140625" style="19"/>
    <col min="8453" max="8454" width="41" style="19" customWidth="1"/>
    <col min="8455" max="8455" width="23.42578125" style="19" customWidth="1"/>
    <col min="8456" max="8456" width="25" style="19" customWidth="1"/>
    <col min="8457" max="8457" width="43.140625" style="19" customWidth="1"/>
    <col min="8458" max="8458" width="14.5703125" style="19" customWidth="1"/>
    <col min="8459" max="8465" width="9.140625" style="19"/>
    <col min="8466" max="8466" width="5.5703125" style="19" customWidth="1"/>
    <col min="8467" max="8467" width="13.140625" style="19" customWidth="1"/>
    <col min="8468" max="8468" width="51.42578125" style="19" customWidth="1"/>
    <col min="8469" max="8469" width="11.7109375" style="19" customWidth="1"/>
    <col min="8470" max="8708" width="9.140625" style="19"/>
    <col min="8709" max="8710" width="41" style="19" customWidth="1"/>
    <col min="8711" max="8711" width="23.42578125" style="19" customWidth="1"/>
    <col min="8712" max="8712" width="25" style="19" customWidth="1"/>
    <col min="8713" max="8713" width="43.140625" style="19" customWidth="1"/>
    <col min="8714" max="8714" width="14.5703125" style="19" customWidth="1"/>
    <col min="8715" max="8721" width="9.140625" style="19"/>
    <col min="8722" max="8722" width="5.5703125" style="19" customWidth="1"/>
    <col min="8723" max="8723" width="13.140625" style="19" customWidth="1"/>
    <col min="8724" max="8724" width="51.42578125" style="19" customWidth="1"/>
    <col min="8725" max="8725" width="11.7109375" style="19" customWidth="1"/>
    <col min="8726" max="8964" width="9.140625" style="19"/>
    <col min="8965" max="8966" width="41" style="19" customWidth="1"/>
    <col min="8967" max="8967" width="23.42578125" style="19" customWidth="1"/>
    <col min="8968" max="8968" width="25" style="19" customWidth="1"/>
    <col min="8969" max="8969" width="43.140625" style="19" customWidth="1"/>
    <col min="8970" max="8970" width="14.5703125" style="19" customWidth="1"/>
    <col min="8971" max="8977" width="9.140625" style="19"/>
    <col min="8978" max="8978" width="5.5703125" style="19" customWidth="1"/>
    <col min="8979" max="8979" width="13.140625" style="19" customWidth="1"/>
    <col min="8980" max="8980" width="51.42578125" style="19" customWidth="1"/>
    <col min="8981" max="8981" width="11.7109375" style="19" customWidth="1"/>
    <col min="8982" max="9220" width="9.140625" style="19"/>
    <col min="9221" max="9222" width="41" style="19" customWidth="1"/>
    <col min="9223" max="9223" width="23.42578125" style="19" customWidth="1"/>
    <col min="9224" max="9224" width="25" style="19" customWidth="1"/>
    <col min="9225" max="9225" width="43.140625" style="19" customWidth="1"/>
    <col min="9226" max="9226" width="14.5703125" style="19" customWidth="1"/>
    <col min="9227" max="9233" width="9.140625" style="19"/>
    <col min="9234" max="9234" width="5.5703125" style="19" customWidth="1"/>
    <col min="9235" max="9235" width="13.140625" style="19" customWidth="1"/>
    <col min="9236" max="9236" width="51.42578125" style="19" customWidth="1"/>
    <col min="9237" max="9237" width="11.7109375" style="19" customWidth="1"/>
    <col min="9238" max="9476" width="9.140625" style="19"/>
    <col min="9477" max="9478" width="41" style="19" customWidth="1"/>
    <col min="9479" max="9479" width="23.42578125" style="19" customWidth="1"/>
    <col min="9480" max="9480" width="25" style="19" customWidth="1"/>
    <col min="9481" max="9481" width="43.140625" style="19" customWidth="1"/>
    <col min="9482" max="9482" width="14.5703125" style="19" customWidth="1"/>
    <col min="9483" max="9489" width="9.140625" style="19"/>
    <col min="9490" max="9490" width="5.5703125" style="19" customWidth="1"/>
    <col min="9491" max="9491" width="13.140625" style="19" customWidth="1"/>
    <col min="9492" max="9492" width="51.42578125" style="19" customWidth="1"/>
    <col min="9493" max="9493" width="11.7109375" style="19" customWidth="1"/>
    <col min="9494" max="9732" width="9.140625" style="19"/>
    <col min="9733" max="9734" width="41" style="19" customWidth="1"/>
    <col min="9735" max="9735" width="23.42578125" style="19" customWidth="1"/>
    <col min="9736" max="9736" width="25" style="19" customWidth="1"/>
    <col min="9737" max="9737" width="43.140625" style="19" customWidth="1"/>
    <col min="9738" max="9738" width="14.5703125" style="19" customWidth="1"/>
    <col min="9739" max="9745" width="9.140625" style="19"/>
    <col min="9746" max="9746" width="5.5703125" style="19" customWidth="1"/>
    <col min="9747" max="9747" width="13.140625" style="19" customWidth="1"/>
    <col min="9748" max="9748" width="51.42578125" style="19" customWidth="1"/>
    <col min="9749" max="9749" width="11.7109375" style="19" customWidth="1"/>
    <col min="9750" max="9988" width="9.140625" style="19"/>
    <col min="9989" max="9990" width="41" style="19" customWidth="1"/>
    <col min="9991" max="9991" width="23.42578125" style="19" customWidth="1"/>
    <col min="9992" max="9992" width="25" style="19" customWidth="1"/>
    <col min="9993" max="9993" width="43.140625" style="19" customWidth="1"/>
    <col min="9994" max="9994" width="14.5703125" style="19" customWidth="1"/>
    <col min="9995" max="10001" width="9.140625" style="19"/>
    <col min="10002" max="10002" width="5.5703125" style="19" customWidth="1"/>
    <col min="10003" max="10003" width="13.140625" style="19" customWidth="1"/>
    <col min="10004" max="10004" width="51.42578125" style="19" customWidth="1"/>
    <col min="10005" max="10005" width="11.7109375" style="19" customWidth="1"/>
    <col min="10006" max="10244" width="9.140625" style="19"/>
    <col min="10245" max="10246" width="41" style="19" customWidth="1"/>
    <col min="10247" max="10247" width="23.42578125" style="19" customWidth="1"/>
    <col min="10248" max="10248" width="25" style="19" customWidth="1"/>
    <col min="10249" max="10249" width="43.140625" style="19" customWidth="1"/>
    <col min="10250" max="10250" width="14.5703125" style="19" customWidth="1"/>
    <col min="10251" max="10257" width="9.140625" style="19"/>
    <col min="10258" max="10258" width="5.5703125" style="19" customWidth="1"/>
    <col min="10259" max="10259" width="13.140625" style="19" customWidth="1"/>
    <col min="10260" max="10260" width="51.42578125" style="19" customWidth="1"/>
    <col min="10261" max="10261" width="11.7109375" style="19" customWidth="1"/>
    <col min="10262" max="10500" width="9.140625" style="19"/>
    <col min="10501" max="10502" width="41" style="19" customWidth="1"/>
    <col min="10503" max="10503" width="23.42578125" style="19" customWidth="1"/>
    <col min="10504" max="10504" width="25" style="19" customWidth="1"/>
    <col min="10505" max="10505" width="43.140625" style="19" customWidth="1"/>
    <col min="10506" max="10506" width="14.5703125" style="19" customWidth="1"/>
    <col min="10507" max="10513" width="9.140625" style="19"/>
    <col min="10514" max="10514" width="5.5703125" style="19" customWidth="1"/>
    <col min="10515" max="10515" width="13.140625" style="19" customWidth="1"/>
    <col min="10516" max="10516" width="51.42578125" style="19" customWidth="1"/>
    <col min="10517" max="10517" width="11.7109375" style="19" customWidth="1"/>
    <col min="10518" max="10756" width="9.140625" style="19"/>
    <col min="10757" max="10758" width="41" style="19" customWidth="1"/>
    <col min="10759" max="10759" width="23.42578125" style="19" customWidth="1"/>
    <col min="10760" max="10760" width="25" style="19" customWidth="1"/>
    <col min="10761" max="10761" width="43.140625" style="19" customWidth="1"/>
    <col min="10762" max="10762" width="14.5703125" style="19" customWidth="1"/>
    <col min="10763" max="10769" width="9.140625" style="19"/>
    <col min="10770" max="10770" width="5.5703125" style="19" customWidth="1"/>
    <col min="10771" max="10771" width="13.140625" style="19" customWidth="1"/>
    <col min="10772" max="10772" width="51.42578125" style="19" customWidth="1"/>
    <col min="10773" max="10773" width="11.7109375" style="19" customWidth="1"/>
    <col min="10774" max="11012" width="9.140625" style="19"/>
    <col min="11013" max="11014" width="41" style="19" customWidth="1"/>
    <col min="11015" max="11015" width="23.42578125" style="19" customWidth="1"/>
    <col min="11016" max="11016" width="25" style="19" customWidth="1"/>
    <col min="11017" max="11017" width="43.140625" style="19" customWidth="1"/>
    <col min="11018" max="11018" width="14.5703125" style="19" customWidth="1"/>
    <col min="11019" max="11025" width="9.140625" style="19"/>
    <col min="11026" max="11026" width="5.5703125" style="19" customWidth="1"/>
    <col min="11027" max="11027" width="13.140625" style="19" customWidth="1"/>
    <col min="11028" max="11028" width="51.42578125" style="19" customWidth="1"/>
    <col min="11029" max="11029" width="11.7109375" style="19" customWidth="1"/>
    <col min="11030" max="11268" width="9.140625" style="19"/>
    <col min="11269" max="11270" width="41" style="19" customWidth="1"/>
    <col min="11271" max="11271" width="23.42578125" style="19" customWidth="1"/>
    <col min="11272" max="11272" width="25" style="19" customWidth="1"/>
    <col min="11273" max="11273" width="43.140625" style="19" customWidth="1"/>
    <col min="11274" max="11274" width="14.5703125" style="19" customWidth="1"/>
    <col min="11275" max="11281" width="9.140625" style="19"/>
    <col min="11282" max="11282" width="5.5703125" style="19" customWidth="1"/>
    <col min="11283" max="11283" width="13.140625" style="19" customWidth="1"/>
    <col min="11284" max="11284" width="51.42578125" style="19" customWidth="1"/>
    <col min="11285" max="11285" width="11.7109375" style="19" customWidth="1"/>
    <col min="11286" max="11524" width="9.140625" style="19"/>
    <col min="11525" max="11526" width="41" style="19" customWidth="1"/>
    <col min="11527" max="11527" width="23.42578125" style="19" customWidth="1"/>
    <col min="11528" max="11528" width="25" style="19" customWidth="1"/>
    <col min="11529" max="11529" width="43.140625" style="19" customWidth="1"/>
    <col min="11530" max="11530" width="14.5703125" style="19" customWidth="1"/>
    <col min="11531" max="11537" width="9.140625" style="19"/>
    <col min="11538" max="11538" width="5.5703125" style="19" customWidth="1"/>
    <col min="11539" max="11539" width="13.140625" style="19" customWidth="1"/>
    <col min="11540" max="11540" width="51.42578125" style="19" customWidth="1"/>
    <col min="11541" max="11541" width="11.7109375" style="19" customWidth="1"/>
    <col min="11542" max="11780" width="9.140625" style="19"/>
    <col min="11781" max="11782" width="41" style="19" customWidth="1"/>
    <col min="11783" max="11783" width="23.42578125" style="19" customWidth="1"/>
    <col min="11784" max="11784" width="25" style="19" customWidth="1"/>
    <col min="11785" max="11785" width="43.140625" style="19" customWidth="1"/>
    <col min="11786" max="11786" width="14.5703125" style="19" customWidth="1"/>
    <col min="11787" max="11793" width="9.140625" style="19"/>
    <col min="11794" max="11794" width="5.5703125" style="19" customWidth="1"/>
    <col min="11795" max="11795" width="13.140625" style="19" customWidth="1"/>
    <col min="11796" max="11796" width="51.42578125" style="19" customWidth="1"/>
    <col min="11797" max="11797" width="11.7109375" style="19" customWidth="1"/>
    <col min="11798" max="12036" width="9.140625" style="19"/>
    <col min="12037" max="12038" width="41" style="19" customWidth="1"/>
    <col min="12039" max="12039" width="23.42578125" style="19" customWidth="1"/>
    <col min="12040" max="12040" width="25" style="19" customWidth="1"/>
    <col min="12041" max="12041" width="43.140625" style="19" customWidth="1"/>
    <col min="12042" max="12042" width="14.5703125" style="19" customWidth="1"/>
    <col min="12043" max="12049" width="9.140625" style="19"/>
    <col min="12050" max="12050" width="5.5703125" style="19" customWidth="1"/>
    <col min="12051" max="12051" width="13.140625" style="19" customWidth="1"/>
    <col min="12052" max="12052" width="51.42578125" style="19" customWidth="1"/>
    <col min="12053" max="12053" width="11.7109375" style="19" customWidth="1"/>
    <col min="12054" max="12292" width="9.140625" style="19"/>
    <col min="12293" max="12294" width="41" style="19" customWidth="1"/>
    <col min="12295" max="12295" width="23.42578125" style="19" customWidth="1"/>
    <col min="12296" max="12296" width="25" style="19" customWidth="1"/>
    <col min="12297" max="12297" width="43.140625" style="19" customWidth="1"/>
    <col min="12298" max="12298" width="14.5703125" style="19" customWidth="1"/>
    <col min="12299" max="12305" width="9.140625" style="19"/>
    <col min="12306" max="12306" width="5.5703125" style="19" customWidth="1"/>
    <col min="12307" max="12307" width="13.140625" style="19" customWidth="1"/>
    <col min="12308" max="12308" width="51.42578125" style="19" customWidth="1"/>
    <col min="12309" max="12309" width="11.7109375" style="19" customWidth="1"/>
    <col min="12310" max="12548" width="9.140625" style="19"/>
    <col min="12549" max="12550" width="41" style="19" customWidth="1"/>
    <col min="12551" max="12551" width="23.42578125" style="19" customWidth="1"/>
    <col min="12552" max="12552" width="25" style="19" customWidth="1"/>
    <col min="12553" max="12553" width="43.140625" style="19" customWidth="1"/>
    <col min="12554" max="12554" width="14.5703125" style="19" customWidth="1"/>
    <col min="12555" max="12561" width="9.140625" style="19"/>
    <col min="12562" max="12562" width="5.5703125" style="19" customWidth="1"/>
    <col min="12563" max="12563" width="13.140625" style="19" customWidth="1"/>
    <col min="12564" max="12564" width="51.42578125" style="19" customWidth="1"/>
    <col min="12565" max="12565" width="11.7109375" style="19" customWidth="1"/>
    <col min="12566" max="12804" width="9.140625" style="19"/>
    <col min="12805" max="12806" width="41" style="19" customWidth="1"/>
    <col min="12807" max="12807" width="23.42578125" style="19" customWidth="1"/>
    <col min="12808" max="12808" width="25" style="19" customWidth="1"/>
    <col min="12809" max="12809" width="43.140625" style="19" customWidth="1"/>
    <col min="12810" max="12810" width="14.5703125" style="19" customWidth="1"/>
    <col min="12811" max="12817" width="9.140625" style="19"/>
    <col min="12818" max="12818" width="5.5703125" style="19" customWidth="1"/>
    <col min="12819" max="12819" width="13.140625" style="19" customWidth="1"/>
    <col min="12820" max="12820" width="51.42578125" style="19" customWidth="1"/>
    <col min="12821" max="12821" width="11.7109375" style="19" customWidth="1"/>
    <col min="12822" max="13060" width="9.140625" style="19"/>
    <col min="13061" max="13062" width="41" style="19" customWidth="1"/>
    <col min="13063" max="13063" width="23.42578125" style="19" customWidth="1"/>
    <col min="13064" max="13064" width="25" style="19" customWidth="1"/>
    <col min="13065" max="13065" width="43.140625" style="19" customWidth="1"/>
    <col min="13066" max="13066" width="14.5703125" style="19" customWidth="1"/>
    <col min="13067" max="13073" width="9.140625" style="19"/>
    <col min="13074" max="13074" width="5.5703125" style="19" customWidth="1"/>
    <col min="13075" max="13075" width="13.140625" style="19" customWidth="1"/>
    <col min="13076" max="13076" width="51.42578125" style="19" customWidth="1"/>
    <col min="13077" max="13077" width="11.7109375" style="19" customWidth="1"/>
    <col min="13078" max="13316" width="9.140625" style="19"/>
    <col min="13317" max="13318" width="41" style="19" customWidth="1"/>
    <col min="13319" max="13319" width="23.42578125" style="19" customWidth="1"/>
    <col min="13320" max="13320" width="25" style="19" customWidth="1"/>
    <col min="13321" max="13321" width="43.140625" style="19" customWidth="1"/>
    <col min="13322" max="13322" width="14.5703125" style="19" customWidth="1"/>
    <col min="13323" max="13329" width="9.140625" style="19"/>
    <col min="13330" max="13330" width="5.5703125" style="19" customWidth="1"/>
    <col min="13331" max="13331" width="13.140625" style="19" customWidth="1"/>
    <col min="13332" max="13332" width="51.42578125" style="19" customWidth="1"/>
    <col min="13333" max="13333" width="11.7109375" style="19" customWidth="1"/>
    <col min="13334" max="13572" width="9.140625" style="19"/>
    <col min="13573" max="13574" width="41" style="19" customWidth="1"/>
    <col min="13575" max="13575" width="23.42578125" style="19" customWidth="1"/>
    <col min="13576" max="13576" width="25" style="19" customWidth="1"/>
    <col min="13577" max="13577" width="43.140625" style="19" customWidth="1"/>
    <col min="13578" max="13578" width="14.5703125" style="19" customWidth="1"/>
    <col min="13579" max="13585" width="9.140625" style="19"/>
    <col min="13586" max="13586" width="5.5703125" style="19" customWidth="1"/>
    <col min="13587" max="13587" width="13.140625" style="19" customWidth="1"/>
    <col min="13588" max="13588" width="51.42578125" style="19" customWidth="1"/>
    <col min="13589" max="13589" width="11.7109375" style="19" customWidth="1"/>
    <col min="13590" max="13828" width="9.140625" style="19"/>
    <col min="13829" max="13830" width="41" style="19" customWidth="1"/>
    <col min="13831" max="13831" width="23.42578125" style="19" customWidth="1"/>
    <col min="13832" max="13832" width="25" style="19" customWidth="1"/>
    <col min="13833" max="13833" width="43.140625" style="19" customWidth="1"/>
    <col min="13834" max="13834" width="14.5703125" style="19" customWidth="1"/>
    <col min="13835" max="13841" width="9.140625" style="19"/>
    <col min="13842" max="13842" width="5.5703125" style="19" customWidth="1"/>
    <col min="13843" max="13843" width="13.140625" style="19" customWidth="1"/>
    <col min="13844" max="13844" width="51.42578125" style="19" customWidth="1"/>
    <col min="13845" max="13845" width="11.7109375" style="19" customWidth="1"/>
    <col min="13846" max="14084" width="9.140625" style="19"/>
    <col min="14085" max="14086" width="41" style="19" customWidth="1"/>
    <col min="14087" max="14087" width="23.42578125" style="19" customWidth="1"/>
    <col min="14088" max="14088" width="25" style="19" customWidth="1"/>
    <col min="14089" max="14089" width="43.140625" style="19" customWidth="1"/>
    <col min="14090" max="14090" width="14.5703125" style="19" customWidth="1"/>
    <col min="14091" max="14097" width="9.140625" style="19"/>
    <col min="14098" max="14098" width="5.5703125" style="19" customWidth="1"/>
    <col min="14099" max="14099" width="13.140625" style="19" customWidth="1"/>
    <col min="14100" max="14100" width="51.42578125" style="19" customWidth="1"/>
    <col min="14101" max="14101" width="11.7109375" style="19" customWidth="1"/>
    <col min="14102" max="14340" width="9.140625" style="19"/>
    <col min="14341" max="14342" width="41" style="19" customWidth="1"/>
    <col min="14343" max="14343" width="23.42578125" style="19" customWidth="1"/>
    <col min="14344" max="14344" width="25" style="19" customWidth="1"/>
    <col min="14345" max="14345" width="43.140625" style="19" customWidth="1"/>
    <col min="14346" max="14346" width="14.5703125" style="19" customWidth="1"/>
    <col min="14347" max="14353" width="9.140625" style="19"/>
    <col min="14354" max="14354" width="5.5703125" style="19" customWidth="1"/>
    <col min="14355" max="14355" width="13.140625" style="19" customWidth="1"/>
    <col min="14356" max="14356" width="51.42578125" style="19" customWidth="1"/>
    <col min="14357" max="14357" width="11.7109375" style="19" customWidth="1"/>
    <col min="14358" max="14596" width="9.140625" style="19"/>
    <col min="14597" max="14598" width="41" style="19" customWidth="1"/>
    <col min="14599" max="14599" width="23.42578125" style="19" customWidth="1"/>
    <col min="14600" max="14600" width="25" style="19" customWidth="1"/>
    <col min="14601" max="14601" width="43.140625" style="19" customWidth="1"/>
    <col min="14602" max="14602" width="14.5703125" style="19" customWidth="1"/>
    <col min="14603" max="14609" width="9.140625" style="19"/>
    <col min="14610" max="14610" width="5.5703125" style="19" customWidth="1"/>
    <col min="14611" max="14611" width="13.140625" style="19" customWidth="1"/>
    <col min="14612" max="14612" width="51.42578125" style="19" customWidth="1"/>
    <col min="14613" max="14613" width="11.7109375" style="19" customWidth="1"/>
    <col min="14614" max="14852" width="9.140625" style="19"/>
    <col min="14853" max="14854" width="41" style="19" customWidth="1"/>
    <col min="14855" max="14855" width="23.42578125" style="19" customWidth="1"/>
    <col min="14856" max="14856" width="25" style="19" customWidth="1"/>
    <col min="14857" max="14857" width="43.140625" style="19" customWidth="1"/>
    <col min="14858" max="14858" width="14.5703125" style="19" customWidth="1"/>
    <col min="14859" max="14865" width="9.140625" style="19"/>
    <col min="14866" max="14866" width="5.5703125" style="19" customWidth="1"/>
    <col min="14867" max="14867" width="13.140625" style="19" customWidth="1"/>
    <col min="14868" max="14868" width="51.42578125" style="19" customWidth="1"/>
    <col min="14869" max="14869" width="11.7109375" style="19" customWidth="1"/>
    <col min="14870" max="15108" width="9.140625" style="19"/>
    <col min="15109" max="15110" width="41" style="19" customWidth="1"/>
    <col min="15111" max="15111" width="23.42578125" style="19" customWidth="1"/>
    <col min="15112" max="15112" width="25" style="19" customWidth="1"/>
    <col min="15113" max="15113" width="43.140625" style="19" customWidth="1"/>
    <col min="15114" max="15114" width="14.5703125" style="19" customWidth="1"/>
    <col min="15115" max="15121" width="9.140625" style="19"/>
    <col min="15122" max="15122" width="5.5703125" style="19" customWidth="1"/>
    <col min="15123" max="15123" width="13.140625" style="19" customWidth="1"/>
    <col min="15124" max="15124" width="51.42578125" style="19" customWidth="1"/>
    <col min="15125" max="15125" width="11.7109375" style="19" customWidth="1"/>
    <col min="15126" max="15364" width="9.140625" style="19"/>
    <col min="15365" max="15366" width="41" style="19" customWidth="1"/>
    <col min="15367" max="15367" width="23.42578125" style="19" customWidth="1"/>
    <col min="15368" max="15368" width="25" style="19" customWidth="1"/>
    <col min="15369" max="15369" width="43.140625" style="19" customWidth="1"/>
    <col min="15370" max="15370" width="14.5703125" style="19" customWidth="1"/>
    <col min="15371" max="15377" width="9.140625" style="19"/>
    <col min="15378" max="15378" width="5.5703125" style="19" customWidth="1"/>
    <col min="15379" max="15379" width="13.140625" style="19" customWidth="1"/>
    <col min="15380" max="15380" width="51.42578125" style="19" customWidth="1"/>
    <col min="15381" max="15381" width="11.7109375" style="19" customWidth="1"/>
    <col min="15382" max="15620" width="9.140625" style="19"/>
    <col min="15621" max="15622" width="41" style="19" customWidth="1"/>
    <col min="15623" max="15623" width="23.42578125" style="19" customWidth="1"/>
    <col min="15624" max="15624" width="25" style="19" customWidth="1"/>
    <col min="15625" max="15625" width="43.140625" style="19" customWidth="1"/>
    <col min="15626" max="15626" width="14.5703125" style="19" customWidth="1"/>
    <col min="15627" max="15633" width="9.140625" style="19"/>
    <col min="15634" max="15634" width="5.5703125" style="19" customWidth="1"/>
    <col min="15635" max="15635" width="13.140625" style="19" customWidth="1"/>
    <col min="15636" max="15636" width="51.42578125" style="19" customWidth="1"/>
    <col min="15637" max="15637" width="11.7109375" style="19" customWidth="1"/>
    <col min="15638" max="15876" width="9.140625" style="19"/>
    <col min="15877" max="15878" width="41" style="19" customWidth="1"/>
    <col min="15879" max="15879" width="23.42578125" style="19" customWidth="1"/>
    <col min="15880" max="15880" width="25" style="19" customWidth="1"/>
    <col min="15881" max="15881" width="43.140625" style="19" customWidth="1"/>
    <col min="15882" max="15882" width="14.5703125" style="19" customWidth="1"/>
    <col min="15883" max="15889" width="9.140625" style="19"/>
    <col min="15890" max="15890" width="5.5703125" style="19" customWidth="1"/>
    <col min="15891" max="15891" width="13.140625" style="19" customWidth="1"/>
    <col min="15892" max="15892" width="51.42578125" style="19" customWidth="1"/>
    <col min="15893" max="15893" width="11.7109375" style="19" customWidth="1"/>
    <col min="15894" max="16132" width="9.140625" style="19"/>
    <col min="16133" max="16134" width="41" style="19" customWidth="1"/>
    <col min="16135" max="16135" width="23.42578125" style="19" customWidth="1"/>
    <col min="16136" max="16136" width="25" style="19" customWidth="1"/>
    <col min="16137" max="16137" width="43.140625" style="19" customWidth="1"/>
    <col min="16138" max="16138" width="14.5703125" style="19" customWidth="1"/>
    <col min="16139" max="16145" width="9.140625" style="19"/>
    <col min="16146" max="16146" width="5.5703125" style="19" customWidth="1"/>
    <col min="16147" max="16147" width="13.140625" style="19" customWidth="1"/>
    <col min="16148" max="16148" width="51.42578125" style="19" customWidth="1"/>
    <col min="16149" max="16149" width="11.7109375" style="19" customWidth="1"/>
    <col min="16150" max="16384" width="9.140625" style="19"/>
  </cols>
  <sheetData>
    <row r="1" spans="2:14" x14ac:dyDescent="0.25">
      <c r="N1" s="96" t="s">
        <v>129</v>
      </c>
    </row>
    <row r="3" spans="2:14" ht="18.75" x14ac:dyDescent="0.25">
      <c r="B3" s="110" t="s">
        <v>132</v>
      </c>
      <c r="C3" s="110"/>
      <c r="D3" s="110"/>
      <c r="E3" s="110"/>
      <c r="F3" s="110"/>
      <c r="G3" s="110"/>
      <c r="H3" s="110"/>
      <c r="I3" s="110"/>
      <c r="J3" s="110"/>
      <c r="K3" s="110"/>
      <c r="L3" s="110"/>
      <c r="M3" s="110"/>
      <c r="N3" s="110"/>
    </row>
    <row r="5" spans="2:14" ht="78.75" x14ac:dyDescent="0.25">
      <c r="B5" s="541" t="s">
        <v>194</v>
      </c>
      <c r="C5" s="542"/>
      <c r="D5" s="107" t="s">
        <v>199</v>
      </c>
      <c r="E5" s="107" t="s">
        <v>200</v>
      </c>
      <c r="F5" s="107" t="s">
        <v>201</v>
      </c>
    </row>
    <row r="6" spans="2:14" ht="50.25" customHeight="1" x14ac:dyDescent="0.25">
      <c r="B6" s="543" t="s">
        <v>188</v>
      </c>
      <c r="C6" s="544"/>
      <c r="D6" s="105">
        <f>SUM(F10,F24,E50)</f>
        <v>270588</v>
      </c>
      <c r="E6" s="200">
        <f>E50</f>
        <v>215880</v>
      </c>
      <c r="F6" s="200">
        <f>E6</f>
        <v>215880</v>
      </c>
    </row>
    <row r="8" spans="2:14" x14ac:dyDescent="0.25">
      <c r="B8" s="31" t="s">
        <v>391</v>
      </c>
    </row>
    <row r="9" spans="2:14" s="20" customFormat="1" ht="30" x14ac:dyDescent="0.25">
      <c r="B9" s="32" t="s">
        <v>107</v>
      </c>
      <c r="C9" s="32" t="s">
        <v>108</v>
      </c>
      <c r="D9" s="583" t="s">
        <v>109</v>
      </c>
      <c r="E9" s="584"/>
      <c r="F9" s="32" t="s">
        <v>110</v>
      </c>
    </row>
    <row r="10" spans="2:14" s="20" customFormat="1" x14ac:dyDescent="0.25">
      <c r="B10" s="33"/>
      <c r="C10" s="34" t="s">
        <v>111</v>
      </c>
      <c r="D10" s="585" t="s">
        <v>5</v>
      </c>
      <c r="E10" s="586"/>
      <c r="F10" s="114">
        <f>F11</f>
        <v>35704</v>
      </c>
    </row>
    <row r="11" spans="2:14" s="20" customFormat="1" x14ac:dyDescent="0.25">
      <c r="B11" s="35"/>
      <c r="C11" s="36" t="s">
        <v>112</v>
      </c>
      <c r="D11" s="587"/>
      <c r="E11" s="588"/>
      <c r="F11" s="37">
        <f>F12</f>
        <v>35704</v>
      </c>
    </row>
    <row r="12" spans="2:14" s="20" customFormat="1" x14ac:dyDescent="0.25">
      <c r="B12" s="38">
        <v>2000</v>
      </c>
      <c r="C12" s="35" t="s">
        <v>113</v>
      </c>
      <c r="D12" s="587"/>
      <c r="E12" s="588"/>
      <c r="F12" s="37">
        <f>SUM(F13:F19)</f>
        <v>35704</v>
      </c>
    </row>
    <row r="13" spans="2:14" s="20" customFormat="1" ht="81.75" customHeight="1" x14ac:dyDescent="0.25">
      <c r="B13" s="35"/>
      <c r="C13" s="35"/>
      <c r="D13" s="587" t="s">
        <v>246</v>
      </c>
      <c r="E13" s="588"/>
      <c r="F13" s="37">
        <v>11072</v>
      </c>
    </row>
    <row r="14" spans="2:14" s="20" customFormat="1" ht="66" customHeight="1" x14ac:dyDescent="0.25">
      <c r="B14" s="35"/>
      <c r="C14" s="35"/>
      <c r="D14" s="587" t="s">
        <v>114</v>
      </c>
      <c r="E14" s="588"/>
      <c r="F14" s="37">
        <f>40*255</f>
        <v>10200</v>
      </c>
    </row>
    <row r="15" spans="2:14" s="20" customFormat="1" ht="27" customHeight="1" x14ac:dyDescent="0.25">
      <c r="B15" s="35"/>
      <c r="C15" s="35"/>
      <c r="D15" s="587" t="s">
        <v>115</v>
      </c>
      <c r="E15" s="588"/>
      <c r="F15" s="37">
        <v>4000</v>
      </c>
    </row>
    <row r="16" spans="2:14" s="20" customFormat="1" x14ac:dyDescent="0.25">
      <c r="B16" s="35"/>
      <c r="C16" s="35"/>
      <c r="D16" s="587" t="s">
        <v>116</v>
      </c>
      <c r="E16" s="588"/>
      <c r="F16" s="37">
        <v>1500</v>
      </c>
    </row>
    <row r="17" spans="2:13" s="20" customFormat="1" ht="61.5" customHeight="1" x14ac:dyDescent="0.25">
      <c r="B17" s="35"/>
      <c r="C17" s="35"/>
      <c r="D17" s="587" t="s">
        <v>117</v>
      </c>
      <c r="E17" s="588"/>
      <c r="F17" s="37">
        <f>ROUND(450*8.07,0)</f>
        <v>3632</v>
      </c>
    </row>
    <row r="18" spans="2:13" s="20" customFormat="1" ht="33.75" customHeight="1" x14ac:dyDescent="0.25">
      <c r="B18" s="35"/>
      <c r="C18" s="35"/>
      <c r="D18" s="587" t="s">
        <v>118</v>
      </c>
      <c r="E18" s="588"/>
      <c r="F18" s="37">
        <v>2000</v>
      </c>
    </row>
    <row r="19" spans="2:13" s="20" customFormat="1" ht="64.5" customHeight="1" x14ac:dyDescent="0.25">
      <c r="B19" s="39"/>
      <c r="C19" s="39"/>
      <c r="D19" s="567" t="s">
        <v>119</v>
      </c>
      <c r="E19" s="568"/>
      <c r="F19" s="40">
        <f>600*5.5</f>
        <v>3300</v>
      </c>
    </row>
    <row r="20" spans="2:13" s="20" customFormat="1" ht="21.75" customHeight="1" x14ac:dyDescent="0.25">
      <c r="B20" s="41"/>
      <c r="C20" s="41"/>
      <c r="D20" s="41"/>
      <c r="E20" s="41"/>
      <c r="F20" s="42"/>
    </row>
    <row r="21" spans="2:13" s="20" customFormat="1" x14ac:dyDescent="0.25">
      <c r="B21" s="29" t="s">
        <v>392</v>
      </c>
      <c r="C21" s="29"/>
      <c r="D21" s="29"/>
      <c r="E21" s="29"/>
      <c r="F21" s="29"/>
      <c r="G21" s="29"/>
      <c r="H21" s="29"/>
      <c r="I21" s="29"/>
      <c r="J21" s="29"/>
      <c r="K21" s="29"/>
      <c r="L21" s="30"/>
      <c r="M21" s="30"/>
    </row>
    <row r="22" spans="2:13" s="20" customFormat="1" x14ac:dyDescent="0.25">
      <c r="B22" s="29"/>
      <c r="C22" s="41"/>
      <c r="D22" s="41"/>
      <c r="E22" s="41"/>
      <c r="F22" s="42"/>
    </row>
    <row r="23" spans="2:13" s="20" customFormat="1" ht="30" x14ac:dyDescent="0.25">
      <c r="B23" s="32" t="s">
        <v>107</v>
      </c>
      <c r="C23" s="32" t="s">
        <v>108</v>
      </c>
      <c r="D23" s="583" t="s">
        <v>109</v>
      </c>
      <c r="E23" s="584"/>
      <c r="F23" s="32" t="s">
        <v>110</v>
      </c>
    </row>
    <row r="24" spans="2:13" s="20" customFormat="1" x14ac:dyDescent="0.25">
      <c r="B24" s="33"/>
      <c r="C24" s="34" t="s">
        <v>111</v>
      </c>
      <c r="D24" s="585" t="s">
        <v>5</v>
      </c>
      <c r="E24" s="586"/>
      <c r="F24" s="115">
        <f>F25</f>
        <v>19004</v>
      </c>
    </row>
    <row r="25" spans="2:13" s="20" customFormat="1" x14ac:dyDescent="0.25">
      <c r="B25" s="35"/>
      <c r="C25" s="36" t="s">
        <v>112</v>
      </c>
      <c r="D25" s="587"/>
      <c r="E25" s="588"/>
      <c r="F25" s="43">
        <f>SUM(F30,F26)</f>
        <v>19004</v>
      </c>
    </row>
    <row r="26" spans="2:13" s="20" customFormat="1" x14ac:dyDescent="0.25">
      <c r="B26" s="32">
        <v>1000</v>
      </c>
      <c r="C26" s="35" t="s">
        <v>120</v>
      </c>
      <c r="D26" s="587"/>
      <c r="E26" s="588"/>
      <c r="F26" s="43">
        <f>SUM(F27:F29)</f>
        <v>13264</v>
      </c>
    </row>
    <row r="27" spans="2:13" s="20" customFormat="1" ht="27.75" customHeight="1" x14ac:dyDescent="0.25">
      <c r="B27" s="35"/>
      <c r="C27" s="35"/>
      <c r="D27" s="587" t="s">
        <v>121</v>
      </c>
      <c r="E27" s="588"/>
      <c r="F27" s="43">
        <v>8017</v>
      </c>
    </row>
    <row r="28" spans="2:13" s="20" customFormat="1" ht="19.5" customHeight="1" x14ac:dyDescent="0.25">
      <c r="B28" s="35"/>
      <c r="C28" s="35"/>
      <c r="D28" s="587" t="s">
        <v>122</v>
      </c>
      <c r="E28" s="588"/>
      <c r="F28" s="43">
        <v>2672</v>
      </c>
    </row>
    <row r="29" spans="2:13" s="20" customFormat="1" ht="37.5" customHeight="1" x14ac:dyDescent="0.25">
      <c r="B29" s="35"/>
      <c r="C29" s="35"/>
      <c r="D29" s="587" t="s">
        <v>123</v>
      </c>
      <c r="E29" s="588"/>
      <c r="F29" s="43">
        <f>ROUND((F27+F28)*0.2409,0)</f>
        <v>2575</v>
      </c>
    </row>
    <row r="30" spans="2:13" s="20" customFormat="1" x14ac:dyDescent="0.25">
      <c r="B30" s="32">
        <v>2000</v>
      </c>
      <c r="C30" s="35" t="s">
        <v>113</v>
      </c>
      <c r="D30" s="587"/>
      <c r="E30" s="588"/>
      <c r="F30" s="43">
        <f>SUM(F31:F33)</f>
        <v>5740</v>
      </c>
    </row>
    <row r="31" spans="2:13" s="20" customFormat="1" ht="28.5" customHeight="1" x14ac:dyDescent="0.25">
      <c r="B31" s="571"/>
      <c r="C31" s="571"/>
      <c r="D31" s="573" t="s">
        <v>124</v>
      </c>
      <c r="E31" s="574"/>
      <c r="F31" s="579">
        <v>4840</v>
      </c>
    </row>
    <row r="32" spans="2:13" s="20" customFormat="1" x14ac:dyDescent="0.25">
      <c r="B32" s="572"/>
      <c r="C32" s="572"/>
      <c r="D32" s="581" t="s">
        <v>125</v>
      </c>
      <c r="E32" s="582"/>
      <c r="F32" s="580"/>
    </row>
    <row r="33" spans="2:18" s="20" customFormat="1" ht="23.25" customHeight="1" x14ac:dyDescent="0.25">
      <c r="B33" s="39"/>
      <c r="C33" s="39"/>
      <c r="D33" s="567" t="s">
        <v>126</v>
      </c>
      <c r="E33" s="568"/>
      <c r="F33" s="44">
        <v>900</v>
      </c>
    </row>
    <row r="34" spans="2:18" s="20" customFormat="1" ht="21.75" customHeight="1" x14ac:dyDescent="0.25">
      <c r="B34" s="45"/>
      <c r="C34" s="45"/>
      <c r="D34" s="45"/>
      <c r="E34" s="45"/>
      <c r="F34" s="45"/>
      <c r="G34" s="45"/>
      <c r="H34" s="46"/>
      <c r="I34" s="47"/>
      <c r="J34" s="47"/>
      <c r="K34" s="47"/>
    </row>
    <row r="35" spans="2:18" x14ac:dyDescent="0.25">
      <c r="B35" s="31" t="s">
        <v>393</v>
      </c>
    </row>
    <row r="37" spans="2:18" ht="45" customHeight="1" x14ac:dyDescent="0.25">
      <c r="B37" s="296"/>
      <c r="C37" s="575"/>
      <c r="D37" s="556" t="s">
        <v>6</v>
      </c>
      <c r="E37" s="577" t="s">
        <v>7</v>
      </c>
      <c r="F37" s="578"/>
      <c r="G37" s="569" t="s">
        <v>8</v>
      </c>
      <c r="H37" s="570"/>
      <c r="I37" s="553" t="s">
        <v>239</v>
      </c>
      <c r="J37" s="554" t="s">
        <v>240</v>
      </c>
      <c r="K37" s="553" t="s">
        <v>237</v>
      </c>
      <c r="L37" s="549" t="s">
        <v>193</v>
      </c>
      <c r="M37" s="549" t="s">
        <v>235</v>
      </c>
      <c r="N37" s="550" t="s">
        <v>236</v>
      </c>
      <c r="O37" s="20"/>
      <c r="Q37" s="19"/>
    </row>
    <row r="38" spans="2:18" ht="45" customHeight="1" x14ac:dyDescent="0.25">
      <c r="B38" s="296"/>
      <c r="C38" s="576"/>
      <c r="D38" s="557"/>
      <c r="E38" s="50" t="s">
        <v>9</v>
      </c>
      <c r="F38" s="244" t="s">
        <v>10</v>
      </c>
      <c r="G38" s="50" t="s">
        <v>9</v>
      </c>
      <c r="H38" s="244" t="s">
        <v>11</v>
      </c>
      <c r="I38" s="553"/>
      <c r="J38" s="555"/>
      <c r="K38" s="553"/>
      <c r="L38" s="549"/>
      <c r="M38" s="549"/>
      <c r="N38" s="550"/>
      <c r="O38" s="20"/>
      <c r="Q38" s="19"/>
    </row>
    <row r="39" spans="2:18" x14ac:dyDescent="0.25">
      <c r="B39" s="296"/>
      <c r="C39" s="297" t="s">
        <v>343</v>
      </c>
      <c r="D39" s="298">
        <v>1</v>
      </c>
      <c r="E39" s="298">
        <v>1</v>
      </c>
      <c r="F39" s="299">
        <v>0.5</v>
      </c>
      <c r="G39" s="298"/>
      <c r="H39" s="299"/>
      <c r="I39" s="51">
        <f>ROUND((F39*1485)*12,2)</f>
        <v>8910</v>
      </c>
      <c r="J39" s="51">
        <f>ROUND(I39*0.4,2)</f>
        <v>3564</v>
      </c>
      <c r="K39" s="51">
        <f>ROUND(I39*0.3,2)</f>
        <v>2673</v>
      </c>
      <c r="L39" s="51">
        <f>ROUND((I39+K39+J39)*0.2409,2)</f>
        <v>3648.91</v>
      </c>
      <c r="M39" s="52">
        <f>3540*F39</f>
        <v>1770</v>
      </c>
      <c r="N39" s="158">
        <f>ROUND(SUM(I39:M39),0)</f>
        <v>20566</v>
      </c>
      <c r="O39" s="20"/>
      <c r="P39" s="129"/>
      <c r="Q39" s="19"/>
    </row>
    <row r="40" spans="2:18" ht="30" x14ac:dyDescent="0.25">
      <c r="B40" s="296"/>
      <c r="C40" s="53" t="s">
        <v>298</v>
      </c>
      <c r="D40" s="243">
        <v>1</v>
      </c>
      <c r="E40" s="298"/>
      <c r="F40" s="299"/>
      <c r="G40" s="298">
        <v>1</v>
      </c>
      <c r="H40" s="299">
        <v>0.5</v>
      </c>
      <c r="I40" s="51">
        <f>ROUND((H40*891)*12,2)</f>
        <v>5346</v>
      </c>
      <c r="J40" s="51"/>
      <c r="K40" s="51">
        <f t="shared" ref="K40:K41" si="0">ROUND(I40*0.3,2)</f>
        <v>1603.8</v>
      </c>
      <c r="L40" s="51">
        <f t="shared" ref="L40:L41" si="1">ROUND((I40+K40+J40)*0.2409,2)</f>
        <v>1674.21</v>
      </c>
      <c r="M40" s="319">
        <f>3524*H40</f>
        <v>1762</v>
      </c>
      <c r="N40" s="158">
        <f t="shared" ref="N40:N41" si="2">ROUND(SUM(I40:M40),0)</f>
        <v>10386</v>
      </c>
      <c r="O40" s="20"/>
      <c r="P40" s="129"/>
    </row>
    <row r="41" spans="2:18" x14ac:dyDescent="0.25">
      <c r="B41" s="296"/>
      <c r="C41" s="53" t="s">
        <v>13</v>
      </c>
      <c r="D41" s="244">
        <v>1</v>
      </c>
      <c r="E41" s="50">
        <v>1</v>
      </c>
      <c r="F41" s="54">
        <v>1</v>
      </c>
      <c r="G41" s="50"/>
      <c r="H41" s="55"/>
      <c r="I41" s="51">
        <f>ROUND((F41*1485)*12,2)</f>
        <v>17820</v>
      </c>
      <c r="J41" s="51">
        <f>ROUND(I41*0.4,2)</f>
        <v>7128</v>
      </c>
      <c r="K41" s="51">
        <f t="shared" si="0"/>
        <v>5346</v>
      </c>
      <c r="L41" s="51">
        <f t="shared" si="1"/>
        <v>7297.82</v>
      </c>
      <c r="M41" s="52">
        <f>3416*F41</f>
        <v>3416</v>
      </c>
      <c r="N41" s="158">
        <f t="shared" si="2"/>
        <v>41008</v>
      </c>
      <c r="O41" s="20"/>
      <c r="P41" s="129"/>
      <c r="R41" s="24"/>
    </row>
    <row r="42" spans="2:18" x14ac:dyDescent="0.25">
      <c r="B42" s="296"/>
      <c r="C42" s="56" t="s">
        <v>5</v>
      </c>
      <c r="D42" s="57">
        <f>D41+D39+D40</f>
        <v>3</v>
      </c>
      <c r="E42" s="57">
        <f t="shared" ref="E42:N42" si="3">E41+E39+E40</f>
        <v>2</v>
      </c>
      <c r="F42" s="57">
        <f t="shared" si="3"/>
        <v>1.5</v>
      </c>
      <c r="G42" s="57">
        <f t="shared" si="3"/>
        <v>1</v>
      </c>
      <c r="H42" s="57">
        <f t="shared" si="3"/>
        <v>0.5</v>
      </c>
      <c r="I42" s="58">
        <f t="shared" si="3"/>
        <v>32076</v>
      </c>
      <c r="J42" s="58">
        <f t="shared" si="3"/>
        <v>10692</v>
      </c>
      <c r="K42" s="58">
        <f t="shared" si="3"/>
        <v>9622.7999999999993</v>
      </c>
      <c r="L42" s="58">
        <f t="shared" si="3"/>
        <v>12620.939999999999</v>
      </c>
      <c r="M42" s="58">
        <f t="shared" si="3"/>
        <v>6948</v>
      </c>
      <c r="N42" s="201">
        <f t="shared" si="3"/>
        <v>71960</v>
      </c>
      <c r="O42" s="20"/>
      <c r="R42" s="24"/>
    </row>
    <row r="43" spans="2:18" x14ac:dyDescent="0.25">
      <c r="B43" s="296"/>
      <c r="C43" s="124" t="s">
        <v>345</v>
      </c>
      <c r="D43" s="26"/>
      <c r="E43" s="26"/>
      <c r="F43" s="26"/>
      <c r="G43" s="26"/>
      <c r="H43" s="27"/>
      <c r="I43" s="27"/>
      <c r="J43" s="27"/>
      <c r="K43" s="27"/>
      <c r="L43" s="27"/>
      <c r="M43" s="289"/>
      <c r="N43" s="76"/>
      <c r="O43" s="76"/>
      <c r="P43" s="19"/>
      <c r="Q43" s="19"/>
    </row>
    <row r="44" spans="2:18" x14ac:dyDescent="0.25">
      <c r="B44" s="296"/>
      <c r="C44" s="296" t="s">
        <v>229</v>
      </c>
      <c r="D44" s="26"/>
      <c r="E44" s="26"/>
      <c r="F44" s="26"/>
      <c r="G44" s="26"/>
      <c r="H44" s="27"/>
      <c r="I44" s="27"/>
      <c r="J44" s="27"/>
      <c r="K44" s="27"/>
      <c r="L44" s="27"/>
      <c r="M44" s="289"/>
      <c r="N44" s="76"/>
      <c r="O44" s="76"/>
      <c r="P44" s="19"/>
      <c r="Q44" s="19"/>
    </row>
    <row r="45" spans="2:18" x14ac:dyDescent="0.25">
      <c r="B45" s="296"/>
      <c r="C45" s="296" t="s">
        <v>230</v>
      </c>
      <c r="D45" s="26"/>
      <c r="E45" s="26"/>
      <c r="F45" s="26"/>
      <c r="G45" s="26"/>
      <c r="H45" s="27"/>
      <c r="I45" s="27"/>
      <c r="J45" s="27"/>
      <c r="K45" s="27"/>
      <c r="L45" s="27"/>
      <c r="M45" s="289"/>
      <c r="N45" s="76"/>
      <c r="O45" s="76"/>
      <c r="P45" s="19"/>
      <c r="Q45" s="19"/>
    </row>
    <row r="46" spans="2:18" ht="15.75" customHeight="1" x14ac:dyDescent="0.25">
      <c r="B46" s="296"/>
      <c r="C46" s="199" t="s">
        <v>300</v>
      </c>
      <c r="D46" s="26"/>
      <c r="E46" s="26"/>
      <c r="F46" s="26"/>
      <c r="G46" s="26"/>
      <c r="H46" s="27"/>
      <c r="I46" s="27"/>
      <c r="J46" s="27"/>
      <c r="K46" s="27"/>
      <c r="L46" s="27"/>
      <c r="M46" s="289"/>
      <c r="N46" s="76"/>
      <c r="O46" s="76"/>
      <c r="P46" s="19"/>
      <c r="Q46" s="19"/>
    </row>
    <row r="47" spans="2:18" x14ac:dyDescent="0.25">
      <c r="B47" s="296"/>
      <c r="C47" s="124"/>
      <c r="D47" s="25"/>
      <c r="E47" s="26"/>
      <c r="F47" s="26"/>
      <c r="G47" s="26"/>
      <c r="H47" s="26"/>
      <c r="I47" s="26"/>
      <c r="J47" s="26"/>
      <c r="K47" s="27"/>
      <c r="L47" s="27"/>
      <c r="M47" s="27"/>
      <c r="N47" s="27"/>
      <c r="O47" s="27"/>
      <c r="R47" s="20"/>
    </row>
    <row r="48" spans="2:18" ht="18.75" customHeight="1" x14ac:dyDescent="0.25">
      <c r="B48" s="296"/>
      <c r="C48" s="301" t="s">
        <v>130</v>
      </c>
      <c r="D48" s="28"/>
      <c r="E48" s="28"/>
      <c r="F48" s="325"/>
      <c r="G48" s="325"/>
      <c r="H48" s="325"/>
      <c r="I48" s="325"/>
      <c r="J48" s="325"/>
      <c r="K48" s="326"/>
      <c r="L48" s="325"/>
      <c r="M48" s="325"/>
      <c r="N48" s="20"/>
      <c r="O48" s="20"/>
      <c r="R48" s="20"/>
    </row>
    <row r="49" spans="2:18" ht="45" x14ac:dyDescent="0.25">
      <c r="B49" s="296"/>
      <c r="C49" s="302" t="s">
        <v>22</v>
      </c>
      <c r="D49" s="302" t="s">
        <v>242</v>
      </c>
      <c r="E49" s="59" t="s">
        <v>241</v>
      </c>
      <c r="F49" s="296"/>
      <c r="G49" s="296"/>
      <c r="H49" s="296"/>
      <c r="I49" s="296"/>
      <c r="J49" s="296"/>
      <c r="K49" s="296"/>
      <c r="L49" s="296"/>
      <c r="M49" s="296"/>
      <c r="R49" s="20"/>
    </row>
    <row r="50" spans="2:18" ht="23.25" customHeight="1" x14ac:dyDescent="0.25">
      <c r="B50" s="296"/>
      <c r="C50" s="60">
        <v>3</v>
      </c>
      <c r="D50" s="60">
        <f>N42</f>
        <v>71960</v>
      </c>
      <c r="E50" s="116">
        <f>C50*D50</f>
        <v>215880</v>
      </c>
      <c r="F50" s="296"/>
      <c r="G50" s="296"/>
      <c r="H50" s="296"/>
      <c r="I50" s="296"/>
      <c r="J50" s="296"/>
      <c r="K50" s="296"/>
      <c r="L50" s="296"/>
      <c r="M50" s="296"/>
      <c r="R50" s="20"/>
    </row>
    <row r="51" spans="2:18" x14ac:dyDescent="0.25">
      <c r="B51" s="296"/>
      <c r="C51" s="296"/>
      <c r="D51" s="296"/>
      <c r="E51" s="296"/>
      <c r="F51" s="296"/>
      <c r="G51" s="296"/>
      <c r="H51" s="296"/>
      <c r="I51" s="296"/>
      <c r="J51" s="296"/>
      <c r="K51" s="296"/>
      <c r="L51" s="296"/>
      <c r="M51" s="296"/>
      <c r="R51" s="20"/>
    </row>
    <row r="52" spans="2:18" x14ac:dyDescent="0.25">
      <c r="B52" s="296"/>
      <c r="C52" s="296"/>
      <c r="D52" s="296"/>
      <c r="E52" s="296"/>
      <c r="F52" s="296"/>
      <c r="G52" s="296"/>
      <c r="H52" s="296"/>
      <c r="I52" s="296"/>
      <c r="J52" s="296"/>
      <c r="K52" s="296"/>
      <c r="L52" s="296"/>
      <c r="M52" s="327"/>
      <c r="R52" s="20"/>
    </row>
    <row r="53" spans="2:18" x14ac:dyDescent="0.25">
      <c r="B53" s="296"/>
      <c r="C53" s="296"/>
      <c r="D53" s="296"/>
      <c r="E53" s="296"/>
      <c r="F53" s="296"/>
      <c r="G53" s="296"/>
      <c r="H53" s="296"/>
      <c r="I53" s="296"/>
      <c r="J53" s="296"/>
      <c r="K53" s="296"/>
      <c r="L53" s="296"/>
      <c r="M53" s="296"/>
    </row>
    <row r="54" spans="2:18" ht="24" customHeight="1" x14ac:dyDescent="0.25">
      <c r="B54" s="296"/>
      <c r="C54" s="296"/>
      <c r="D54" s="296"/>
      <c r="E54" s="296"/>
      <c r="F54" s="296"/>
      <c r="G54" s="296"/>
      <c r="H54" s="296"/>
      <c r="I54" s="296"/>
      <c r="J54" s="296"/>
      <c r="K54" s="296"/>
      <c r="L54" s="296"/>
      <c r="M54" s="296"/>
    </row>
    <row r="55" spans="2:18" s="20" customFormat="1" x14ac:dyDescent="0.25">
      <c r="B55" s="325"/>
      <c r="C55" s="325"/>
      <c r="D55" s="325"/>
      <c r="E55" s="325"/>
      <c r="F55" s="325"/>
      <c r="G55" s="325"/>
      <c r="H55" s="325"/>
      <c r="I55" s="325"/>
      <c r="J55" s="325"/>
      <c r="K55" s="325"/>
      <c r="L55" s="325"/>
      <c r="M55" s="325"/>
    </row>
    <row r="56" spans="2:18" s="20" customFormat="1" x14ac:dyDescent="0.25">
      <c r="B56" s="325"/>
      <c r="C56" s="325"/>
      <c r="D56" s="325"/>
      <c r="E56" s="325"/>
      <c r="F56" s="325"/>
      <c r="G56" s="325"/>
      <c r="H56" s="325"/>
      <c r="I56" s="325"/>
      <c r="J56" s="325"/>
      <c r="K56" s="325"/>
      <c r="L56" s="325"/>
      <c r="M56" s="325"/>
    </row>
    <row r="57" spans="2:18" s="20" customFormat="1" x14ac:dyDescent="0.25">
      <c r="B57" s="325"/>
      <c r="C57" s="325"/>
      <c r="D57" s="325"/>
      <c r="E57" s="325"/>
      <c r="F57" s="325"/>
      <c r="G57" s="325"/>
      <c r="H57" s="325"/>
      <c r="I57" s="325"/>
      <c r="J57" s="325"/>
      <c r="K57" s="325"/>
      <c r="L57" s="325"/>
      <c r="M57" s="325"/>
    </row>
  </sheetData>
  <mergeCells count="37">
    <mergeCell ref="D28:E28"/>
    <mergeCell ref="D29:E29"/>
    <mergeCell ref="D30:E30"/>
    <mergeCell ref="B5:C5"/>
    <mergeCell ref="B6:C6"/>
    <mergeCell ref="D14:E14"/>
    <mergeCell ref="D15:E15"/>
    <mergeCell ref="D16:E16"/>
    <mergeCell ref="D19:E19"/>
    <mergeCell ref="D9:E9"/>
    <mergeCell ref="D10:E10"/>
    <mergeCell ref="D11:E11"/>
    <mergeCell ref="D12:E12"/>
    <mergeCell ref="D13:E13"/>
    <mergeCell ref="D17:E17"/>
    <mergeCell ref="D18:E18"/>
    <mergeCell ref="D23:E23"/>
    <mergeCell ref="D24:E24"/>
    <mergeCell ref="D25:E25"/>
    <mergeCell ref="D26:E26"/>
    <mergeCell ref="D27:E27"/>
    <mergeCell ref="B31:B32"/>
    <mergeCell ref="C31:C32"/>
    <mergeCell ref="D31:E31"/>
    <mergeCell ref="C37:C38"/>
    <mergeCell ref="D37:D38"/>
    <mergeCell ref="E37:F37"/>
    <mergeCell ref="F31:F32"/>
    <mergeCell ref="D32:E32"/>
    <mergeCell ref="N37:N38"/>
    <mergeCell ref="D33:E33"/>
    <mergeCell ref="G37:H37"/>
    <mergeCell ref="I37:I38"/>
    <mergeCell ref="K37:K38"/>
    <mergeCell ref="L37:L38"/>
    <mergeCell ref="M37:M38"/>
    <mergeCell ref="J37:J38"/>
  </mergeCells>
  <pageMargins left="0.19685039370078741" right="0.15748031496062992" top="0.27559055118110237" bottom="0.19685039370078741" header="0.15748031496062992" footer="0.15748031496062992"/>
  <pageSetup paperSize="9" scale="60" fitToHeight="0" orientation="landscape" r:id="rId1"/>
  <headerFooter>
    <oddFooter>&amp;L(TA-1235)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40"/>
  <sheetViews>
    <sheetView showGridLines="0" view="pageLayout" topLeftCell="A29" zoomScaleNormal="90" workbookViewId="0">
      <selection activeCell="D40" sqref="D40"/>
    </sheetView>
  </sheetViews>
  <sheetFormatPr defaultColWidth="9.140625" defaultRowHeight="15" x14ac:dyDescent="0.25"/>
  <cols>
    <col min="1" max="1" width="3.7109375" style="8" customWidth="1"/>
    <col min="2" max="2" width="52" style="8" customWidth="1"/>
    <col min="3" max="3" width="13.85546875" style="8" customWidth="1"/>
    <col min="4" max="4" width="15.85546875" style="8" customWidth="1"/>
    <col min="5" max="5" width="16.140625" style="8" customWidth="1"/>
    <col min="6" max="6" width="15.42578125" style="8" customWidth="1"/>
    <col min="7" max="7" width="16.140625" style="8" customWidth="1"/>
    <col min="8" max="8" width="15.28515625" style="8" customWidth="1"/>
    <col min="9" max="9" width="15.5703125" style="8" customWidth="1"/>
    <col min="10" max="16384" width="9.140625" style="8"/>
  </cols>
  <sheetData>
    <row r="1" spans="2:14" x14ac:dyDescent="0.25">
      <c r="I1" s="108" t="s">
        <v>134</v>
      </c>
    </row>
    <row r="3" spans="2:14" s="12" customFormat="1" ht="57" customHeight="1" x14ac:dyDescent="0.25">
      <c r="B3" s="592" t="s">
        <v>92</v>
      </c>
      <c r="C3" s="592"/>
      <c r="D3" s="592"/>
      <c r="E3" s="592"/>
      <c r="F3" s="592"/>
      <c r="G3" s="592"/>
      <c r="H3" s="592"/>
      <c r="I3" s="592"/>
    </row>
    <row r="4" spans="2:14" ht="15" customHeight="1" x14ac:dyDescent="0.25"/>
    <row r="5" spans="2:14" ht="94.5" x14ac:dyDescent="0.25">
      <c r="B5" s="593" t="s">
        <v>194</v>
      </c>
      <c r="C5" s="594"/>
      <c r="D5" s="131" t="s">
        <v>199</v>
      </c>
      <c r="E5" s="131" t="s">
        <v>200</v>
      </c>
      <c r="F5" s="131" t="s">
        <v>201</v>
      </c>
    </row>
    <row r="6" spans="2:14" ht="32.25" customHeight="1" x14ac:dyDescent="0.25">
      <c r="B6" s="595" t="s">
        <v>188</v>
      </c>
      <c r="C6" s="596"/>
      <c r="D6" s="200">
        <f>E17</f>
        <v>221551.2</v>
      </c>
      <c r="E6" s="200">
        <f>D6</f>
        <v>221551.2</v>
      </c>
      <c r="F6" s="200">
        <f>E6</f>
        <v>221551.2</v>
      </c>
    </row>
    <row r="7" spans="2:14" ht="15" customHeight="1" x14ac:dyDescent="0.25">
      <c r="B7" s="132"/>
    </row>
    <row r="8" spans="2:14" ht="15" customHeight="1" x14ac:dyDescent="0.25">
      <c r="B8" s="597" t="s">
        <v>192</v>
      </c>
      <c r="C8" s="597"/>
      <c r="D8" s="597"/>
      <c r="E8" s="597"/>
      <c r="F8" s="88"/>
      <c r="G8" s="88"/>
      <c r="H8" s="88"/>
      <c r="I8" s="13"/>
    </row>
    <row r="9" spans="2:14" ht="15" customHeight="1" x14ac:dyDescent="0.25">
      <c r="B9" s="597"/>
      <c r="C9" s="597"/>
      <c r="D9" s="597"/>
      <c r="E9" s="597"/>
      <c r="F9" s="88"/>
      <c r="G9" s="88"/>
      <c r="H9" s="88"/>
      <c r="I9" s="13"/>
    </row>
    <row r="10" spans="2:14" ht="15" customHeight="1" x14ac:dyDescent="0.25">
      <c r="B10" s="130"/>
      <c r="C10" s="130"/>
      <c r="D10" s="130"/>
      <c r="E10" s="130"/>
      <c r="F10" s="88"/>
      <c r="G10" s="88"/>
      <c r="H10" s="88"/>
      <c r="I10" s="13"/>
    </row>
    <row r="11" spans="2:14" x14ac:dyDescent="0.25">
      <c r="B11" s="10" t="s">
        <v>21</v>
      </c>
    </row>
    <row r="12" spans="2:14" ht="89.25" customHeight="1" x14ac:dyDescent="0.25">
      <c r="B12" s="85"/>
      <c r="C12" s="17" t="s">
        <v>20</v>
      </c>
      <c r="D12" s="17" t="s">
        <v>43</v>
      </c>
      <c r="E12" s="86" t="s">
        <v>51</v>
      </c>
      <c r="F12" s="9"/>
      <c r="G12" s="9"/>
      <c r="H12" s="9"/>
    </row>
    <row r="13" spans="2:14" ht="15.75" x14ac:dyDescent="0.25">
      <c r="B13" s="204" t="s">
        <v>49</v>
      </c>
      <c r="C13" s="205">
        <v>24.35</v>
      </c>
      <c r="D13" s="206">
        <f>G26</f>
        <v>5616</v>
      </c>
      <c r="E13" s="207">
        <f>C13*D13</f>
        <v>136749.6</v>
      </c>
      <c r="F13" s="109"/>
      <c r="G13" s="9"/>
      <c r="H13" s="9"/>
      <c r="I13" s="14"/>
      <c r="J13" s="14"/>
      <c r="K13" s="14"/>
      <c r="L13" s="14"/>
      <c r="M13" s="14"/>
      <c r="N13" s="14"/>
    </row>
    <row r="14" spans="2:14" ht="45" x14ac:dyDescent="0.25">
      <c r="B14" s="208" t="s">
        <v>50</v>
      </c>
      <c r="C14" s="205">
        <v>3.43</v>
      </c>
      <c r="D14" s="209">
        <f>5616*2</f>
        <v>11232</v>
      </c>
      <c r="E14" s="207">
        <f t="shared" ref="E14:E16" si="0">C14*D14</f>
        <v>38525.760000000002</v>
      </c>
      <c r="F14" s="109"/>
      <c r="G14" s="14"/>
      <c r="H14" s="14"/>
      <c r="I14" s="14"/>
      <c r="J14" s="14"/>
      <c r="K14" s="14"/>
      <c r="L14" s="14"/>
      <c r="M14" s="14"/>
      <c r="N14" s="14"/>
    </row>
    <row r="15" spans="2:14" ht="45" x14ac:dyDescent="0.25">
      <c r="B15" s="208" t="s">
        <v>53</v>
      </c>
      <c r="C15" s="210">
        <v>2.12</v>
      </c>
      <c r="D15" s="209">
        <f>5616*2</f>
        <v>11232</v>
      </c>
      <c r="E15" s="207">
        <f t="shared" si="0"/>
        <v>23811.84</v>
      </c>
      <c r="F15" s="109"/>
      <c r="G15" s="133"/>
      <c r="H15" s="12"/>
      <c r="I15" s="12"/>
      <c r="J15" s="12"/>
      <c r="K15" s="12"/>
      <c r="L15" s="12"/>
      <c r="M15" s="12"/>
      <c r="N15" s="12"/>
    </row>
    <row r="16" spans="2:14" ht="45" x14ac:dyDescent="0.25">
      <c r="B16" s="211" t="s">
        <v>54</v>
      </c>
      <c r="C16" s="210">
        <v>1</v>
      </c>
      <c r="D16" s="209">
        <f>D15*2</f>
        <v>22464</v>
      </c>
      <c r="E16" s="207">
        <f t="shared" si="0"/>
        <v>22464</v>
      </c>
      <c r="F16" s="109"/>
      <c r="G16" s="133"/>
      <c r="H16" s="12"/>
      <c r="I16" s="12"/>
      <c r="J16" s="12"/>
      <c r="K16" s="12"/>
      <c r="L16" s="12"/>
      <c r="M16" s="12"/>
      <c r="N16" s="12"/>
    </row>
    <row r="17" spans="2:16" ht="15.75" x14ac:dyDescent="0.25">
      <c r="B17" s="212" t="s">
        <v>5</v>
      </c>
      <c r="C17" s="210"/>
      <c r="D17" s="209">
        <f>SUM(D13:D16)</f>
        <v>50544</v>
      </c>
      <c r="E17" s="217">
        <f>SUM(E13:E16)</f>
        <v>221551.2</v>
      </c>
      <c r="G17" s="1"/>
      <c r="H17" s="12"/>
      <c r="I17" s="12"/>
      <c r="J17" s="12"/>
      <c r="K17" s="12"/>
      <c r="L17" s="12"/>
      <c r="M17" s="12"/>
      <c r="N17" s="12"/>
    </row>
    <row r="18" spans="2:16" ht="27.75" customHeight="1" x14ac:dyDescent="0.25">
      <c r="B18" s="598" t="s">
        <v>247</v>
      </c>
      <c r="C18" s="598"/>
      <c r="D18" s="598"/>
      <c r="E18" s="598"/>
      <c r="I18" s="1"/>
      <c r="J18" s="12"/>
      <c r="K18" s="12"/>
      <c r="L18" s="12"/>
      <c r="M18" s="12"/>
      <c r="N18" s="12"/>
      <c r="O18" s="12"/>
      <c r="P18" s="12"/>
    </row>
    <row r="19" spans="2:16" ht="15.75" x14ac:dyDescent="0.25">
      <c r="B19" s="213" t="s">
        <v>48</v>
      </c>
      <c r="C19" s="214"/>
      <c r="D19" s="215"/>
      <c r="E19" s="216"/>
      <c r="I19" s="1"/>
      <c r="J19" s="12"/>
      <c r="K19" s="12"/>
      <c r="L19" s="12"/>
      <c r="M19" s="12"/>
      <c r="N19" s="12"/>
      <c r="O19" s="12"/>
      <c r="P19" s="12"/>
    </row>
    <row r="20" spans="2:16" ht="15.75" x14ac:dyDescent="0.25">
      <c r="B20" s="12" t="s">
        <v>52</v>
      </c>
      <c r="C20" s="16"/>
      <c r="D20" s="15"/>
      <c r="I20" s="1"/>
      <c r="J20" s="12"/>
      <c r="K20" s="12"/>
      <c r="L20" s="12"/>
      <c r="M20" s="12"/>
      <c r="N20" s="12"/>
      <c r="O20" s="12"/>
      <c r="P20" s="12"/>
    </row>
    <row r="21" spans="2:16" ht="29.25" customHeight="1" x14ac:dyDescent="0.25">
      <c r="B21" s="599" t="s">
        <v>56</v>
      </c>
      <c r="C21" s="599"/>
      <c r="D21" s="599"/>
      <c r="E21" s="599"/>
      <c r="F21" s="87"/>
      <c r="G21" s="87"/>
      <c r="I21" s="1"/>
      <c r="J21" s="12"/>
      <c r="K21" s="12"/>
      <c r="L21" s="12"/>
      <c r="M21" s="12"/>
      <c r="N21" s="12"/>
      <c r="O21" s="12"/>
      <c r="P21" s="12"/>
    </row>
    <row r="23" spans="2:16" s="216" customFormat="1" x14ac:dyDescent="0.25">
      <c r="B23" s="218" t="s">
        <v>248</v>
      </c>
      <c r="C23" s="218"/>
      <c r="D23" s="218"/>
      <c r="E23" s="218"/>
      <c r="F23" s="218"/>
      <c r="G23" s="218"/>
    </row>
    <row r="24" spans="2:16" ht="30.75" customHeight="1" x14ac:dyDescent="0.25">
      <c r="B24" s="589" t="s">
        <v>249</v>
      </c>
      <c r="C24" s="590" t="s">
        <v>250</v>
      </c>
      <c r="D24" s="590"/>
      <c r="E24" s="590"/>
      <c r="F24" s="591" t="s">
        <v>251</v>
      </c>
      <c r="G24" s="591"/>
      <c r="H24" s="9"/>
      <c r="I24" s="9"/>
      <c r="J24" s="9"/>
    </row>
    <row r="25" spans="2:16" ht="60" x14ac:dyDescent="0.25">
      <c r="B25" s="589"/>
      <c r="C25" s="134" t="s">
        <v>5</v>
      </c>
      <c r="D25" s="135" t="s">
        <v>252</v>
      </c>
      <c r="E25" s="135" t="s">
        <v>253</v>
      </c>
      <c r="F25" s="136" t="s">
        <v>254</v>
      </c>
      <c r="G25" s="135" t="s">
        <v>255</v>
      </c>
      <c r="H25" s="9"/>
      <c r="I25" s="9"/>
      <c r="J25" s="9"/>
    </row>
    <row r="26" spans="2:16" x14ac:dyDescent="0.25">
      <c r="B26" s="137" t="s">
        <v>256</v>
      </c>
      <c r="C26" s="138">
        <f>D26+E26</f>
        <v>4679</v>
      </c>
      <c r="D26" s="139">
        <v>4150</v>
      </c>
      <c r="E26" s="140">
        <v>529</v>
      </c>
      <c r="F26" s="141">
        <f>ROUND(C26*20/100,0)</f>
        <v>936</v>
      </c>
      <c r="G26" s="142">
        <f>F26*6</f>
        <v>5616</v>
      </c>
      <c r="H26" s="9"/>
      <c r="I26" s="9"/>
      <c r="J26" s="9"/>
    </row>
    <row r="27" spans="2:16" x14ac:dyDescent="0.25">
      <c r="H27" s="9"/>
      <c r="I27" s="9"/>
      <c r="J27" s="9"/>
    </row>
    <row r="28" spans="2:16" x14ac:dyDescent="0.25">
      <c r="B28" s="143" t="s">
        <v>257</v>
      </c>
      <c r="H28" s="9"/>
      <c r="I28" s="9"/>
      <c r="J28" s="9"/>
    </row>
    <row r="29" spans="2:16" x14ac:dyDescent="0.25">
      <c r="B29" s="144" t="s">
        <v>258</v>
      </c>
      <c r="H29" s="9"/>
      <c r="I29" s="9"/>
      <c r="J29" s="9"/>
    </row>
    <row r="30" spans="2:16" x14ac:dyDescent="0.25">
      <c r="B30" s="143" t="s">
        <v>259</v>
      </c>
      <c r="C30" s="145" t="s">
        <v>260</v>
      </c>
      <c r="H30" s="9"/>
      <c r="I30" s="9"/>
      <c r="J30" s="9"/>
    </row>
    <row r="31" spans="2:16" x14ac:dyDescent="0.25">
      <c r="B31" s="143" t="s">
        <v>261</v>
      </c>
      <c r="C31" s="145" t="s">
        <v>4</v>
      </c>
      <c r="H31" s="9"/>
      <c r="I31" s="9"/>
      <c r="J31" s="9"/>
    </row>
    <row r="32" spans="2:16" x14ac:dyDescent="0.25">
      <c r="B32" s="143" t="s">
        <v>262</v>
      </c>
      <c r="C32" s="145" t="s">
        <v>3</v>
      </c>
    </row>
    <row r="33" spans="2:3" x14ac:dyDescent="0.25">
      <c r="B33" s="143" t="s">
        <v>263</v>
      </c>
      <c r="C33" s="145" t="s">
        <v>2</v>
      </c>
    </row>
    <row r="34" spans="2:3" x14ac:dyDescent="0.25">
      <c r="B34" s="143" t="s">
        <v>264</v>
      </c>
      <c r="C34" s="145" t="s">
        <v>0</v>
      </c>
    </row>
    <row r="35" spans="2:3" x14ac:dyDescent="0.25">
      <c r="B35" s="143" t="s">
        <v>265</v>
      </c>
      <c r="C35" s="145" t="s">
        <v>266</v>
      </c>
    </row>
    <row r="36" spans="2:3" x14ac:dyDescent="0.25">
      <c r="B36" s="143" t="s">
        <v>267</v>
      </c>
      <c r="C36" s="143" t="s">
        <v>268</v>
      </c>
    </row>
    <row r="38" spans="2:3" x14ac:dyDescent="0.25">
      <c r="B38" s="8" t="s">
        <v>269</v>
      </c>
    </row>
    <row r="39" spans="2:3" ht="31.5" x14ac:dyDescent="0.25">
      <c r="B39" s="146" t="s">
        <v>270</v>
      </c>
      <c r="C39" s="147" t="s">
        <v>271</v>
      </c>
    </row>
    <row r="40" spans="2:3" ht="78.75" x14ac:dyDescent="0.25">
      <c r="B40" s="146" t="s">
        <v>272</v>
      </c>
      <c r="C40" s="148" t="s">
        <v>273</v>
      </c>
    </row>
  </sheetData>
  <mergeCells count="9">
    <mergeCell ref="B24:B25"/>
    <mergeCell ref="C24:E24"/>
    <mergeCell ref="F24:G24"/>
    <mergeCell ref="B3:I3"/>
    <mergeCell ref="B5:C5"/>
    <mergeCell ref="B6:C6"/>
    <mergeCell ref="B8:E9"/>
    <mergeCell ref="B18:E18"/>
    <mergeCell ref="B21:E21"/>
  </mergeCells>
  <pageMargins left="0.27559055118110237" right="0.15748031496062992" top="0.35433070866141736" bottom="0.27559055118110237" header="0.15748031496062992" footer="0.15748031496062992"/>
  <pageSetup paperSize="9" scale="70" orientation="landscape" r:id="rId1"/>
  <headerFooter>
    <oddFooter>&amp;L(TA-1235)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Kopsavilkums</vt:lpstr>
      <vt:lpstr>1.1.</vt:lpstr>
      <vt:lpstr>3.4.</vt:lpstr>
      <vt:lpstr>3.5.</vt:lpstr>
      <vt:lpstr>4.1.</vt:lpstr>
      <vt:lpstr>4.2.</vt:lpstr>
      <vt:lpstr>4.3.</vt:lpstr>
      <vt:lpstr>4.4.</vt:lpstr>
      <vt:lpstr>4.5.</vt:lpstr>
      <vt:lpstr>4.6.</vt:lpstr>
      <vt:lpstr>4.9.</vt:lpstr>
      <vt:lpstr>'4.5.'!Print_Area</vt:lpstr>
      <vt:lpstr>'4.9.'!Print_Area</vt:lpstr>
      <vt:lpstr>Kopsavilkums!Print_Area</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Supulniece</dc:creator>
  <cp:lastModifiedBy>Anna Putane</cp:lastModifiedBy>
  <cp:lastPrinted>2020-07-31T07:05:34Z</cp:lastPrinted>
  <dcterms:created xsi:type="dcterms:W3CDTF">2019-08-08T04:39:44Z</dcterms:created>
  <dcterms:modified xsi:type="dcterms:W3CDTF">2020-07-31T07:05:41Z</dcterms:modified>
</cp:coreProperties>
</file>