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defaultThemeVersion="124226"/>
  <xr:revisionPtr revIDLastSave="0" documentId="13_ncr:1_{26D3403B-25B0-43A5-96FC-2BA8C2AB15A8}" xr6:coauthVersionLast="36" xr6:coauthVersionMax="36" xr10:uidLastSave="{00000000-0000-0000-0000-000000000000}"/>
  <bookViews>
    <workbookView xWindow="0" yWindow="0" windowWidth="28800" windowHeight="12225" tabRatio="945" xr2:uid="{00000000-000D-0000-FFFF-FFFF00000000}"/>
  </bookViews>
  <sheets>
    <sheet name="Pielikums_Anot_III_kopsavilkums" sheetId="52" r:id="rId1"/>
    <sheet name="1." sheetId="35" r:id="rId2"/>
    <sheet name="1.1." sheetId="38" r:id="rId3"/>
    <sheet name="1.2." sheetId="45" r:id="rId4"/>
    <sheet name="1.3." sheetId="34" r:id="rId5"/>
    <sheet name="1.4." sheetId="1" r:id="rId6"/>
    <sheet name="2" sheetId="48" r:id="rId7"/>
    <sheet name="Sheet5" sheetId="46" r:id="rId8"/>
    <sheet name="Sheet4" sheetId="50" r:id="rId9"/>
    <sheet name="Sheet3" sheetId="51" r:id="rId10"/>
    <sheet name="Sheet2" sheetId="42" r:id="rId11"/>
    <sheet name="Sheet1" sheetId="54" r:id="rId12"/>
    <sheet name="Sheet" sheetId="53" r:id="rId13"/>
  </sheets>
  <externalReferences>
    <externalReference r:id="rId14"/>
  </externalReferences>
  <definedNames>
    <definedName name="_xlnm._FilterDatabase" localSheetId="7" hidden="1">Sheet5!$A$4:$Q$231</definedName>
    <definedName name="_xlnm.Print_Titles" localSheetId="10">Sheet2!$4:$5</definedName>
  </definedNames>
  <calcPr calcId="191029" calcOnSave="0" concurrentCalc="0"/>
</workbook>
</file>

<file path=xl/calcChain.xml><?xml version="1.0" encoding="utf-8"?>
<calcChain xmlns="http://schemas.openxmlformats.org/spreadsheetml/2006/main">
  <c r="S28" i="38" l="1"/>
  <c r="S27" i="38"/>
  <c r="A3" i="48"/>
  <c r="A2" i="48"/>
  <c r="A1" i="48"/>
  <c r="A4" i="38"/>
  <c r="C3" i="38"/>
  <c r="A2" i="1"/>
  <c r="A1" i="1"/>
  <c r="A4" i="34"/>
  <c r="G3" i="34"/>
  <c r="L4" i="45"/>
  <c r="L3" i="45"/>
  <c r="AL4" i="35"/>
  <c r="AL3" i="35"/>
  <c r="AB36" i="35"/>
  <c r="E48" i="34"/>
  <c r="E81" i="34"/>
  <c r="E49" i="34"/>
  <c r="E82" i="34"/>
  <c r="C84" i="34"/>
  <c r="D127" i="35"/>
  <c r="AJ34" i="35"/>
  <c r="G18" i="45"/>
  <c r="J18" i="45"/>
  <c r="G19" i="45"/>
  <c r="J19" i="45"/>
  <c r="G20" i="45"/>
  <c r="J20" i="45"/>
  <c r="G21" i="45"/>
  <c r="J21" i="45"/>
  <c r="G22" i="45"/>
  <c r="J22" i="45"/>
  <c r="G23" i="45"/>
  <c r="J23" i="45"/>
  <c r="H18" i="45"/>
  <c r="K18" i="45"/>
  <c r="H19" i="45"/>
  <c r="K19" i="45"/>
  <c r="H20" i="45"/>
  <c r="K20" i="45"/>
  <c r="H21" i="45"/>
  <c r="K21" i="45"/>
  <c r="H22" i="45"/>
  <c r="K22" i="45"/>
  <c r="H23" i="45"/>
  <c r="K23" i="45"/>
  <c r="J24" i="45"/>
  <c r="D126" i="35"/>
  <c r="AJ33" i="35"/>
  <c r="C51" i="34"/>
  <c r="D83" i="35"/>
  <c r="AC34" i="35"/>
  <c r="G24" i="45"/>
  <c r="D82" i="35"/>
  <c r="AC33" i="35"/>
  <c r="AJ127" i="35"/>
  <c r="AJ126" i="35"/>
  <c r="AJ125" i="35"/>
  <c r="AJ118" i="35"/>
  <c r="AK118" i="35"/>
  <c r="AL118" i="35"/>
  <c r="AJ119" i="35"/>
  <c r="AK119" i="35"/>
  <c r="AL119" i="35"/>
  <c r="AJ120" i="35"/>
  <c r="AK120" i="35"/>
  <c r="AL120" i="35"/>
  <c r="AL121" i="35"/>
  <c r="AK121" i="35"/>
  <c r="AJ121" i="35"/>
  <c r="AI22" i="35"/>
  <c r="AI69" i="35"/>
  <c r="AI113" i="35"/>
  <c r="AI120" i="35"/>
  <c r="AI21" i="35"/>
  <c r="AI68" i="35"/>
  <c r="AI112" i="35"/>
  <c r="AI119" i="35"/>
  <c r="AI20" i="35"/>
  <c r="AI67" i="35"/>
  <c r="AI111" i="35"/>
  <c r="AI118" i="35"/>
  <c r="AJ111" i="35"/>
  <c r="AL111" i="35"/>
  <c r="AJ112" i="35"/>
  <c r="AL112" i="35"/>
  <c r="AJ113" i="35"/>
  <c r="AL113" i="35"/>
  <c r="AL114" i="35"/>
  <c r="AK114" i="35"/>
  <c r="AJ114" i="35"/>
  <c r="AJ103" i="35"/>
  <c r="AK103" i="35"/>
  <c r="AL103" i="35"/>
  <c r="AJ104" i="35"/>
  <c r="AK104" i="35"/>
  <c r="AL104" i="35"/>
  <c r="AJ105" i="35"/>
  <c r="AK105" i="35"/>
  <c r="AL105" i="35"/>
  <c r="AL106" i="35"/>
  <c r="AK106" i="35"/>
  <c r="AJ106" i="35"/>
  <c r="AJ83" i="35"/>
  <c r="AJ82" i="35"/>
  <c r="AJ81" i="35"/>
  <c r="AJ74" i="35"/>
  <c r="AK74" i="35"/>
  <c r="AL74" i="35"/>
  <c r="AJ75" i="35"/>
  <c r="AK75" i="35"/>
  <c r="AL75" i="35"/>
  <c r="AJ76" i="35"/>
  <c r="AK76" i="35"/>
  <c r="AL76" i="35"/>
  <c r="AL77" i="35"/>
  <c r="AK77" i="35"/>
  <c r="AJ77" i="35"/>
  <c r="AI76" i="35"/>
  <c r="AI75" i="35"/>
  <c r="AI74" i="35"/>
  <c r="AJ67" i="35"/>
  <c r="AL67" i="35"/>
  <c r="AJ68" i="35"/>
  <c r="AL68" i="35"/>
  <c r="AJ69" i="35"/>
  <c r="AL69" i="35"/>
  <c r="AL70" i="35"/>
  <c r="AK70" i="35"/>
  <c r="AJ70" i="35"/>
  <c r="AJ59" i="35"/>
  <c r="AK59" i="35"/>
  <c r="AL59" i="35"/>
  <c r="AJ60" i="35"/>
  <c r="AK60" i="35"/>
  <c r="AL60" i="35"/>
  <c r="AJ61" i="35"/>
  <c r="AK61" i="35"/>
  <c r="AL61" i="35"/>
  <c r="AL62" i="35"/>
  <c r="AK62" i="35"/>
  <c r="AJ62" i="35"/>
  <c r="AJ32" i="35"/>
  <c r="AI29" i="35"/>
  <c r="AI28" i="35"/>
  <c r="AI27" i="35"/>
  <c r="AJ12" i="35"/>
  <c r="AK12" i="35"/>
  <c r="AL12" i="35"/>
  <c r="AJ13" i="35"/>
  <c r="AK13" i="35"/>
  <c r="AL13" i="35"/>
  <c r="AJ14" i="35"/>
  <c r="AK14" i="35"/>
  <c r="AL14" i="35"/>
  <c r="AL15" i="35"/>
  <c r="AK15" i="35"/>
  <c r="AJ15" i="35"/>
  <c r="AC127" i="35"/>
  <c r="AC126" i="35"/>
  <c r="AC125" i="35"/>
  <c r="AC118" i="35"/>
  <c r="AD118" i="35"/>
  <c r="AE118" i="35"/>
  <c r="AC119" i="35"/>
  <c r="AD119" i="35"/>
  <c r="AE119" i="35"/>
  <c r="AC120" i="35"/>
  <c r="AD120" i="35"/>
  <c r="AE120" i="35"/>
  <c r="AE121" i="35"/>
  <c r="AD121" i="35"/>
  <c r="AC121" i="35"/>
  <c r="AB22" i="35"/>
  <c r="AB69" i="35"/>
  <c r="AB113" i="35"/>
  <c r="AB120" i="35"/>
  <c r="AB21" i="35"/>
  <c r="AB68" i="35"/>
  <c r="AB112" i="35"/>
  <c r="AB119" i="35"/>
  <c r="AB20" i="35"/>
  <c r="AB67" i="35"/>
  <c r="AB111" i="35"/>
  <c r="AB118" i="35"/>
  <c r="AC111" i="35"/>
  <c r="AE111" i="35"/>
  <c r="AC112" i="35"/>
  <c r="AE112" i="35"/>
  <c r="AC113" i="35"/>
  <c r="AE113" i="35"/>
  <c r="AE114" i="35"/>
  <c r="AD114" i="35"/>
  <c r="AC114" i="35"/>
  <c r="AC103" i="35"/>
  <c r="AD103" i="35"/>
  <c r="AE103" i="35"/>
  <c r="AC104" i="35"/>
  <c r="AD104" i="35"/>
  <c r="AE104" i="35"/>
  <c r="AC105" i="35"/>
  <c r="AD105" i="35"/>
  <c r="AE105" i="35"/>
  <c r="AE106" i="35"/>
  <c r="AD106" i="35"/>
  <c r="AC106" i="35"/>
  <c r="AC83" i="35"/>
  <c r="AC82" i="35"/>
  <c r="AC81" i="35"/>
  <c r="AC74" i="35"/>
  <c r="AD74" i="35"/>
  <c r="AE74" i="35"/>
  <c r="AC75" i="35"/>
  <c r="AD75" i="35"/>
  <c r="AE75" i="35"/>
  <c r="AC76" i="35"/>
  <c r="AD76" i="35"/>
  <c r="AE76" i="35"/>
  <c r="AE77" i="35"/>
  <c r="AD77" i="35"/>
  <c r="AC77" i="35"/>
  <c r="AB76" i="35"/>
  <c r="AB75" i="35"/>
  <c r="AB74" i="35"/>
  <c r="AC67" i="35"/>
  <c r="AE67" i="35"/>
  <c r="AC68" i="35"/>
  <c r="AE68" i="35"/>
  <c r="AC69" i="35"/>
  <c r="AE69" i="35"/>
  <c r="AE70" i="35"/>
  <c r="AD70" i="35"/>
  <c r="AC70" i="35"/>
  <c r="AC59" i="35"/>
  <c r="AD59" i="35"/>
  <c r="AE59" i="35"/>
  <c r="AC60" i="35"/>
  <c r="AD60" i="35"/>
  <c r="AE60" i="35"/>
  <c r="AC61" i="35"/>
  <c r="AD61" i="35"/>
  <c r="AE61" i="35"/>
  <c r="AE62" i="35"/>
  <c r="AD62" i="35"/>
  <c r="AC62" i="35"/>
  <c r="AC32" i="35"/>
  <c r="AB29" i="35"/>
  <c r="AB28" i="35"/>
  <c r="AB27" i="35"/>
  <c r="AC12" i="35"/>
  <c r="AD12" i="35"/>
  <c r="AE12" i="35"/>
  <c r="AC13" i="35"/>
  <c r="AD13" i="35"/>
  <c r="AE13" i="35"/>
  <c r="AC14" i="35"/>
  <c r="AD14" i="35"/>
  <c r="AE14" i="35"/>
  <c r="AE15" i="35"/>
  <c r="AD15" i="35"/>
  <c r="AC15" i="35"/>
  <c r="C6" i="54"/>
  <c r="F8" i="52"/>
  <c r="C8" i="52"/>
  <c r="Q8" i="52"/>
  <c r="S8" i="52"/>
  <c r="F9" i="52"/>
  <c r="C9" i="52"/>
  <c r="Q9" i="52"/>
  <c r="R9" i="52"/>
  <c r="S9" i="52"/>
  <c r="F10" i="52"/>
  <c r="C10" i="52"/>
  <c r="Q10" i="52"/>
  <c r="S10" i="52"/>
  <c r="F11" i="52"/>
  <c r="C11" i="52"/>
  <c r="Q11" i="52"/>
  <c r="S11" i="52"/>
  <c r="F12" i="52"/>
  <c r="C12" i="52"/>
  <c r="Q12" i="52"/>
  <c r="S12" i="52"/>
  <c r="F13" i="52"/>
  <c r="C13" i="52"/>
  <c r="Q13" i="52"/>
  <c r="S13" i="52"/>
  <c r="F14" i="52"/>
  <c r="C14" i="52"/>
  <c r="Q14" i="52"/>
  <c r="S14" i="52"/>
  <c r="S20" i="52"/>
  <c r="F6" i="54"/>
  <c r="F25" i="45"/>
  <c r="C18" i="45"/>
  <c r="F18" i="45"/>
  <c r="C19" i="45"/>
  <c r="F19" i="45"/>
  <c r="C20" i="45"/>
  <c r="F20" i="45"/>
  <c r="C21" i="45"/>
  <c r="F21" i="45"/>
  <c r="C22" i="45"/>
  <c r="F22" i="45"/>
  <c r="C23" i="45"/>
  <c r="F23" i="45"/>
  <c r="F24" i="45"/>
  <c r="F26" i="45"/>
  <c r="D20" i="35"/>
  <c r="G17" i="34"/>
  <c r="G18" i="34"/>
  <c r="G21" i="34"/>
  <c r="C28" i="34"/>
  <c r="D27" i="35"/>
  <c r="D12" i="35"/>
  <c r="D21" i="35"/>
  <c r="C29" i="34"/>
  <c r="D28" i="35"/>
  <c r="D13" i="35"/>
  <c r="F28" i="45"/>
  <c r="D22" i="35"/>
  <c r="C30" i="34"/>
  <c r="D29" i="35"/>
  <c r="D14" i="35"/>
  <c r="D15" i="35"/>
  <c r="C18" i="38"/>
  <c r="K14" i="46"/>
  <c r="K31" i="46"/>
  <c r="I15" i="52"/>
  <c r="D11" i="53"/>
  <c r="K15" i="46"/>
  <c r="K32" i="46"/>
  <c r="I16" i="52"/>
  <c r="D12" i="53"/>
  <c r="K16" i="46"/>
  <c r="K33" i="46"/>
  <c r="I17" i="52"/>
  <c r="D13" i="53"/>
  <c r="K17" i="46"/>
  <c r="K34" i="46"/>
  <c r="I18" i="52"/>
  <c r="D14" i="53"/>
  <c r="K18" i="46"/>
  <c r="K35" i="46"/>
  <c r="I19" i="52"/>
  <c r="D15" i="53"/>
  <c r="C7" i="54"/>
  <c r="L15" i="52"/>
  <c r="C15" i="52"/>
  <c r="E15" i="52"/>
  <c r="O15" i="52"/>
  <c r="L16" i="52"/>
  <c r="C16" i="52"/>
  <c r="E16" i="52"/>
  <c r="O16" i="52"/>
  <c r="L17" i="52"/>
  <c r="C17" i="52"/>
  <c r="E17" i="52"/>
  <c r="O17" i="52"/>
  <c r="L18" i="52"/>
  <c r="C18" i="52"/>
  <c r="E18" i="52"/>
  <c r="O18" i="52"/>
  <c r="L19" i="52"/>
  <c r="C19" i="52"/>
  <c r="E19" i="52"/>
  <c r="O19" i="52"/>
  <c r="F7" i="54"/>
  <c r="L24" i="52"/>
  <c r="C8" i="54"/>
  <c r="F8" i="54"/>
  <c r="C9" i="54"/>
  <c r="D16" i="53"/>
  <c r="C19" i="53"/>
  <c r="F9" i="54"/>
  <c r="F20" i="52"/>
  <c r="I20" i="52"/>
  <c r="E8" i="52"/>
  <c r="E9" i="52"/>
  <c r="E10" i="52"/>
  <c r="E11" i="52"/>
  <c r="E12" i="52"/>
  <c r="E13" i="52"/>
  <c r="E14" i="52"/>
  <c r="E20" i="52"/>
  <c r="R20" i="52"/>
  <c r="L23" i="52"/>
  <c r="C5" i="53"/>
  <c r="Q20" i="52"/>
  <c r="L8" i="52"/>
  <c r="L9" i="52"/>
  <c r="L10" i="52"/>
  <c r="L11" i="52"/>
  <c r="L12" i="52"/>
  <c r="L13" i="52"/>
  <c r="L14" i="52"/>
  <c r="L20" i="52"/>
  <c r="L22" i="52"/>
  <c r="I25" i="45"/>
  <c r="I18" i="45"/>
  <c r="I19" i="45"/>
  <c r="I20" i="45"/>
  <c r="I21" i="45"/>
  <c r="I22" i="45"/>
  <c r="I23" i="45"/>
  <c r="I24" i="45"/>
  <c r="I26" i="45"/>
  <c r="D67" i="35"/>
  <c r="G48" i="34"/>
  <c r="G49" i="34"/>
  <c r="G52" i="34"/>
  <c r="C59" i="34"/>
  <c r="D74" i="35"/>
  <c r="D59" i="35"/>
  <c r="D68" i="35"/>
  <c r="C60" i="34"/>
  <c r="D75" i="35"/>
  <c r="D60" i="35"/>
  <c r="I28" i="45"/>
  <c r="D69" i="35"/>
  <c r="C61" i="34"/>
  <c r="D76" i="35"/>
  <c r="D61" i="35"/>
  <c r="D62" i="35"/>
  <c r="C35" i="38"/>
  <c r="L8" i="46"/>
  <c r="L25" i="46"/>
  <c r="L9" i="46"/>
  <c r="L26" i="46"/>
  <c r="L10" i="46"/>
  <c r="L27" i="46"/>
  <c r="L11" i="46"/>
  <c r="L28" i="46"/>
  <c r="L12" i="46"/>
  <c r="L29" i="46"/>
  <c r="L13" i="46"/>
  <c r="L30" i="46"/>
  <c r="L14" i="46"/>
  <c r="L31" i="46"/>
  <c r="L15" i="46"/>
  <c r="L32" i="46"/>
  <c r="L16" i="46"/>
  <c r="L33" i="46"/>
  <c r="L17" i="46"/>
  <c r="L34" i="46"/>
  <c r="L18" i="46"/>
  <c r="L35" i="46"/>
  <c r="K19" i="46"/>
  <c r="L24" i="46"/>
  <c r="L36" i="46"/>
  <c r="I29" i="52"/>
  <c r="L29" i="52"/>
  <c r="L31" i="52"/>
  <c r="L32" i="52"/>
  <c r="L25" i="52"/>
  <c r="C4" i="54"/>
  <c r="C5" i="54"/>
  <c r="C10" i="54"/>
  <c r="C11" i="54"/>
  <c r="C16" i="53"/>
  <c r="D20" i="53"/>
  <c r="O8" i="52"/>
  <c r="O9" i="52"/>
  <c r="O10" i="52"/>
  <c r="O11" i="52"/>
  <c r="O12" i="52"/>
  <c r="O13" i="52"/>
  <c r="O14" i="52"/>
  <c r="O20" i="52"/>
  <c r="L19" i="46"/>
  <c r="M24" i="46"/>
  <c r="L25" i="45"/>
  <c r="L18" i="45"/>
  <c r="L19" i="45"/>
  <c r="L20" i="45"/>
  <c r="L21" i="45"/>
  <c r="L22" i="45"/>
  <c r="L23" i="45"/>
  <c r="L24" i="45"/>
  <c r="L26" i="45"/>
  <c r="D111" i="35"/>
  <c r="G81" i="34"/>
  <c r="G82" i="34"/>
  <c r="G85" i="34"/>
  <c r="C92" i="34"/>
  <c r="D118" i="35"/>
  <c r="D103" i="35"/>
  <c r="D112" i="35"/>
  <c r="C93" i="34"/>
  <c r="D119" i="35"/>
  <c r="D104" i="35"/>
  <c r="L28" i="45"/>
  <c r="D113" i="35"/>
  <c r="C94" i="34"/>
  <c r="D120" i="35"/>
  <c r="D105" i="35"/>
  <c r="D106" i="35"/>
  <c r="C52" i="38"/>
  <c r="M8" i="46"/>
  <c r="M25" i="46"/>
  <c r="M9" i="46"/>
  <c r="M26" i="46"/>
  <c r="M10" i="46"/>
  <c r="M27" i="46"/>
  <c r="M11" i="46"/>
  <c r="M28" i="46"/>
  <c r="M12" i="46"/>
  <c r="M29" i="46"/>
  <c r="M13" i="46"/>
  <c r="M30" i="46"/>
  <c r="M14" i="46"/>
  <c r="M31" i="46"/>
  <c r="M15" i="46"/>
  <c r="M32" i="46"/>
  <c r="M16" i="46"/>
  <c r="M33" i="46"/>
  <c r="M17" i="46"/>
  <c r="M34" i="46"/>
  <c r="M18" i="46"/>
  <c r="M35" i="46"/>
  <c r="M36" i="46"/>
  <c r="I38" i="52"/>
  <c r="L38" i="52"/>
  <c r="L40" i="52"/>
  <c r="L41" i="52"/>
  <c r="E7" i="54"/>
  <c r="D4" i="54"/>
  <c r="E4" i="54"/>
  <c r="E5" i="54"/>
  <c r="E10" i="54"/>
  <c r="E11" i="54"/>
  <c r="D7" i="54"/>
  <c r="D5" i="54"/>
  <c r="D10" i="54"/>
  <c r="D11" i="54"/>
  <c r="D9" i="54"/>
  <c r="E9" i="54"/>
  <c r="J44" i="50"/>
  <c r="I44" i="50"/>
  <c r="H44" i="50"/>
  <c r="F44" i="50"/>
  <c r="F44" i="51"/>
  <c r="H44" i="51"/>
  <c r="I44" i="51"/>
  <c r="J44" i="51"/>
  <c r="K8" i="46"/>
  <c r="K25" i="46"/>
  <c r="K9" i="46"/>
  <c r="K26" i="46"/>
  <c r="K10" i="46"/>
  <c r="K27" i="46"/>
  <c r="K11" i="46"/>
  <c r="K28" i="46"/>
  <c r="K12" i="46"/>
  <c r="K29" i="46"/>
  <c r="K13" i="46"/>
  <c r="K30" i="46"/>
  <c r="K36" i="46"/>
  <c r="K41" i="46"/>
  <c r="G8" i="42"/>
  <c r="H8" i="52"/>
  <c r="H9" i="52"/>
  <c r="H10" i="52"/>
  <c r="H11" i="52"/>
  <c r="H12" i="52"/>
  <c r="H13" i="52"/>
  <c r="H14" i="52"/>
  <c r="H20" i="52"/>
  <c r="D18" i="53"/>
  <c r="C18" i="53"/>
  <c r="P8" i="50"/>
  <c r="P9" i="50"/>
  <c r="P10" i="50"/>
  <c r="R10" i="50"/>
  <c r="O10" i="50"/>
  <c r="S10" i="50"/>
  <c r="U10" i="50"/>
  <c r="V10" i="50"/>
  <c r="D27" i="50"/>
  <c r="E26" i="50"/>
  <c r="I26" i="50"/>
  <c r="J31" i="50"/>
  <c r="P11" i="50"/>
  <c r="R11" i="50"/>
  <c r="O11" i="50"/>
  <c r="S11" i="50"/>
  <c r="U11" i="50"/>
  <c r="V11" i="50"/>
  <c r="E15" i="50"/>
  <c r="J15" i="50"/>
  <c r="J32" i="50"/>
  <c r="E16" i="50"/>
  <c r="J16" i="50"/>
  <c r="J33" i="50"/>
  <c r="E17" i="50"/>
  <c r="J17" i="50"/>
  <c r="J34" i="50"/>
  <c r="E18" i="50"/>
  <c r="J18" i="50"/>
  <c r="J35" i="50"/>
  <c r="E19" i="50"/>
  <c r="J19" i="50"/>
  <c r="J36" i="50"/>
  <c r="E20" i="50"/>
  <c r="J20" i="50"/>
  <c r="J37" i="50"/>
  <c r="E21" i="50"/>
  <c r="J21" i="50"/>
  <c r="J38" i="50"/>
  <c r="E22" i="50"/>
  <c r="J22" i="50"/>
  <c r="J39" i="50"/>
  <c r="E23" i="50"/>
  <c r="J23" i="50"/>
  <c r="J40" i="50"/>
  <c r="E24" i="50"/>
  <c r="J24" i="50"/>
  <c r="J41" i="50"/>
  <c r="E25" i="50"/>
  <c r="J25" i="50"/>
  <c r="J42" i="50"/>
  <c r="J43" i="50"/>
  <c r="J45" i="50"/>
  <c r="K6" i="50"/>
  <c r="L6" i="50"/>
  <c r="M6" i="50"/>
  <c r="O6" i="50"/>
  <c r="R6" i="50"/>
  <c r="Q6" i="50"/>
  <c r="K5" i="50"/>
  <c r="L5" i="50"/>
  <c r="M5" i="50"/>
  <c r="O5" i="50"/>
  <c r="R5" i="50"/>
  <c r="Q5" i="50"/>
  <c r="Q7" i="50"/>
  <c r="Q8" i="50"/>
  <c r="Q9" i="50"/>
  <c r="R9" i="50"/>
  <c r="K7" i="50"/>
  <c r="K8" i="50"/>
  <c r="K9" i="50"/>
  <c r="G7" i="50"/>
  <c r="G8" i="50"/>
  <c r="G9" i="50"/>
  <c r="L7" i="50"/>
  <c r="L8" i="50"/>
  <c r="L9" i="50"/>
  <c r="H7" i="50"/>
  <c r="H8" i="50"/>
  <c r="H9" i="50"/>
  <c r="M7" i="50"/>
  <c r="M8" i="50"/>
  <c r="M9" i="50"/>
  <c r="I7" i="50"/>
  <c r="I8" i="50"/>
  <c r="I9" i="50"/>
  <c r="O9" i="50"/>
  <c r="S9" i="50"/>
  <c r="T7" i="50"/>
  <c r="T8" i="50"/>
  <c r="T9" i="50"/>
  <c r="U9" i="50"/>
  <c r="V9" i="50"/>
  <c r="H26" i="50"/>
  <c r="I31" i="50"/>
  <c r="I15" i="50"/>
  <c r="I32" i="50"/>
  <c r="I16" i="50"/>
  <c r="I33" i="50"/>
  <c r="I17" i="50"/>
  <c r="I34" i="50"/>
  <c r="I18" i="50"/>
  <c r="I35" i="50"/>
  <c r="I19" i="50"/>
  <c r="I36" i="50"/>
  <c r="I20" i="50"/>
  <c r="I37" i="50"/>
  <c r="I21" i="50"/>
  <c r="I38" i="50"/>
  <c r="I22" i="50"/>
  <c r="I39" i="50"/>
  <c r="I23" i="50"/>
  <c r="I40" i="50"/>
  <c r="I24" i="50"/>
  <c r="I41" i="50"/>
  <c r="I25" i="50"/>
  <c r="I42" i="50"/>
  <c r="I43" i="50"/>
  <c r="I45" i="50"/>
  <c r="R8" i="50"/>
  <c r="O8" i="50"/>
  <c r="S8" i="50"/>
  <c r="U8" i="50"/>
  <c r="V8" i="50"/>
  <c r="F20" i="50"/>
  <c r="F21" i="50"/>
  <c r="F22" i="50"/>
  <c r="F23" i="50"/>
  <c r="F24" i="50"/>
  <c r="F25" i="50"/>
  <c r="F26" i="50"/>
  <c r="H31" i="50"/>
  <c r="H15" i="50"/>
  <c r="H32" i="50"/>
  <c r="H16" i="50"/>
  <c r="H33" i="50"/>
  <c r="H17" i="50"/>
  <c r="H34" i="50"/>
  <c r="H18" i="50"/>
  <c r="H35" i="50"/>
  <c r="H19" i="50"/>
  <c r="H36" i="50"/>
  <c r="H20" i="50"/>
  <c r="H37" i="50"/>
  <c r="H21" i="50"/>
  <c r="H38" i="50"/>
  <c r="H22" i="50"/>
  <c r="H39" i="50"/>
  <c r="H23" i="50"/>
  <c r="H40" i="50"/>
  <c r="H24" i="50"/>
  <c r="H41" i="50"/>
  <c r="H25" i="50"/>
  <c r="H42" i="50"/>
  <c r="H43" i="50"/>
  <c r="H45" i="50"/>
  <c r="F31" i="50"/>
  <c r="F32" i="50"/>
  <c r="F33" i="50"/>
  <c r="F34" i="50"/>
  <c r="F35" i="50"/>
  <c r="F36" i="50"/>
  <c r="F37" i="50"/>
  <c r="F38" i="50"/>
  <c r="F39" i="50"/>
  <c r="F40" i="50"/>
  <c r="F41" i="50"/>
  <c r="F42" i="50"/>
  <c r="F43" i="50"/>
  <c r="F45" i="50"/>
  <c r="D32" i="50"/>
  <c r="D33" i="50"/>
  <c r="D34" i="50"/>
  <c r="D35" i="50"/>
  <c r="D36" i="50"/>
  <c r="D37" i="50"/>
  <c r="D38" i="50"/>
  <c r="D39" i="50"/>
  <c r="D40" i="50"/>
  <c r="D41" i="50"/>
  <c r="D42" i="50"/>
  <c r="D43" i="50"/>
  <c r="C43" i="50"/>
  <c r="J26" i="50"/>
  <c r="J27" i="50"/>
  <c r="J28" i="50"/>
  <c r="I27" i="50"/>
  <c r="I28" i="50"/>
  <c r="H27" i="50"/>
  <c r="H28" i="50"/>
  <c r="F27" i="50"/>
  <c r="F28" i="50"/>
  <c r="V6" i="50"/>
  <c r="D28" i="50"/>
  <c r="C25" i="50"/>
  <c r="C27" i="50"/>
  <c r="V5" i="50"/>
  <c r="C28" i="50"/>
  <c r="E27" i="50"/>
  <c r="J6" i="50"/>
  <c r="N6" i="50"/>
  <c r="J5" i="50"/>
  <c r="N5" i="50"/>
  <c r="N7" i="50"/>
  <c r="N8" i="50"/>
  <c r="N9" i="50"/>
  <c r="N10" i="50"/>
  <c r="N11" i="50"/>
  <c r="J9" i="50"/>
  <c r="C7" i="50"/>
  <c r="C8" i="50"/>
  <c r="C9" i="50"/>
  <c r="D7" i="50"/>
  <c r="D8" i="50"/>
  <c r="D9" i="50"/>
  <c r="E7" i="50"/>
  <c r="E8" i="50"/>
  <c r="E9" i="50"/>
  <c r="F9" i="50"/>
  <c r="J8" i="50"/>
  <c r="F8" i="50"/>
  <c r="J7" i="50"/>
  <c r="F6" i="50"/>
  <c r="F5" i="50"/>
  <c r="F7" i="50"/>
  <c r="K6" i="51"/>
  <c r="L6" i="51"/>
  <c r="M6" i="51"/>
  <c r="O6" i="51"/>
  <c r="R6" i="51"/>
  <c r="Q6" i="51"/>
  <c r="K5" i="51"/>
  <c r="L5" i="51"/>
  <c r="M5" i="51"/>
  <c r="O5" i="51"/>
  <c r="R5" i="51"/>
  <c r="Q5" i="51"/>
  <c r="Q7" i="51"/>
  <c r="Q8" i="51"/>
  <c r="Q9" i="51"/>
  <c r="Q10" i="51"/>
  <c r="P10" i="51"/>
  <c r="R10" i="51"/>
  <c r="K7" i="51"/>
  <c r="K8" i="51"/>
  <c r="K9" i="51"/>
  <c r="K10" i="51"/>
  <c r="G7" i="51"/>
  <c r="G8" i="51"/>
  <c r="G9" i="51"/>
  <c r="G10" i="51"/>
  <c r="L7" i="51"/>
  <c r="L8" i="51"/>
  <c r="L9" i="51"/>
  <c r="L10" i="51"/>
  <c r="H7" i="51"/>
  <c r="H8" i="51"/>
  <c r="H9" i="51"/>
  <c r="H10" i="51"/>
  <c r="M7" i="51"/>
  <c r="M8" i="51"/>
  <c r="M9" i="51"/>
  <c r="M10" i="51"/>
  <c r="I7" i="51"/>
  <c r="I8" i="51"/>
  <c r="I9" i="51"/>
  <c r="I10" i="51"/>
  <c r="O10" i="51"/>
  <c r="S10" i="51"/>
  <c r="T7" i="51"/>
  <c r="T8" i="51"/>
  <c r="T9" i="51"/>
  <c r="T10" i="51"/>
  <c r="U10" i="51"/>
  <c r="V10" i="51"/>
  <c r="D27" i="51"/>
  <c r="E26" i="51"/>
  <c r="I26" i="51"/>
  <c r="J31" i="51"/>
  <c r="Q11" i="51"/>
  <c r="P11" i="51"/>
  <c r="R11" i="51"/>
  <c r="K11" i="51"/>
  <c r="G11" i="51"/>
  <c r="L11" i="51"/>
  <c r="H11" i="51"/>
  <c r="M11" i="51"/>
  <c r="I11" i="51"/>
  <c r="O11" i="51"/>
  <c r="S11" i="51"/>
  <c r="T11" i="51"/>
  <c r="U11" i="51"/>
  <c r="V11" i="51"/>
  <c r="E15" i="51"/>
  <c r="J15" i="51"/>
  <c r="J32" i="51"/>
  <c r="E16" i="51"/>
  <c r="J16" i="51"/>
  <c r="J33" i="51"/>
  <c r="E17" i="51"/>
  <c r="J17" i="51"/>
  <c r="J34" i="51"/>
  <c r="E18" i="51"/>
  <c r="J18" i="51"/>
  <c r="J35" i="51"/>
  <c r="E19" i="51"/>
  <c r="J19" i="51"/>
  <c r="J36" i="51"/>
  <c r="E20" i="51"/>
  <c r="J20" i="51"/>
  <c r="J37" i="51"/>
  <c r="E21" i="51"/>
  <c r="J21" i="51"/>
  <c r="J38" i="51"/>
  <c r="E22" i="51"/>
  <c r="J22" i="51"/>
  <c r="J39" i="51"/>
  <c r="E23" i="51"/>
  <c r="J23" i="51"/>
  <c r="J40" i="51"/>
  <c r="E24" i="51"/>
  <c r="J24" i="51"/>
  <c r="J41" i="51"/>
  <c r="E25" i="51"/>
  <c r="J25" i="51"/>
  <c r="J42" i="51"/>
  <c r="J43" i="51"/>
  <c r="J45" i="51"/>
  <c r="R9" i="51"/>
  <c r="O9" i="51"/>
  <c r="S9" i="51"/>
  <c r="U9" i="51"/>
  <c r="V9" i="51"/>
  <c r="H26" i="51"/>
  <c r="I31" i="51"/>
  <c r="I15" i="51"/>
  <c r="I32" i="51"/>
  <c r="I16" i="51"/>
  <c r="I33" i="51"/>
  <c r="I17" i="51"/>
  <c r="I34" i="51"/>
  <c r="I18" i="51"/>
  <c r="I35" i="51"/>
  <c r="I19" i="51"/>
  <c r="I36" i="51"/>
  <c r="I20" i="51"/>
  <c r="I37" i="51"/>
  <c r="I21" i="51"/>
  <c r="I38" i="51"/>
  <c r="I22" i="51"/>
  <c r="I39" i="51"/>
  <c r="I23" i="51"/>
  <c r="I40" i="51"/>
  <c r="I24" i="51"/>
  <c r="I41" i="51"/>
  <c r="I25" i="51"/>
  <c r="I42" i="51"/>
  <c r="I43" i="51"/>
  <c r="I45" i="51"/>
  <c r="R8" i="51"/>
  <c r="O8" i="51"/>
  <c r="S8" i="51"/>
  <c r="U8" i="51"/>
  <c r="V8" i="51"/>
  <c r="F20" i="51"/>
  <c r="F21" i="51"/>
  <c r="F22" i="51"/>
  <c r="F23" i="51"/>
  <c r="F24" i="51"/>
  <c r="F25" i="51"/>
  <c r="F26" i="51"/>
  <c r="H31" i="51"/>
  <c r="H15" i="51"/>
  <c r="H32" i="51"/>
  <c r="H16" i="51"/>
  <c r="H33" i="51"/>
  <c r="H17" i="51"/>
  <c r="H34" i="51"/>
  <c r="H18" i="51"/>
  <c r="H35" i="51"/>
  <c r="H19" i="51"/>
  <c r="H36" i="51"/>
  <c r="H20" i="51"/>
  <c r="H37" i="51"/>
  <c r="H21" i="51"/>
  <c r="H38" i="51"/>
  <c r="H22" i="51"/>
  <c r="H39" i="51"/>
  <c r="H23" i="51"/>
  <c r="H40" i="51"/>
  <c r="H24" i="51"/>
  <c r="H41" i="51"/>
  <c r="H25" i="51"/>
  <c r="H42" i="51"/>
  <c r="H43" i="51"/>
  <c r="H45" i="51"/>
  <c r="F31" i="51"/>
  <c r="F32" i="51"/>
  <c r="F33" i="51"/>
  <c r="F34" i="51"/>
  <c r="F35" i="51"/>
  <c r="F36" i="51"/>
  <c r="F37" i="51"/>
  <c r="F38" i="51"/>
  <c r="F39" i="51"/>
  <c r="F40" i="51"/>
  <c r="F41" i="51"/>
  <c r="F42" i="51"/>
  <c r="F43" i="51"/>
  <c r="F45" i="51"/>
  <c r="D32" i="51"/>
  <c r="D33" i="51"/>
  <c r="D34" i="51"/>
  <c r="D35" i="51"/>
  <c r="D36" i="51"/>
  <c r="D37" i="51"/>
  <c r="D38" i="51"/>
  <c r="D39" i="51"/>
  <c r="D40" i="51"/>
  <c r="D41" i="51"/>
  <c r="D42" i="51"/>
  <c r="D43" i="51"/>
  <c r="C43" i="51"/>
  <c r="J26" i="51"/>
  <c r="J27" i="51"/>
  <c r="J28" i="51"/>
  <c r="I27" i="51"/>
  <c r="I28" i="51"/>
  <c r="H27" i="51"/>
  <c r="H28" i="51"/>
  <c r="F27" i="51"/>
  <c r="F28" i="51"/>
  <c r="V6" i="51"/>
  <c r="D28" i="51"/>
  <c r="C25" i="51"/>
  <c r="C27" i="51"/>
  <c r="V5" i="51"/>
  <c r="C28" i="51"/>
  <c r="E27" i="51"/>
  <c r="J6" i="51"/>
  <c r="N6" i="51"/>
  <c r="J5" i="51"/>
  <c r="N5" i="51"/>
  <c r="N7" i="51"/>
  <c r="N8" i="51"/>
  <c r="N9" i="51"/>
  <c r="N10" i="51"/>
  <c r="N11" i="51"/>
  <c r="J11" i="51"/>
  <c r="C7" i="51"/>
  <c r="C8" i="51"/>
  <c r="C9" i="51"/>
  <c r="C10" i="51"/>
  <c r="C11" i="51"/>
  <c r="D7" i="51"/>
  <c r="D8" i="51"/>
  <c r="D9" i="51"/>
  <c r="D10" i="51"/>
  <c r="D11" i="51"/>
  <c r="E7" i="51"/>
  <c r="E8" i="51"/>
  <c r="E9" i="51"/>
  <c r="E10" i="51"/>
  <c r="E11" i="51"/>
  <c r="F11" i="51"/>
  <c r="J10" i="51"/>
  <c r="F10" i="51"/>
  <c r="J9" i="51"/>
  <c r="F9" i="51"/>
  <c r="J8" i="51"/>
  <c r="F8" i="51"/>
  <c r="J7" i="51"/>
  <c r="F6" i="51"/>
  <c r="F5" i="51"/>
  <c r="F7" i="51"/>
  <c r="E83" i="34"/>
  <c r="G83" i="34"/>
  <c r="G92" i="34"/>
  <c r="E118" i="35"/>
  <c r="E103" i="35"/>
  <c r="G93" i="34"/>
  <c r="E119" i="35"/>
  <c r="E104" i="35"/>
  <c r="G94" i="34"/>
  <c r="E120" i="35"/>
  <c r="E105" i="35"/>
  <c r="E106" i="35"/>
  <c r="C53" i="38"/>
  <c r="C51" i="38"/>
  <c r="C54" i="38"/>
  <c r="I8" i="46"/>
  <c r="Q8" i="46"/>
  <c r="I9" i="46"/>
  <c r="Q9" i="46"/>
  <c r="I10" i="46"/>
  <c r="Q10" i="46"/>
  <c r="I11" i="46"/>
  <c r="Q11" i="46"/>
  <c r="I12" i="46"/>
  <c r="Q12" i="46"/>
  <c r="I13" i="46"/>
  <c r="Q13" i="46"/>
  <c r="I14" i="46"/>
  <c r="Q14" i="46"/>
  <c r="I15" i="46"/>
  <c r="Q15" i="46"/>
  <c r="I16" i="46"/>
  <c r="Q16" i="46"/>
  <c r="I17" i="46"/>
  <c r="Q17" i="46"/>
  <c r="I18" i="46"/>
  <c r="Q18" i="46"/>
  <c r="I19" i="46"/>
  <c r="M19" i="46"/>
  <c r="Q19" i="46"/>
  <c r="Q20" i="46"/>
  <c r="R53" i="38"/>
  <c r="M20" i="46"/>
  <c r="R52" i="38"/>
  <c r="I20" i="46"/>
  <c r="R51" i="38"/>
  <c r="E50" i="34"/>
  <c r="G50" i="34"/>
  <c r="G59" i="34"/>
  <c r="E74" i="35"/>
  <c r="E59" i="35"/>
  <c r="G60" i="34"/>
  <c r="E75" i="35"/>
  <c r="E60" i="35"/>
  <c r="G61" i="34"/>
  <c r="E76" i="35"/>
  <c r="E61" i="35"/>
  <c r="E62" i="35"/>
  <c r="C36" i="38"/>
  <c r="C34" i="38"/>
  <c r="C37" i="38"/>
  <c r="H8" i="46"/>
  <c r="P8" i="46"/>
  <c r="H9" i="46"/>
  <c r="P9" i="46"/>
  <c r="H10" i="46"/>
  <c r="P10" i="46"/>
  <c r="H11" i="46"/>
  <c r="P11" i="46"/>
  <c r="H12" i="46"/>
  <c r="P12" i="46"/>
  <c r="H13" i="46"/>
  <c r="P13" i="46"/>
  <c r="H14" i="46"/>
  <c r="P14" i="46"/>
  <c r="H15" i="46"/>
  <c r="P15" i="46"/>
  <c r="H16" i="46"/>
  <c r="P16" i="46"/>
  <c r="H17" i="46"/>
  <c r="P17" i="46"/>
  <c r="H18" i="46"/>
  <c r="P18" i="46"/>
  <c r="H19" i="46"/>
  <c r="P19" i="46"/>
  <c r="P20" i="46"/>
  <c r="R36" i="38"/>
  <c r="L20" i="46"/>
  <c r="R35" i="38"/>
  <c r="H20" i="46"/>
  <c r="R34" i="38"/>
  <c r="E19" i="34"/>
  <c r="G19" i="34"/>
  <c r="G28" i="34"/>
  <c r="E27" i="35"/>
  <c r="E12" i="35"/>
  <c r="G29" i="34"/>
  <c r="E28" i="35"/>
  <c r="E13" i="35"/>
  <c r="G30" i="34"/>
  <c r="E29" i="35"/>
  <c r="E14" i="35"/>
  <c r="E15" i="35"/>
  <c r="C19" i="38"/>
  <c r="C17" i="38"/>
  <c r="C20" i="38"/>
  <c r="G8" i="46"/>
  <c r="O8" i="46"/>
  <c r="G9" i="46"/>
  <c r="O9" i="46"/>
  <c r="G10" i="46"/>
  <c r="O10" i="46"/>
  <c r="G11" i="46"/>
  <c r="O11" i="46"/>
  <c r="G12" i="46"/>
  <c r="O12" i="46"/>
  <c r="G13" i="46"/>
  <c r="O13" i="46"/>
  <c r="G14" i="46"/>
  <c r="O14" i="46"/>
  <c r="G15" i="46"/>
  <c r="O15" i="46"/>
  <c r="G16" i="46"/>
  <c r="O16" i="46"/>
  <c r="G17" i="46"/>
  <c r="O17" i="46"/>
  <c r="G18" i="46"/>
  <c r="O18" i="46"/>
  <c r="G19" i="46"/>
  <c r="O19" i="46"/>
  <c r="O20" i="46"/>
  <c r="R19" i="38"/>
  <c r="K20" i="46"/>
  <c r="R18" i="38"/>
  <c r="G20" i="46"/>
  <c r="R17" i="38"/>
  <c r="E11" i="1"/>
  <c r="F11" i="1"/>
  <c r="G11" i="1"/>
  <c r="G10" i="1"/>
  <c r="F19" i="1"/>
  <c r="G19" i="1"/>
  <c r="G15" i="1"/>
  <c r="G9" i="1"/>
  <c r="C11" i="53"/>
  <c r="C12" i="53"/>
  <c r="C13" i="53"/>
  <c r="C14" i="53"/>
  <c r="C15" i="53"/>
  <c r="C4" i="53"/>
  <c r="C6" i="53"/>
  <c r="C7" i="53"/>
  <c r="C8" i="53"/>
  <c r="C9" i="53"/>
  <c r="C10" i="53"/>
  <c r="Q24" i="46"/>
  <c r="Q25" i="46"/>
  <c r="Q26" i="46"/>
  <c r="Q27" i="46"/>
  <c r="Q28" i="46"/>
  <c r="Q29" i="46"/>
  <c r="Q30" i="46"/>
  <c r="Q31" i="46"/>
  <c r="Q32" i="46"/>
  <c r="Q33" i="46"/>
  <c r="Q34" i="46"/>
  <c r="Q35" i="46"/>
  <c r="Q36" i="46"/>
  <c r="J38" i="52"/>
  <c r="L43" i="52"/>
  <c r="M38" i="52"/>
  <c r="M31" i="52"/>
  <c r="M40" i="52"/>
  <c r="M41" i="52"/>
  <c r="M43" i="52"/>
  <c r="N43" i="52"/>
  <c r="N42" i="52"/>
  <c r="N41" i="52"/>
  <c r="N40" i="52"/>
  <c r="N39" i="52"/>
  <c r="M39" i="52"/>
  <c r="L39" i="52"/>
  <c r="N38" i="52"/>
  <c r="K38" i="52"/>
  <c r="P24" i="46"/>
  <c r="P25" i="46"/>
  <c r="P26" i="46"/>
  <c r="P27" i="46"/>
  <c r="P28" i="46"/>
  <c r="P29" i="46"/>
  <c r="P30" i="46"/>
  <c r="P31" i="46"/>
  <c r="P32" i="46"/>
  <c r="P33" i="46"/>
  <c r="P34" i="46"/>
  <c r="P35" i="46"/>
  <c r="P36" i="46"/>
  <c r="J29" i="52"/>
  <c r="M29" i="52"/>
  <c r="M32" i="52"/>
  <c r="N29" i="52"/>
  <c r="K29" i="52"/>
  <c r="L34" i="52"/>
  <c r="M34" i="52"/>
  <c r="N34" i="52"/>
  <c r="N33" i="52"/>
  <c r="N32" i="52"/>
  <c r="N31" i="52"/>
  <c r="N30" i="52"/>
  <c r="M30" i="52"/>
  <c r="L30" i="52"/>
  <c r="N22" i="52"/>
  <c r="N21" i="52"/>
  <c r="M21" i="52"/>
  <c r="L21" i="52"/>
  <c r="M8" i="52"/>
  <c r="M9" i="52"/>
  <c r="M10" i="52"/>
  <c r="M11" i="52"/>
  <c r="M12" i="52"/>
  <c r="M13" i="52"/>
  <c r="M14" i="52"/>
  <c r="O31" i="46"/>
  <c r="J15" i="52"/>
  <c r="M15" i="52"/>
  <c r="O32" i="46"/>
  <c r="J16" i="52"/>
  <c r="M16" i="52"/>
  <c r="O33" i="46"/>
  <c r="J17" i="52"/>
  <c r="M17" i="52"/>
  <c r="O34" i="46"/>
  <c r="J18" i="52"/>
  <c r="M18" i="52"/>
  <c r="O35" i="46"/>
  <c r="J19" i="52"/>
  <c r="M19" i="52"/>
  <c r="M20" i="52"/>
  <c r="M23" i="52"/>
  <c r="M25" i="52"/>
  <c r="N24" i="52"/>
  <c r="N25" i="52"/>
  <c r="N23" i="52"/>
  <c r="N9" i="52"/>
  <c r="N10" i="52"/>
  <c r="N11" i="52"/>
  <c r="N12" i="52"/>
  <c r="N13" i="52"/>
  <c r="N14" i="52"/>
  <c r="N8" i="52"/>
  <c r="N15" i="52"/>
  <c r="N16" i="52"/>
  <c r="N17" i="52"/>
  <c r="N18" i="52"/>
  <c r="N19" i="52"/>
  <c r="N20" i="52"/>
  <c r="K15" i="52"/>
  <c r="K16" i="52"/>
  <c r="K17" i="52"/>
  <c r="K18" i="52"/>
  <c r="K19" i="52"/>
  <c r="K20" i="52"/>
  <c r="J20" i="52"/>
  <c r="G20" i="52"/>
  <c r="D20" i="52"/>
  <c r="C20" i="52"/>
  <c r="P41" i="46"/>
  <c r="H10" i="42"/>
  <c r="H12" i="42"/>
  <c r="Q41" i="46"/>
  <c r="I10" i="42"/>
  <c r="I12" i="42"/>
  <c r="O25" i="46"/>
  <c r="O26" i="46"/>
  <c r="O27" i="46"/>
  <c r="O28" i="46"/>
  <c r="O29" i="46"/>
  <c r="O30" i="46"/>
  <c r="O36" i="46"/>
  <c r="O41" i="46"/>
  <c r="G10" i="42"/>
  <c r="G12" i="42"/>
  <c r="L41" i="46"/>
  <c r="H8" i="42"/>
  <c r="H11" i="42"/>
  <c r="M41" i="46"/>
  <c r="I8" i="42"/>
  <c r="I11" i="42"/>
  <c r="G11" i="42"/>
  <c r="E8" i="42"/>
  <c r="F8" i="42"/>
  <c r="F48" i="45"/>
  <c r="I18" i="38"/>
  <c r="I17" i="38"/>
  <c r="I20" i="38"/>
  <c r="E247" i="46"/>
  <c r="G247" i="46"/>
  <c r="H252" i="46"/>
  <c r="F247" i="46"/>
  <c r="K252" i="46"/>
  <c r="L252" i="46"/>
  <c r="P252" i="46"/>
  <c r="I27" i="38"/>
  <c r="I61" i="38"/>
  <c r="I62" i="38"/>
  <c r="I60" i="38"/>
  <c r="Q62" i="38"/>
  <c r="I44" i="38"/>
  <c r="I45" i="38"/>
  <c r="I43" i="38"/>
  <c r="Q45" i="38"/>
  <c r="I68" i="38"/>
  <c r="I67" i="38"/>
  <c r="Q27" i="38"/>
  <c r="I52" i="38"/>
  <c r="I53" i="38"/>
  <c r="Q53" i="38"/>
  <c r="I35" i="38"/>
  <c r="I36" i="38"/>
  <c r="Q36" i="38"/>
  <c r="Q19" i="38"/>
  <c r="I66" i="38"/>
  <c r="I65" i="38"/>
  <c r="Q52" i="38"/>
  <c r="Q35" i="38"/>
  <c r="Q18" i="38"/>
  <c r="J60" i="38"/>
  <c r="K60" i="38"/>
  <c r="L60" i="38"/>
  <c r="M60" i="38"/>
  <c r="N60" i="38"/>
  <c r="O60" i="38"/>
  <c r="P60" i="38"/>
  <c r="J43" i="38"/>
  <c r="K43" i="38"/>
  <c r="L43" i="38"/>
  <c r="M43" i="38"/>
  <c r="N43" i="38"/>
  <c r="O43" i="38"/>
  <c r="P43" i="38"/>
  <c r="G267" i="46"/>
  <c r="F12" i="48"/>
  <c r="F10" i="48"/>
  <c r="I267" i="46"/>
  <c r="H267" i="46"/>
  <c r="M266" i="46"/>
  <c r="I266" i="46"/>
  <c r="L266" i="46"/>
  <c r="H266" i="46"/>
  <c r="K266" i="46"/>
  <c r="G266" i="46"/>
  <c r="D264" i="46"/>
  <c r="F252" i="46"/>
  <c r="Q251" i="46"/>
  <c r="P251" i="46"/>
  <c r="O251" i="46"/>
  <c r="M251" i="46"/>
  <c r="L251" i="46"/>
  <c r="K251" i="46"/>
  <c r="I251" i="46"/>
  <c r="H251" i="46"/>
  <c r="G251" i="46"/>
  <c r="F251" i="46"/>
  <c r="O250" i="46"/>
  <c r="K250" i="46"/>
  <c r="G250" i="46"/>
  <c r="D248" i="46"/>
  <c r="I16" i="38"/>
  <c r="I33" i="38"/>
  <c r="I15" i="38"/>
  <c r="I50" i="38"/>
  <c r="O76" i="46"/>
  <c r="I26" i="38"/>
  <c r="I29" i="38"/>
  <c r="I32" i="38"/>
  <c r="I22" i="38"/>
  <c r="I49" i="38"/>
  <c r="I46" i="38"/>
  <c r="I39" i="38"/>
  <c r="I63" i="38"/>
  <c r="I42" i="38"/>
  <c r="I25" i="38"/>
  <c r="C39" i="45"/>
  <c r="F39" i="45"/>
  <c r="C40" i="45"/>
  <c r="F40" i="45"/>
  <c r="C41" i="45"/>
  <c r="F41" i="45"/>
  <c r="C42" i="45"/>
  <c r="F42" i="45"/>
  <c r="C43" i="45"/>
  <c r="F43" i="45"/>
  <c r="C44" i="45"/>
  <c r="F44" i="45"/>
  <c r="F45" i="45"/>
  <c r="F46" i="45"/>
  <c r="F47" i="45"/>
  <c r="F49" i="45"/>
  <c r="T22" i="35"/>
  <c r="T21" i="35"/>
  <c r="G24" i="38"/>
  <c r="L48" i="45"/>
  <c r="K9" i="42"/>
  <c r="B10" i="42"/>
  <c r="I229" i="46"/>
  <c r="H229" i="46"/>
  <c r="G229" i="46"/>
  <c r="I191" i="46"/>
  <c r="H191" i="46"/>
  <c r="G191" i="46"/>
  <c r="I153" i="46"/>
  <c r="H153" i="46"/>
  <c r="G153" i="46"/>
  <c r="I115" i="46"/>
  <c r="H115" i="46"/>
  <c r="G115" i="46"/>
  <c r="I77" i="46"/>
  <c r="H77" i="46"/>
  <c r="G77" i="46"/>
  <c r="H39" i="46"/>
  <c r="I39" i="46"/>
  <c r="G39" i="46"/>
  <c r="I48" i="45"/>
  <c r="I56" i="38"/>
  <c r="I34" i="38"/>
  <c r="I59" i="38"/>
  <c r="E12" i="48"/>
  <c r="C12" i="48"/>
  <c r="B12" i="48"/>
  <c r="C10" i="48"/>
  <c r="D10" i="48"/>
  <c r="E10" i="48"/>
  <c r="B10" i="48"/>
  <c r="I51" i="38"/>
  <c r="I54" i="38"/>
  <c r="I37" i="38"/>
  <c r="D12" i="48"/>
  <c r="D7" i="42"/>
  <c r="D226" i="46"/>
  <c r="D210" i="46"/>
  <c r="D188" i="46"/>
  <c r="D172" i="46"/>
  <c r="D150" i="46"/>
  <c r="D134" i="46"/>
  <c r="D112" i="46"/>
  <c r="D96" i="46"/>
  <c r="D74" i="46"/>
  <c r="D58" i="46"/>
  <c r="M152" i="46"/>
  <c r="K152" i="46"/>
  <c r="M228" i="46"/>
  <c r="I228" i="46"/>
  <c r="L228" i="46"/>
  <c r="K228" i="46"/>
  <c r="G228" i="46"/>
  <c r="H228" i="46"/>
  <c r="F214" i="46"/>
  <c r="Q213" i="46"/>
  <c r="P213" i="46"/>
  <c r="O213" i="46"/>
  <c r="M213" i="46"/>
  <c r="L213" i="46"/>
  <c r="K213" i="46"/>
  <c r="I213" i="46"/>
  <c r="H213" i="46"/>
  <c r="G213" i="46"/>
  <c r="F213" i="46"/>
  <c r="O212" i="46"/>
  <c r="K212" i="46"/>
  <c r="G212" i="46"/>
  <c r="L190" i="46"/>
  <c r="K190" i="46"/>
  <c r="G190" i="46"/>
  <c r="M190" i="46"/>
  <c r="I190" i="46"/>
  <c r="H190" i="46"/>
  <c r="F176" i="46"/>
  <c r="Q175" i="46"/>
  <c r="P175" i="46"/>
  <c r="O175" i="46"/>
  <c r="M175" i="46"/>
  <c r="L175" i="46"/>
  <c r="K175" i="46"/>
  <c r="I175" i="46"/>
  <c r="H175" i="46"/>
  <c r="G175" i="46"/>
  <c r="F175" i="46"/>
  <c r="O174" i="46"/>
  <c r="K174" i="46"/>
  <c r="G174" i="46"/>
  <c r="L152" i="46"/>
  <c r="H152" i="46"/>
  <c r="I152" i="46"/>
  <c r="G152" i="46"/>
  <c r="F138" i="46"/>
  <c r="Q137" i="46"/>
  <c r="P137" i="46"/>
  <c r="O137" i="46"/>
  <c r="M137" i="46"/>
  <c r="L137" i="46"/>
  <c r="K137" i="46"/>
  <c r="I137" i="46"/>
  <c r="H137" i="46"/>
  <c r="G137" i="46"/>
  <c r="F137" i="46"/>
  <c r="O136" i="46"/>
  <c r="K136" i="46"/>
  <c r="G136" i="46"/>
  <c r="I114" i="46"/>
  <c r="H114" i="46"/>
  <c r="G114" i="46"/>
  <c r="F100" i="46"/>
  <c r="Q99" i="46"/>
  <c r="P99" i="46"/>
  <c r="O99" i="46"/>
  <c r="M99" i="46"/>
  <c r="L99" i="46"/>
  <c r="K99" i="46"/>
  <c r="I99" i="46"/>
  <c r="H99" i="46"/>
  <c r="G99" i="46"/>
  <c r="F99" i="46"/>
  <c r="O98" i="46"/>
  <c r="K98" i="46"/>
  <c r="G98" i="46"/>
  <c r="I76" i="46"/>
  <c r="H76" i="46"/>
  <c r="F62" i="46"/>
  <c r="Q61" i="46"/>
  <c r="P61" i="46"/>
  <c r="O61" i="46"/>
  <c r="M61" i="46"/>
  <c r="L61" i="46"/>
  <c r="K61" i="46"/>
  <c r="I61" i="46"/>
  <c r="H61" i="46"/>
  <c r="G61" i="46"/>
  <c r="F61" i="46"/>
  <c r="O60" i="46"/>
  <c r="K60" i="46"/>
  <c r="G60" i="46"/>
  <c r="Q23" i="46"/>
  <c r="P23" i="46"/>
  <c r="O23" i="46"/>
  <c r="O22" i="46"/>
  <c r="M23" i="46"/>
  <c r="L23" i="46"/>
  <c r="K23" i="46"/>
  <c r="K22" i="46"/>
  <c r="G22" i="46"/>
  <c r="I23" i="46"/>
  <c r="H23" i="46"/>
  <c r="F24" i="46"/>
  <c r="G23" i="46"/>
  <c r="F23" i="46"/>
  <c r="D36" i="46"/>
  <c r="D20" i="46"/>
  <c r="E12" i="46"/>
  <c r="E246" i="46"/>
  <c r="E236" i="46"/>
  <c r="E240" i="46"/>
  <c r="E242" i="46"/>
  <c r="E239" i="46"/>
  <c r="E245" i="46"/>
  <c r="E243" i="46"/>
  <c r="E238" i="46"/>
  <c r="E244" i="46"/>
  <c r="E241" i="46"/>
  <c r="E237" i="46"/>
  <c r="E94" i="46"/>
  <c r="E54" i="46"/>
  <c r="E126" i="46"/>
  <c r="E132" i="46"/>
  <c r="E164" i="46"/>
  <c r="E170" i="46"/>
  <c r="E48" i="46"/>
  <c r="E88" i="46"/>
  <c r="E200" i="46"/>
  <c r="E206" i="46"/>
  <c r="E89" i="46"/>
  <c r="E127" i="46"/>
  <c r="E165" i="46"/>
  <c r="E171" i="46"/>
  <c r="E50" i="46"/>
  <c r="E84" i="46"/>
  <c r="E122" i="46"/>
  <c r="E17" i="46"/>
  <c r="E51" i="46"/>
  <c r="E56" i="46"/>
  <c r="E85" i="46"/>
  <c r="E91" i="46"/>
  <c r="E123" i="46"/>
  <c r="E129" i="46"/>
  <c r="E161" i="46"/>
  <c r="E167" i="46"/>
  <c r="E203" i="46"/>
  <c r="E208" i="46"/>
  <c r="E95" i="46"/>
  <c r="E201" i="46"/>
  <c r="E55" i="46"/>
  <c r="E128" i="46"/>
  <c r="E166" i="46"/>
  <c r="E11" i="46"/>
  <c r="E46" i="46"/>
  <c r="E52" i="46"/>
  <c r="E57" i="46"/>
  <c r="E86" i="46"/>
  <c r="E92" i="46"/>
  <c r="E124" i="46"/>
  <c r="E130" i="46"/>
  <c r="E162" i="46"/>
  <c r="E168" i="46"/>
  <c r="E198" i="46"/>
  <c r="E204" i="46"/>
  <c r="E49" i="46"/>
  <c r="E133" i="46"/>
  <c r="E90" i="46"/>
  <c r="E160" i="46"/>
  <c r="E202" i="46"/>
  <c r="E207" i="46"/>
  <c r="E47" i="46"/>
  <c r="E53" i="46"/>
  <c r="E87" i="46"/>
  <c r="E93" i="46"/>
  <c r="E125" i="46"/>
  <c r="E131" i="46"/>
  <c r="E163" i="46"/>
  <c r="E169" i="46"/>
  <c r="E199" i="46"/>
  <c r="E205" i="46"/>
  <c r="E209" i="46"/>
  <c r="E16" i="46"/>
  <c r="E9" i="46"/>
  <c r="E14" i="46"/>
  <c r="E19" i="46"/>
  <c r="E13" i="46"/>
  <c r="E10" i="46"/>
  <c r="E15" i="46"/>
  <c r="E8" i="46"/>
  <c r="E18" i="46"/>
  <c r="F59" i="38"/>
  <c r="F57" i="38"/>
  <c r="F53" i="38"/>
  <c r="N53" i="38"/>
  <c r="F52" i="38"/>
  <c r="M131" i="46"/>
  <c r="M148" i="46"/>
  <c r="F49" i="38"/>
  <c r="F42" i="38"/>
  <c r="F40" i="38"/>
  <c r="F36" i="38"/>
  <c r="N36" i="38"/>
  <c r="F35" i="38"/>
  <c r="F33" i="38"/>
  <c r="F32" i="38"/>
  <c r="P53" i="38"/>
  <c r="O53" i="38"/>
  <c r="P36" i="38"/>
  <c r="O36" i="38"/>
  <c r="F25" i="38"/>
  <c r="F23" i="38"/>
  <c r="C23" i="38"/>
  <c r="K244" i="46"/>
  <c r="M244" i="46"/>
  <c r="G244" i="46"/>
  <c r="L244" i="46"/>
  <c r="I244" i="46"/>
  <c r="H244" i="46"/>
  <c r="K242" i="46"/>
  <c r="L242" i="46"/>
  <c r="G242" i="46"/>
  <c r="M242" i="46"/>
  <c r="H242" i="46"/>
  <c r="I242" i="46"/>
  <c r="I259" i="46"/>
  <c r="K241" i="46"/>
  <c r="G241" i="46"/>
  <c r="M241" i="46"/>
  <c r="L241" i="46"/>
  <c r="H241" i="46"/>
  <c r="I241" i="46"/>
  <c r="K238" i="46"/>
  <c r="L238" i="46"/>
  <c r="M238" i="46"/>
  <c r="G238" i="46"/>
  <c r="I238" i="46"/>
  <c r="H238" i="46"/>
  <c r="K240" i="46"/>
  <c r="M240" i="46"/>
  <c r="G240" i="46"/>
  <c r="L240" i="46"/>
  <c r="I240" i="46"/>
  <c r="H240" i="46"/>
  <c r="K239" i="46"/>
  <c r="L239" i="46"/>
  <c r="M239" i="46"/>
  <c r="G239" i="46"/>
  <c r="H239" i="46"/>
  <c r="I239" i="46"/>
  <c r="K243" i="46"/>
  <c r="M243" i="46"/>
  <c r="L243" i="46"/>
  <c r="G243" i="46"/>
  <c r="H243" i="46"/>
  <c r="I243" i="46"/>
  <c r="K236" i="46"/>
  <c r="G236" i="46"/>
  <c r="L236" i="46"/>
  <c r="H236" i="46"/>
  <c r="I236" i="46"/>
  <c r="M236" i="46"/>
  <c r="K245" i="46"/>
  <c r="L245" i="46"/>
  <c r="G245" i="46"/>
  <c r="M245" i="46"/>
  <c r="I245" i="46"/>
  <c r="H245" i="46"/>
  <c r="K246" i="46"/>
  <c r="G246" i="46"/>
  <c r="M246" i="46"/>
  <c r="L246" i="46"/>
  <c r="I246" i="46"/>
  <c r="H246" i="46"/>
  <c r="K237" i="46"/>
  <c r="L237" i="46"/>
  <c r="G237" i="46"/>
  <c r="M237" i="46"/>
  <c r="H237" i="46"/>
  <c r="I237" i="46"/>
  <c r="K247" i="46"/>
  <c r="M247" i="46"/>
  <c r="L247" i="46"/>
  <c r="H247" i="46"/>
  <c r="I247" i="46"/>
  <c r="F241" i="46"/>
  <c r="F258" i="46"/>
  <c r="K258" i="46"/>
  <c r="L258" i="46"/>
  <c r="M258" i="46"/>
  <c r="F244" i="46"/>
  <c r="F261" i="46"/>
  <c r="K261" i="46"/>
  <c r="L261" i="46"/>
  <c r="M261" i="46"/>
  <c r="F242" i="46"/>
  <c r="F259" i="46"/>
  <c r="K259" i="46"/>
  <c r="L259" i="46"/>
  <c r="M259" i="46"/>
  <c r="E248" i="46"/>
  <c r="F238" i="46"/>
  <c r="F255" i="46"/>
  <c r="K255" i="46"/>
  <c r="L255" i="46"/>
  <c r="M255" i="46"/>
  <c r="K257" i="46"/>
  <c r="L257" i="46"/>
  <c r="M257" i="46"/>
  <c r="F240" i="46"/>
  <c r="F257" i="46"/>
  <c r="F236" i="46"/>
  <c r="F245" i="46"/>
  <c r="F262" i="46"/>
  <c r="K262" i="46"/>
  <c r="L262" i="46"/>
  <c r="M262" i="46"/>
  <c r="K263" i="46"/>
  <c r="L263" i="46"/>
  <c r="M263" i="46"/>
  <c r="F246" i="46"/>
  <c r="F263" i="46"/>
  <c r="F239" i="46"/>
  <c r="F256" i="46"/>
  <c r="K256" i="46"/>
  <c r="L256" i="46"/>
  <c r="M256" i="46"/>
  <c r="K260" i="46"/>
  <c r="L260" i="46"/>
  <c r="M260" i="46"/>
  <c r="F243" i="46"/>
  <c r="F260" i="46"/>
  <c r="K254" i="46"/>
  <c r="L254" i="46"/>
  <c r="M254" i="46"/>
  <c r="F237" i="46"/>
  <c r="F254" i="46"/>
  <c r="M129" i="46"/>
  <c r="M146" i="46"/>
  <c r="M123" i="46"/>
  <c r="M140" i="46"/>
  <c r="N52" i="38"/>
  <c r="M132" i="46"/>
  <c r="M149" i="46"/>
  <c r="L131" i="46"/>
  <c r="L148" i="46"/>
  <c r="M128" i="46"/>
  <c r="M145" i="46"/>
  <c r="M126" i="46"/>
  <c r="M143" i="46"/>
  <c r="L126" i="46"/>
  <c r="L143" i="46"/>
  <c r="M130" i="46"/>
  <c r="M147" i="46"/>
  <c r="L129" i="46"/>
  <c r="L146" i="46"/>
  <c r="L132" i="46"/>
  <c r="L149" i="46"/>
  <c r="L133" i="46"/>
  <c r="M138" i="46"/>
  <c r="E172" i="46"/>
  <c r="L122" i="46"/>
  <c r="L139" i="46"/>
  <c r="M127" i="46"/>
  <c r="M144" i="46"/>
  <c r="M122" i="46"/>
  <c r="M133" i="46"/>
  <c r="E210" i="46"/>
  <c r="L128" i="46"/>
  <c r="L145" i="46"/>
  <c r="L127" i="46"/>
  <c r="L144" i="46"/>
  <c r="L130" i="46"/>
  <c r="L147" i="46"/>
  <c r="E96" i="46"/>
  <c r="M125" i="46"/>
  <c r="M142" i="46"/>
  <c r="E134" i="46"/>
  <c r="L125" i="46"/>
  <c r="L142" i="46"/>
  <c r="L123" i="46"/>
  <c r="L140" i="46"/>
  <c r="M124" i="46"/>
  <c r="M141" i="46"/>
  <c r="L124" i="46"/>
  <c r="L141" i="46"/>
  <c r="E58" i="46"/>
  <c r="E20" i="46"/>
  <c r="F51" i="38"/>
  <c r="N51" i="38"/>
  <c r="F34" i="38"/>
  <c r="F37" i="38"/>
  <c r="F38" i="38"/>
  <c r="N35" i="38"/>
  <c r="F19" i="38"/>
  <c r="F18" i="38"/>
  <c r="K133" i="46"/>
  <c r="L138" i="46"/>
  <c r="G16" i="38"/>
  <c r="F16" i="38"/>
  <c r="F15" i="38"/>
  <c r="G39" i="45"/>
  <c r="J39" i="45"/>
  <c r="H39" i="45"/>
  <c r="K39" i="45"/>
  <c r="L39" i="45"/>
  <c r="G40" i="45"/>
  <c r="J40" i="45"/>
  <c r="H40" i="45"/>
  <c r="K40" i="45"/>
  <c r="L40" i="45"/>
  <c r="G41" i="45"/>
  <c r="J41" i="45"/>
  <c r="H41" i="45"/>
  <c r="K41" i="45"/>
  <c r="L41" i="45"/>
  <c r="G42" i="45"/>
  <c r="J42" i="45"/>
  <c r="H42" i="45"/>
  <c r="K42" i="45"/>
  <c r="L42" i="45"/>
  <c r="G43" i="45"/>
  <c r="J43" i="45"/>
  <c r="H43" i="45"/>
  <c r="K43" i="45"/>
  <c r="L43" i="45"/>
  <c r="G44" i="45"/>
  <c r="J44" i="45"/>
  <c r="H44" i="45"/>
  <c r="K44" i="45"/>
  <c r="L44" i="45"/>
  <c r="L45" i="45"/>
  <c r="I46" i="45"/>
  <c r="L46" i="45"/>
  <c r="L47" i="45"/>
  <c r="T111" i="35"/>
  <c r="M111" i="35"/>
  <c r="L82" i="35"/>
  <c r="T82" i="35"/>
  <c r="I39" i="45"/>
  <c r="I40" i="45"/>
  <c r="I41" i="45"/>
  <c r="I42" i="45"/>
  <c r="I43" i="45"/>
  <c r="I44" i="45"/>
  <c r="I45" i="45"/>
  <c r="I47" i="45"/>
  <c r="T67" i="35"/>
  <c r="M67" i="35"/>
  <c r="D45" i="45"/>
  <c r="T33" i="35"/>
  <c r="T20" i="35"/>
  <c r="D24" i="45"/>
  <c r="L33" i="35"/>
  <c r="D33" i="35"/>
  <c r="M20" i="35"/>
  <c r="T112" i="35"/>
  <c r="G46" i="45"/>
  <c r="J46" i="45"/>
  <c r="G25" i="45"/>
  <c r="J25" i="45"/>
  <c r="M112" i="35"/>
  <c r="G15" i="38"/>
  <c r="Q247" i="46"/>
  <c r="P236" i="46"/>
  <c r="Q259" i="46"/>
  <c r="Q237" i="46"/>
  <c r="I254" i="46"/>
  <c r="Q254" i="46"/>
  <c r="H260" i="46"/>
  <c r="P260" i="46"/>
  <c r="P243" i="46"/>
  <c r="K248" i="46"/>
  <c r="K253" i="46"/>
  <c r="H258" i="46"/>
  <c r="P258" i="46"/>
  <c r="P241" i="46"/>
  <c r="G263" i="46"/>
  <c r="O246" i="46"/>
  <c r="O263" i="46"/>
  <c r="F253" i="46"/>
  <c r="F264" i="46"/>
  <c r="F248" i="46"/>
  <c r="P240" i="46"/>
  <c r="H257" i="46"/>
  <c r="P257" i="46"/>
  <c r="Q242" i="46"/>
  <c r="O244" i="46"/>
  <c r="O261" i="46"/>
  <c r="G261" i="46"/>
  <c r="G252" i="46"/>
  <c r="M252" i="46"/>
  <c r="Q240" i="46"/>
  <c r="I257" i="46"/>
  <c r="Q257" i="46"/>
  <c r="O247" i="46"/>
  <c r="Q243" i="46"/>
  <c r="I260" i="46"/>
  <c r="Q260" i="46"/>
  <c r="O239" i="46"/>
  <c r="O256" i="46"/>
  <c r="G256" i="46"/>
  <c r="G248" i="46"/>
  <c r="G249" i="46"/>
  <c r="G253" i="46"/>
  <c r="O236" i="46"/>
  <c r="O238" i="46"/>
  <c r="O255" i="46"/>
  <c r="G255" i="46"/>
  <c r="G259" i="46"/>
  <c r="O242" i="46"/>
  <c r="O259" i="46"/>
  <c r="I261" i="46"/>
  <c r="Q261" i="46"/>
  <c r="Q244" i="46"/>
  <c r="P239" i="46"/>
  <c r="H256" i="46"/>
  <c r="P256" i="46"/>
  <c r="H254" i="46"/>
  <c r="P254" i="46"/>
  <c r="P237" i="46"/>
  <c r="Q239" i="46"/>
  <c r="I256" i="46"/>
  <c r="Q256" i="46"/>
  <c r="P245" i="46"/>
  <c r="H262" i="46"/>
  <c r="P262" i="46"/>
  <c r="M248" i="46"/>
  <c r="G257" i="46"/>
  <c r="O240" i="46"/>
  <c r="O257" i="46"/>
  <c r="H255" i="46"/>
  <c r="P255" i="46"/>
  <c r="P238" i="46"/>
  <c r="H259" i="46"/>
  <c r="P259" i="46"/>
  <c r="P242" i="46"/>
  <c r="O241" i="46"/>
  <c r="O258" i="46"/>
  <c r="G258" i="46"/>
  <c r="G254" i="46"/>
  <c r="O237" i="46"/>
  <c r="O254" i="46"/>
  <c r="I263" i="46"/>
  <c r="Q263" i="46"/>
  <c r="Q246" i="46"/>
  <c r="O245" i="46"/>
  <c r="O262" i="46"/>
  <c r="G262" i="46"/>
  <c r="Q236" i="46"/>
  <c r="I253" i="46"/>
  <c r="I248" i="46"/>
  <c r="I249" i="46"/>
  <c r="I252" i="46"/>
  <c r="Q252" i="46"/>
  <c r="P247" i="46"/>
  <c r="G260" i="46"/>
  <c r="O243" i="46"/>
  <c r="O260" i="46"/>
  <c r="P246" i="46"/>
  <c r="H263" i="46"/>
  <c r="P263" i="46"/>
  <c r="I262" i="46"/>
  <c r="Q262" i="46"/>
  <c r="Q245" i="46"/>
  <c r="H248" i="46"/>
  <c r="H249" i="46"/>
  <c r="H253" i="46"/>
  <c r="L248" i="46"/>
  <c r="I255" i="46"/>
  <c r="Q255" i="46"/>
  <c r="Q238" i="46"/>
  <c r="H261" i="46"/>
  <c r="P261" i="46"/>
  <c r="P244" i="46"/>
  <c r="I258" i="46"/>
  <c r="Q258" i="46"/>
  <c r="Q241" i="46"/>
  <c r="F54" i="38"/>
  <c r="F55" i="38"/>
  <c r="G49" i="38"/>
  <c r="G33" i="38"/>
  <c r="H122" i="46"/>
  <c r="H139" i="46"/>
  <c r="H126" i="46"/>
  <c r="H143" i="46"/>
  <c r="H130" i="46"/>
  <c r="P130" i="46"/>
  <c r="P147" i="46"/>
  <c r="H133" i="46"/>
  <c r="I138" i="46"/>
  <c r="H132" i="46"/>
  <c r="H149" i="46"/>
  <c r="H128" i="46"/>
  <c r="H145" i="46"/>
  <c r="H124" i="46"/>
  <c r="H141" i="46"/>
  <c r="H125" i="46"/>
  <c r="H142" i="46"/>
  <c r="K127" i="46"/>
  <c r="K144" i="46"/>
  <c r="K131" i="46"/>
  <c r="K148" i="46"/>
  <c r="K129" i="46"/>
  <c r="K146" i="46"/>
  <c r="K123" i="46"/>
  <c r="K140" i="46"/>
  <c r="K132" i="46"/>
  <c r="K149" i="46"/>
  <c r="H129" i="46"/>
  <c r="H146" i="46"/>
  <c r="H123" i="46"/>
  <c r="H140" i="46"/>
  <c r="K124" i="46"/>
  <c r="K141" i="46"/>
  <c r="K128" i="46"/>
  <c r="K145" i="46"/>
  <c r="K122" i="46"/>
  <c r="K139" i="46"/>
  <c r="I126" i="46"/>
  <c r="I143" i="46"/>
  <c r="K125" i="46"/>
  <c r="K142" i="46"/>
  <c r="K130" i="46"/>
  <c r="K147" i="46"/>
  <c r="H127" i="46"/>
  <c r="P127" i="46"/>
  <c r="P144" i="46"/>
  <c r="K126" i="46"/>
  <c r="K143" i="46"/>
  <c r="H131" i="46"/>
  <c r="H148" i="46"/>
  <c r="I130" i="46"/>
  <c r="I147" i="46"/>
  <c r="T68" i="35"/>
  <c r="M68" i="35"/>
  <c r="M139" i="46"/>
  <c r="M150" i="46"/>
  <c r="L150" i="46"/>
  <c r="L134" i="46"/>
  <c r="L135" i="46"/>
  <c r="M134" i="46"/>
  <c r="M135" i="46"/>
  <c r="N54" i="38"/>
  <c r="N37" i="38"/>
  <c r="N34" i="38"/>
  <c r="G45" i="45"/>
  <c r="J45" i="45"/>
  <c r="G32" i="38"/>
  <c r="I123" i="46"/>
  <c r="I140" i="46"/>
  <c r="I133" i="46"/>
  <c r="Q133" i="46"/>
  <c r="I131" i="46"/>
  <c r="I129" i="46"/>
  <c r="Q129" i="46"/>
  <c r="Q146" i="46"/>
  <c r="I128" i="46"/>
  <c r="Q128" i="46"/>
  <c r="Q145" i="46"/>
  <c r="H264" i="46"/>
  <c r="H269" i="46"/>
  <c r="L253" i="46"/>
  <c r="M253" i="46"/>
  <c r="Q253" i="46"/>
  <c r="Q264" i="46"/>
  <c r="Q269" i="46"/>
  <c r="K264" i="46"/>
  <c r="P253" i="46"/>
  <c r="L264" i="46"/>
  <c r="L269" i="46"/>
  <c r="K249" i="46"/>
  <c r="Q248" i="46"/>
  <c r="Q249" i="46"/>
  <c r="P248" i="46"/>
  <c r="P249" i="46"/>
  <c r="K269" i="46"/>
  <c r="O253" i="46"/>
  <c r="O264" i="46"/>
  <c r="O269" i="46"/>
  <c r="O248" i="46"/>
  <c r="O249" i="46"/>
  <c r="G264" i="46"/>
  <c r="G269" i="46"/>
  <c r="L249" i="46"/>
  <c r="M249" i="46"/>
  <c r="I264" i="46"/>
  <c r="I269" i="46"/>
  <c r="P122" i="46"/>
  <c r="P139" i="46"/>
  <c r="P133" i="46"/>
  <c r="Q138" i="46"/>
  <c r="H147" i="46"/>
  <c r="P124" i="46"/>
  <c r="P141" i="46"/>
  <c r="P126" i="46"/>
  <c r="P143" i="46"/>
  <c r="P125" i="46"/>
  <c r="P142" i="46"/>
  <c r="I132" i="46"/>
  <c r="I124" i="46"/>
  <c r="I141" i="46"/>
  <c r="I125" i="46"/>
  <c r="I142" i="46"/>
  <c r="I127" i="46"/>
  <c r="I144" i="46"/>
  <c r="I122" i="46"/>
  <c r="I139" i="46"/>
  <c r="F50" i="38"/>
  <c r="G50" i="38"/>
  <c r="G22" i="38"/>
  <c r="G27" i="38"/>
  <c r="G26" i="38"/>
  <c r="Q123" i="46"/>
  <c r="Q140" i="46"/>
  <c r="P132" i="46"/>
  <c r="P149" i="46"/>
  <c r="P128" i="46"/>
  <c r="P145" i="46"/>
  <c r="H134" i="46"/>
  <c r="H135" i="46"/>
  <c r="P129" i="46"/>
  <c r="P146" i="46"/>
  <c r="H144" i="46"/>
  <c r="Q126" i="46"/>
  <c r="Q143" i="46"/>
  <c r="K134" i="46"/>
  <c r="K135" i="46"/>
  <c r="Q130" i="46"/>
  <c r="Q147" i="46"/>
  <c r="P123" i="46"/>
  <c r="P140" i="46"/>
  <c r="M155" i="46"/>
  <c r="L155" i="46"/>
  <c r="P131" i="46"/>
  <c r="P148" i="46"/>
  <c r="I148" i="46"/>
  <c r="Q131" i="46"/>
  <c r="Q148" i="46"/>
  <c r="I49" i="45"/>
  <c r="F29" i="45"/>
  <c r="I145" i="46"/>
  <c r="I146" i="46"/>
  <c r="M264" i="46"/>
  <c r="M269" i="46"/>
  <c r="P264" i="46"/>
  <c r="P269" i="46"/>
  <c r="Q124" i="46"/>
  <c r="Q141" i="46"/>
  <c r="Q127" i="46"/>
  <c r="Q144" i="46"/>
  <c r="Q125" i="46"/>
  <c r="Q142" i="46"/>
  <c r="Q122" i="46"/>
  <c r="Q139" i="46"/>
  <c r="I149" i="46"/>
  <c r="I150" i="46"/>
  <c r="I155" i="46"/>
  <c r="Q132" i="46"/>
  <c r="Q149" i="46"/>
  <c r="I134" i="46"/>
  <c r="I135" i="46"/>
  <c r="G18" i="38"/>
  <c r="G44" i="38"/>
  <c r="G43" i="38"/>
  <c r="G46" i="38"/>
  <c r="G39" i="38"/>
  <c r="P134" i="46"/>
  <c r="P135" i="46"/>
  <c r="F50" i="45"/>
  <c r="I50" i="45"/>
  <c r="T69" i="35"/>
  <c r="I29" i="45"/>
  <c r="M69" i="35"/>
  <c r="L29" i="45"/>
  <c r="L49" i="45"/>
  <c r="Q150" i="46"/>
  <c r="Q155" i="46"/>
  <c r="Q134" i="46"/>
  <c r="Q135" i="46"/>
  <c r="G25" i="38"/>
  <c r="G61" i="38"/>
  <c r="G60" i="38"/>
  <c r="G63" i="38"/>
  <c r="G56" i="38"/>
  <c r="K161" i="46"/>
  <c r="K178" i="46"/>
  <c r="K164" i="46"/>
  <c r="K181" i="46"/>
  <c r="K167" i="46"/>
  <c r="K184" i="46"/>
  <c r="K163" i="46"/>
  <c r="K180" i="46"/>
  <c r="K168" i="46"/>
  <c r="K185" i="46"/>
  <c r="K165" i="46"/>
  <c r="K182" i="46"/>
  <c r="K162" i="46"/>
  <c r="K179" i="46"/>
  <c r="K169" i="46"/>
  <c r="K186" i="46"/>
  <c r="K166" i="46"/>
  <c r="K183" i="46"/>
  <c r="K171" i="46"/>
  <c r="L176" i="46"/>
  <c r="K170" i="46"/>
  <c r="K187" i="46"/>
  <c r="K160" i="46"/>
  <c r="L50" i="45"/>
  <c r="T113" i="35"/>
  <c r="C22" i="35"/>
  <c r="C69" i="35"/>
  <c r="C76" i="35"/>
  <c r="C21" i="35"/>
  <c r="C68" i="35"/>
  <c r="C20" i="35"/>
  <c r="C27" i="35"/>
  <c r="K27" i="35"/>
  <c r="L59" i="35"/>
  <c r="L60" i="35"/>
  <c r="K177" i="46"/>
  <c r="K172" i="46"/>
  <c r="K21" i="35"/>
  <c r="S21" i="35"/>
  <c r="S68" i="35"/>
  <c r="S112" i="35"/>
  <c r="S119" i="35"/>
  <c r="C29" i="35"/>
  <c r="K29" i="35"/>
  <c r="S29" i="35"/>
  <c r="S76" i="35"/>
  <c r="K74" i="35"/>
  <c r="S27" i="35"/>
  <c r="S74" i="35"/>
  <c r="C112" i="35"/>
  <c r="C119" i="35"/>
  <c r="C75" i="35"/>
  <c r="K20" i="35"/>
  <c r="K22" i="35"/>
  <c r="K69" i="35"/>
  <c r="K113" i="35"/>
  <c r="K120" i="35"/>
  <c r="C67" i="35"/>
  <c r="C28" i="35"/>
  <c r="K28" i="35"/>
  <c r="K75" i="35"/>
  <c r="C113" i="35"/>
  <c r="C120" i="35"/>
  <c r="V75" i="34"/>
  <c r="M75" i="34"/>
  <c r="V42" i="34"/>
  <c r="M42" i="34"/>
  <c r="E7" i="42"/>
  <c r="F7" i="42"/>
  <c r="K68" i="35"/>
  <c r="K112" i="35"/>
  <c r="K119" i="35"/>
  <c r="S22" i="35"/>
  <c r="S69" i="35"/>
  <c r="S113" i="35"/>
  <c r="S120" i="35"/>
  <c r="K76" i="35"/>
  <c r="S28" i="35"/>
  <c r="S75" i="35"/>
  <c r="C74" i="35"/>
  <c r="C111" i="35"/>
  <c r="C118" i="35"/>
  <c r="K67" i="35"/>
  <c r="K111" i="35"/>
  <c r="K118" i="35"/>
  <c r="S20" i="35"/>
  <c r="S67" i="35"/>
  <c r="S111" i="35"/>
  <c r="S118" i="35"/>
  <c r="N53" i="34"/>
  <c r="N54" i="34"/>
  <c r="N55" i="34"/>
  <c r="N56" i="34"/>
  <c r="O49" i="34"/>
  <c r="O48" i="34"/>
  <c r="M51" i="34"/>
  <c r="L83" i="35"/>
  <c r="D33" i="38"/>
  <c r="O81" i="34"/>
  <c r="M20" i="34"/>
  <c r="L34" i="35"/>
  <c r="D16" i="38"/>
  <c r="Q17" i="34"/>
  <c r="O19" i="34"/>
  <c r="Q19" i="34"/>
  <c r="Q18" i="34"/>
  <c r="C20" i="34"/>
  <c r="Q48" i="34"/>
  <c r="N112" i="35"/>
  <c r="N68" i="35"/>
  <c r="L121" i="35"/>
  <c r="L114" i="35"/>
  <c r="L77" i="35"/>
  <c r="L70" i="35"/>
  <c r="V112" i="35"/>
  <c r="L103" i="35"/>
  <c r="L104" i="35"/>
  <c r="L105" i="35"/>
  <c r="V68" i="35"/>
  <c r="L61" i="35"/>
  <c r="L12" i="35"/>
  <c r="L13" i="35"/>
  <c r="L14" i="35"/>
  <c r="Z93" i="34"/>
  <c r="U94" i="34"/>
  <c r="L94" i="34"/>
  <c r="B94" i="34"/>
  <c r="U93" i="34"/>
  <c r="L93" i="34"/>
  <c r="B93" i="34"/>
  <c r="U92" i="34"/>
  <c r="L92" i="34"/>
  <c r="B92" i="34"/>
  <c r="N89" i="34"/>
  <c r="V74" i="34"/>
  <c r="M74" i="34"/>
  <c r="X49" i="34"/>
  <c r="Z49" i="34"/>
  <c r="X48" i="34"/>
  <c r="X81" i="34"/>
  <c r="Z60" i="34"/>
  <c r="U75" i="35"/>
  <c r="U61" i="34"/>
  <c r="L61" i="34"/>
  <c r="B61" i="34"/>
  <c r="U60" i="34"/>
  <c r="L60" i="34"/>
  <c r="B60" i="34"/>
  <c r="U59" i="34"/>
  <c r="L59" i="34"/>
  <c r="B59" i="34"/>
  <c r="V41" i="34"/>
  <c r="M41" i="34"/>
  <c r="V20" i="34"/>
  <c r="T34" i="35"/>
  <c r="E16" i="38"/>
  <c r="F112" i="35"/>
  <c r="U114" i="35"/>
  <c r="E114" i="35"/>
  <c r="F68" i="35"/>
  <c r="U70" i="35"/>
  <c r="E70" i="35"/>
  <c r="U23" i="35"/>
  <c r="Z29" i="34"/>
  <c r="V10" i="34"/>
  <c r="V11" i="34"/>
  <c r="Z17" i="34"/>
  <c r="U30" i="34"/>
  <c r="U29" i="34"/>
  <c r="U28" i="34"/>
  <c r="X19" i="34"/>
  <c r="Z19" i="34"/>
  <c r="Z18" i="34"/>
  <c r="N25" i="34"/>
  <c r="E23" i="35"/>
  <c r="B28" i="34"/>
  <c r="M11" i="34"/>
  <c r="M10" i="34"/>
  <c r="L30" i="34"/>
  <c r="L29" i="34"/>
  <c r="L28" i="34"/>
  <c r="B30" i="34"/>
  <c r="B29" i="34"/>
  <c r="C28" i="38"/>
  <c r="C27" i="38"/>
  <c r="L30" i="35"/>
  <c r="L23" i="35"/>
  <c r="D11" i="1"/>
  <c r="F10" i="1"/>
  <c r="U28" i="35"/>
  <c r="U13" i="35"/>
  <c r="C26" i="38"/>
  <c r="E27" i="38"/>
  <c r="E28" i="38"/>
  <c r="E26" i="38"/>
  <c r="V28" i="34"/>
  <c r="T27" i="35"/>
  <c r="U119" i="35"/>
  <c r="U104" i="35"/>
  <c r="D34" i="35"/>
  <c r="C16" i="38"/>
  <c r="Z28" i="34"/>
  <c r="U27" i="35"/>
  <c r="C45" i="38"/>
  <c r="M21" i="35"/>
  <c r="T83" i="35"/>
  <c r="E33" i="38"/>
  <c r="F15" i="1"/>
  <c r="F9" i="1"/>
  <c r="U60" i="35"/>
  <c r="C44" i="38"/>
  <c r="Q49" i="34"/>
  <c r="Z30" i="34"/>
  <c r="U29" i="35"/>
  <c r="Z81" i="34"/>
  <c r="Q20" i="34"/>
  <c r="D28" i="38"/>
  <c r="D26" i="38"/>
  <c r="Q81" i="34"/>
  <c r="C62" i="38"/>
  <c r="C61" i="38"/>
  <c r="C60" i="38"/>
  <c r="X50" i="34"/>
  <c r="Z50" i="34"/>
  <c r="E45" i="38"/>
  <c r="X82" i="34"/>
  <c r="V51" i="34"/>
  <c r="Z48" i="34"/>
  <c r="E44" i="38"/>
  <c r="E43" i="38"/>
  <c r="O50" i="34"/>
  <c r="Q50" i="34"/>
  <c r="G20" i="34"/>
  <c r="Z20" i="34"/>
  <c r="O82" i="34"/>
  <c r="L126" i="35"/>
  <c r="T126" i="35"/>
  <c r="D32" i="35"/>
  <c r="C15" i="38"/>
  <c r="L62" i="35"/>
  <c r="D35" i="38"/>
  <c r="L15" i="35"/>
  <c r="D18" i="38"/>
  <c r="L106" i="35"/>
  <c r="D52" i="38"/>
  <c r="T32" i="35"/>
  <c r="E15" i="38"/>
  <c r="F21" i="35"/>
  <c r="L32" i="35"/>
  <c r="D15" i="38"/>
  <c r="D29" i="38"/>
  <c r="O19" i="38"/>
  <c r="P19" i="38"/>
  <c r="C43" i="38"/>
  <c r="Q23" i="34"/>
  <c r="C33" i="38"/>
  <c r="Q51" i="34"/>
  <c r="D45" i="38"/>
  <c r="D43" i="38"/>
  <c r="C50" i="38"/>
  <c r="L55" i="46"/>
  <c r="L72" i="46"/>
  <c r="L35" i="38"/>
  <c r="L48" i="46"/>
  <c r="L65" i="46"/>
  <c r="L47" i="46"/>
  <c r="L64" i="46"/>
  <c r="L49" i="46"/>
  <c r="L66" i="46"/>
  <c r="L54" i="46"/>
  <c r="L71" i="46"/>
  <c r="L51" i="46"/>
  <c r="L68" i="46"/>
  <c r="L50" i="46"/>
  <c r="L67" i="46"/>
  <c r="L56" i="46"/>
  <c r="L73" i="46"/>
  <c r="L57" i="46"/>
  <c r="M62" i="46"/>
  <c r="L53" i="46"/>
  <c r="L70" i="46"/>
  <c r="L52" i="46"/>
  <c r="L69" i="46"/>
  <c r="L46" i="46"/>
  <c r="K54" i="46"/>
  <c r="K71" i="46"/>
  <c r="K51" i="46"/>
  <c r="K68" i="46"/>
  <c r="K56" i="46"/>
  <c r="K73" i="46"/>
  <c r="K57" i="46"/>
  <c r="L62" i="46"/>
  <c r="K53" i="46"/>
  <c r="K70" i="46"/>
  <c r="K50" i="46"/>
  <c r="K67" i="46"/>
  <c r="K47" i="46"/>
  <c r="K64" i="46"/>
  <c r="K49" i="46"/>
  <c r="K66" i="46"/>
  <c r="K46" i="46"/>
  <c r="K55" i="46"/>
  <c r="K72" i="46"/>
  <c r="K52" i="46"/>
  <c r="K69" i="46"/>
  <c r="K48" i="46"/>
  <c r="K65" i="46"/>
  <c r="M51" i="46"/>
  <c r="M68" i="46"/>
  <c r="M56" i="46"/>
  <c r="M73" i="46"/>
  <c r="M57" i="46"/>
  <c r="M47" i="46"/>
  <c r="M64" i="46"/>
  <c r="M48" i="46"/>
  <c r="M65" i="46"/>
  <c r="M53" i="46"/>
  <c r="M70" i="46"/>
  <c r="M54" i="46"/>
  <c r="M71" i="46"/>
  <c r="M50" i="46"/>
  <c r="M67" i="46"/>
  <c r="M49" i="46"/>
  <c r="M66" i="46"/>
  <c r="M46" i="46"/>
  <c r="M52" i="46"/>
  <c r="M69" i="46"/>
  <c r="L52" i="38"/>
  <c r="M55" i="46"/>
  <c r="M72" i="46"/>
  <c r="H16" i="38"/>
  <c r="G22" i="34"/>
  <c r="H15" i="38"/>
  <c r="G51" i="34"/>
  <c r="U12" i="35"/>
  <c r="Z27" i="34"/>
  <c r="F28" i="35"/>
  <c r="M28" i="35"/>
  <c r="Z82" i="34"/>
  <c r="E61" i="38"/>
  <c r="X83" i="34"/>
  <c r="Z83" i="34"/>
  <c r="E62" i="38"/>
  <c r="Q82" i="34"/>
  <c r="O83" i="34"/>
  <c r="Q83" i="34"/>
  <c r="Z51" i="34"/>
  <c r="F13" i="35"/>
  <c r="C24" i="38"/>
  <c r="M84" i="34"/>
  <c r="L127" i="35"/>
  <c r="D50" i="38"/>
  <c r="V84" i="34"/>
  <c r="T127" i="35"/>
  <c r="E50" i="38"/>
  <c r="G84" i="34"/>
  <c r="U14" i="35"/>
  <c r="T81" i="35"/>
  <c r="E32" i="38"/>
  <c r="E46" i="38"/>
  <c r="V21" i="35"/>
  <c r="N21" i="35"/>
  <c r="E60" i="38"/>
  <c r="D125" i="35"/>
  <c r="C49" i="38"/>
  <c r="C63" i="38"/>
  <c r="Q54" i="34"/>
  <c r="Q87" i="34"/>
  <c r="Z23" i="34"/>
  <c r="V29" i="34"/>
  <c r="Q29" i="34"/>
  <c r="M63" i="46"/>
  <c r="M74" i="46"/>
  <c r="M79" i="46"/>
  <c r="M58" i="46"/>
  <c r="M59" i="46"/>
  <c r="K63" i="46"/>
  <c r="K58" i="46"/>
  <c r="K59" i="46"/>
  <c r="L58" i="46"/>
  <c r="L59" i="46"/>
  <c r="L63" i="46"/>
  <c r="L74" i="46"/>
  <c r="L79" i="46"/>
  <c r="H33" i="38"/>
  <c r="N28" i="35"/>
  <c r="M13" i="35"/>
  <c r="U30" i="35"/>
  <c r="F20" i="35"/>
  <c r="Q21" i="34"/>
  <c r="G24" i="34"/>
  <c r="G25" i="34"/>
  <c r="Z21" i="34"/>
  <c r="U15" i="35"/>
  <c r="E19" i="38"/>
  <c r="V27" i="35"/>
  <c r="H32" i="38"/>
  <c r="L125" i="35"/>
  <c r="D49" i="38"/>
  <c r="Z84" i="34"/>
  <c r="E29" i="38"/>
  <c r="Q84" i="34"/>
  <c r="D62" i="38"/>
  <c r="D60" i="38"/>
  <c r="T125" i="35"/>
  <c r="E49" i="38"/>
  <c r="E63" i="38"/>
  <c r="L81" i="35"/>
  <c r="D32" i="38"/>
  <c r="D46" i="38"/>
  <c r="D81" i="35"/>
  <c r="C32" i="38"/>
  <c r="C46" i="38"/>
  <c r="L18" i="38"/>
  <c r="D63" i="38"/>
  <c r="F104" i="35"/>
  <c r="C58" i="38"/>
  <c r="F119" i="35"/>
  <c r="M119" i="35"/>
  <c r="Z87" i="34"/>
  <c r="V93" i="34"/>
  <c r="T119" i="35"/>
  <c r="Q93" i="34"/>
  <c r="F60" i="35"/>
  <c r="C41" i="38"/>
  <c r="F75" i="35"/>
  <c r="M75" i="35"/>
  <c r="Z54" i="34"/>
  <c r="V60" i="34"/>
  <c r="T75" i="35"/>
  <c r="Q60" i="34"/>
  <c r="T28" i="35"/>
  <c r="V30" i="34"/>
  <c r="T29" i="35"/>
  <c r="G53" i="34"/>
  <c r="G55" i="34"/>
  <c r="G56" i="34"/>
  <c r="Z52" i="34"/>
  <c r="Z22" i="34"/>
  <c r="H50" i="38"/>
  <c r="N13" i="35"/>
  <c r="D24" i="38"/>
  <c r="G29" i="38"/>
  <c r="Q22" i="34"/>
  <c r="Q24" i="34"/>
  <c r="Q52" i="34"/>
  <c r="Q28" i="34"/>
  <c r="Z85" i="34"/>
  <c r="Z86" i="34"/>
  <c r="V59" i="34"/>
  <c r="T74" i="35"/>
  <c r="H49" i="38"/>
  <c r="H27" i="38"/>
  <c r="H26" i="38"/>
  <c r="M19" i="38"/>
  <c r="C29" i="38"/>
  <c r="F67" i="35"/>
  <c r="N67" i="35"/>
  <c r="T30" i="35"/>
  <c r="V29" i="35"/>
  <c r="T13" i="35"/>
  <c r="V13" i="35"/>
  <c r="E24" i="38"/>
  <c r="V28" i="35"/>
  <c r="V30" i="35"/>
  <c r="V119" i="35"/>
  <c r="T104" i="35"/>
  <c r="V104" i="35"/>
  <c r="E58" i="38"/>
  <c r="N119" i="35"/>
  <c r="M104" i="35"/>
  <c r="N104" i="35"/>
  <c r="D58" i="38"/>
  <c r="T60" i="35"/>
  <c r="V60" i="35"/>
  <c r="E41" i="38"/>
  <c r="V75" i="35"/>
  <c r="N75" i="35"/>
  <c r="M60" i="35"/>
  <c r="N60" i="35"/>
  <c r="D41" i="38"/>
  <c r="V27" i="34"/>
  <c r="Z59" i="34"/>
  <c r="U74" i="35"/>
  <c r="Z53" i="34"/>
  <c r="Z55" i="34"/>
  <c r="Z56" i="34"/>
  <c r="Z24" i="34"/>
  <c r="Z25" i="34"/>
  <c r="Q59" i="34"/>
  <c r="Q53" i="34"/>
  <c r="D23" i="35"/>
  <c r="G23" i="35"/>
  <c r="M22" i="35"/>
  <c r="N22" i="35"/>
  <c r="D70" i="35"/>
  <c r="M70" i="35"/>
  <c r="F111" i="35"/>
  <c r="N20" i="35"/>
  <c r="F22" i="35"/>
  <c r="F23" i="35"/>
  <c r="M23" i="35"/>
  <c r="Q25" i="34"/>
  <c r="G86" i="34"/>
  <c r="G88" i="34"/>
  <c r="G89" i="34"/>
  <c r="Q30" i="34"/>
  <c r="Q27" i="34"/>
  <c r="Q85" i="34"/>
  <c r="Q55" i="34"/>
  <c r="Q56" i="34"/>
  <c r="G27" i="34"/>
  <c r="C27" i="34"/>
  <c r="F27" i="35"/>
  <c r="M27" i="35"/>
  <c r="M12" i="35"/>
  <c r="V92" i="34"/>
  <c r="T118" i="35"/>
  <c r="Z92" i="34"/>
  <c r="U118" i="35"/>
  <c r="Z88" i="34"/>
  <c r="Z89" i="34"/>
  <c r="Z61" i="34"/>
  <c r="Z58" i="34"/>
  <c r="T23" i="35"/>
  <c r="T12" i="35"/>
  <c r="V20" i="35"/>
  <c r="V61" i="34"/>
  <c r="T76" i="35"/>
  <c r="N111" i="35"/>
  <c r="H44" i="38"/>
  <c r="H43" i="38"/>
  <c r="H46" i="38"/>
  <c r="F113" i="35"/>
  <c r="F69" i="35"/>
  <c r="F70" i="35"/>
  <c r="U76" i="35"/>
  <c r="U61" i="35"/>
  <c r="V76" i="35"/>
  <c r="N69" i="35"/>
  <c r="N70" i="35"/>
  <c r="D114" i="35"/>
  <c r="M113" i="35"/>
  <c r="F114" i="35"/>
  <c r="N23" i="35"/>
  <c r="O23" i="35"/>
  <c r="V111" i="35"/>
  <c r="V67" i="35"/>
  <c r="E30" i="35"/>
  <c r="F29" i="35"/>
  <c r="D30" i="35"/>
  <c r="Q61" i="34"/>
  <c r="H31" i="34"/>
  <c r="F12" i="35"/>
  <c r="C22" i="38"/>
  <c r="F74" i="35"/>
  <c r="M74" i="35"/>
  <c r="N27" i="35"/>
  <c r="C58" i="34"/>
  <c r="G58" i="34"/>
  <c r="E77" i="35"/>
  <c r="Q86" i="34"/>
  <c r="Q88" i="34"/>
  <c r="Q89" i="34"/>
  <c r="Q92" i="34"/>
  <c r="U59" i="35"/>
  <c r="U77" i="35"/>
  <c r="T77" i="35"/>
  <c r="V74" i="35"/>
  <c r="V12" i="35"/>
  <c r="E22" i="38"/>
  <c r="Z94" i="34"/>
  <c r="V58" i="34"/>
  <c r="V22" i="35"/>
  <c r="V23" i="35"/>
  <c r="T14" i="35"/>
  <c r="V94" i="34"/>
  <c r="T120" i="35"/>
  <c r="H61" i="38"/>
  <c r="H60" i="38"/>
  <c r="H63" i="38"/>
  <c r="O18" i="38"/>
  <c r="G17" i="38"/>
  <c r="U120" i="35"/>
  <c r="U105" i="35"/>
  <c r="F29" i="46"/>
  <c r="F199" i="46"/>
  <c r="F216" i="46"/>
  <c r="F206" i="46"/>
  <c r="F223" i="46"/>
  <c r="F88" i="46"/>
  <c r="F105" i="46"/>
  <c r="F47" i="46"/>
  <c r="F64" i="46"/>
  <c r="F53" i="46"/>
  <c r="F70" i="46"/>
  <c r="F94" i="46"/>
  <c r="F111" i="46"/>
  <c r="F87" i="46"/>
  <c r="F104" i="46"/>
  <c r="F198" i="46"/>
  <c r="F205" i="46"/>
  <c r="F222" i="46"/>
  <c r="F52" i="46"/>
  <c r="F69" i="46"/>
  <c r="F27" i="46"/>
  <c r="F171" i="46"/>
  <c r="F169" i="46"/>
  <c r="F186" i="46"/>
  <c r="F170" i="46"/>
  <c r="F187" i="46"/>
  <c r="F89" i="46"/>
  <c r="F106" i="46"/>
  <c r="F86" i="46"/>
  <c r="F103" i="46"/>
  <c r="F91" i="46"/>
  <c r="F108" i="46"/>
  <c r="F204" i="46"/>
  <c r="F221" i="46"/>
  <c r="F92" i="46"/>
  <c r="F109" i="46"/>
  <c r="F207" i="46"/>
  <c r="F224" i="46"/>
  <c r="F200" i="46"/>
  <c r="F217" i="46"/>
  <c r="F208" i="46"/>
  <c r="F225" i="46"/>
  <c r="F123" i="46"/>
  <c r="F140" i="46"/>
  <c r="F93" i="46"/>
  <c r="F110" i="46"/>
  <c r="F202" i="46"/>
  <c r="F219" i="46"/>
  <c r="F35" i="46"/>
  <c r="F30" i="46"/>
  <c r="F28" i="46"/>
  <c r="F163" i="46"/>
  <c r="F180" i="46"/>
  <c r="F132" i="46"/>
  <c r="F149" i="46"/>
  <c r="F54" i="46"/>
  <c r="F71" i="46"/>
  <c r="F129" i="46"/>
  <c r="F146" i="46"/>
  <c r="F128" i="46"/>
  <c r="F145" i="46"/>
  <c r="F166" i="46"/>
  <c r="F183" i="46"/>
  <c r="F56" i="46"/>
  <c r="F73" i="46"/>
  <c r="F33" i="46"/>
  <c r="F84" i="46"/>
  <c r="F164" i="46"/>
  <c r="F181" i="46"/>
  <c r="F130" i="46"/>
  <c r="F147" i="46"/>
  <c r="F131" i="46"/>
  <c r="F148" i="46"/>
  <c r="F133" i="46"/>
  <c r="F160" i="46"/>
  <c r="F165" i="46"/>
  <c r="F182" i="46"/>
  <c r="F127" i="46"/>
  <c r="F144" i="46"/>
  <c r="F85" i="46"/>
  <c r="F102" i="46"/>
  <c r="F201" i="46"/>
  <c r="F218" i="46"/>
  <c r="F48" i="46"/>
  <c r="F65" i="46"/>
  <c r="F51" i="46"/>
  <c r="F68" i="46"/>
  <c r="F46" i="46"/>
  <c r="F161" i="46"/>
  <c r="F178" i="46"/>
  <c r="F124" i="46"/>
  <c r="F141" i="46"/>
  <c r="F26" i="46"/>
  <c r="F32" i="46"/>
  <c r="F31" i="46"/>
  <c r="F55" i="46"/>
  <c r="F72" i="46"/>
  <c r="F126" i="46"/>
  <c r="F143" i="46"/>
  <c r="F203" i="46"/>
  <c r="F220" i="46"/>
  <c r="F90" i="46"/>
  <c r="F107" i="46"/>
  <c r="F95" i="46"/>
  <c r="F50" i="46"/>
  <c r="F67" i="46"/>
  <c r="F125" i="46"/>
  <c r="F142" i="46"/>
  <c r="F168" i="46"/>
  <c r="F185" i="46"/>
  <c r="F162" i="46"/>
  <c r="F179" i="46"/>
  <c r="F57" i="46"/>
  <c r="F49" i="46"/>
  <c r="F66" i="46"/>
  <c r="F122" i="46"/>
  <c r="F34" i="46"/>
  <c r="F209" i="46"/>
  <c r="F167" i="46"/>
  <c r="F184" i="46"/>
  <c r="O17" i="38"/>
  <c r="G20" i="38"/>
  <c r="V77" i="35"/>
  <c r="F30" i="35"/>
  <c r="G30" i="35"/>
  <c r="M29" i="35"/>
  <c r="T59" i="35"/>
  <c r="M114" i="35"/>
  <c r="N113" i="35"/>
  <c r="N114" i="35"/>
  <c r="O114" i="35"/>
  <c r="T61" i="35"/>
  <c r="T103" i="35"/>
  <c r="V120" i="35"/>
  <c r="C91" i="34"/>
  <c r="H62" i="34"/>
  <c r="F76" i="35"/>
  <c r="F59" i="35"/>
  <c r="C39" i="38"/>
  <c r="K19" i="38"/>
  <c r="G91" i="34"/>
  <c r="N12" i="35"/>
  <c r="D22" i="38"/>
  <c r="D77" i="35"/>
  <c r="Q94" i="34"/>
  <c r="Q58" i="34"/>
  <c r="F118" i="35"/>
  <c r="M118" i="35"/>
  <c r="D121" i="35"/>
  <c r="M59" i="35"/>
  <c r="N74" i="35"/>
  <c r="K36" i="38"/>
  <c r="F14" i="35"/>
  <c r="V118" i="35"/>
  <c r="T121" i="35"/>
  <c r="V14" i="35"/>
  <c r="T15" i="35"/>
  <c r="E18" i="38"/>
  <c r="AA62" i="34"/>
  <c r="U62" i="35"/>
  <c r="E36" i="38"/>
  <c r="M36" i="38"/>
  <c r="U103" i="35"/>
  <c r="V91" i="34"/>
  <c r="Z91" i="34"/>
  <c r="V113" i="35"/>
  <c r="V114" i="35"/>
  <c r="T114" i="35"/>
  <c r="T105" i="35"/>
  <c r="H29" i="38"/>
  <c r="N19" i="38"/>
  <c r="K76" i="46"/>
  <c r="R76" i="46"/>
  <c r="K62" i="46"/>
  <c r="U121" i="35"/>
  <c r="G162" i="46"/>
  <c r="G164" i="46"/>
  <c r="G168" i="46"/>
  <c r="G171" i="46"/>
  <c r="G163" i="46"/>
  <c r="G169" i="46"/>
  <c r="G166" i="46"/>
  <c r="G161" i="46"/>
  <c r="G165" i="46"/>
  <c r="G167" i="46"/>
  <c r="G160" i="46"/>
  <c r="G170" i="46"/>
  <c r="K90" i="46"/>
  <c r="K107" i="46"/>
  <c r="K89" i="46"/>
  <c r="K106" i="46"/>
  <c r="K95" i="46"/>
  <c r="L100" i="46"/>
  <c r="K84" i="46"/>
  <c r="K88" i="46"/>
  <c r="K105" i="46"/>
  <c r="K94" i="46"/>
  <c r="K111" i="46"/>
  <c r="K86" i="46"/>
  <c r="K103" i="46"/>
  <c r="K92" i="46"/>
  <c r="K109" i="46"/>
  <c r="K91" i="46"/>
  <c r="K108" i="46"/>
  <c r="K93" i="46"/>
  <c r="K110" i="46"/>
  <c r="K87" i="46"/>
  <c r="K104" i="46"/>
  <c r="K85" i="46"/>
  <c r="K102" i="46"/>
  <c r="V15" i="35"/>
  <c r="E25" i="38"/>
  <c r="F15" i="35"/>
  <c r="G15" i="35"/>
  <c r="C25" i="38"/>
  <c r="H22" i="38"/>
  <c r="H24" i="38"/>
  <c r="F63" i="46"/>
  <c r="F74" i="46"/>
  <c r="F58" i="46"/>
  <c r="F101" i="46"/>
  <c r="F112" i="46"/>
  <c r="F96" i="46"/>
  <c r="F139" i="46"/>
  <c r="F150" i="46"/>
  <c r="F134" i="46"/>
  <c r="K100" i="46"/>
  <c r="G100" i="46"/>
  <c r="G138" i="46"/>
  <c r="K138" i="46"/>
  <c r="K150" i="46"/>
  <c r="K176" i="46"/>
  <c r="K188" i="46"/>
  <c r="G176" i="46"/>
  <c r="K214" i="46"/>
  <c r="G214" i="46"/>
  <c r="F177" i="46"/>
  <c r="F188" i="46"/>
  <c r="F172" i="46"/>
  <c r="G76" i="46"/>
  <c r="G62" i="46"/>
  <c r="K74" i="46"/>
  <c r="K79" i="46"/>
  <c r="F25" i="46"/>
  <c r="F36" i="46"/>
  <c r="F20" i="46"/>
  <c r="F215" i="46"/>
  <c r="F226" i="46"/>
  <c r="F210" i="46"/>
  <c r="K24" i="46"/>
  <c r="G24" i="46"/>
  <c r="O20" i="38"/>
  <c r="G21" i="38"/>
  <c r="V59" i="35"/>
  <c r="E39" i="38"/>
  <c r="F77" i="35"/>
  <c r="M76" i="35"/>
  <c r="N76" i="35"/>
  <c r="N77" i="35"/>
  <c r="V121" i="35"/>
  <c r="N29" i="35"/>
  <c r="N30" i="35"/>
  <c r="O30" i="35"/>
  <c r="M14" i="35"/>
  <c r="M30" i="35"/>
  <c r="V69" i="35"/>
  <c r="V70" i="35"/>
  <c r="V103" i="35"/>
  <c r="E56" i="38"/>
  <c r="T70" i="35"/>
  <c r="N118" i="35"/>
  <c r="M103" i="35"/>
  <c r="N59" i="35"/>
  <c r="D39" i="38"/>
  <c r="Q91" i="34"/>
  <c r="E121" i="35"/>
  <c r="F103" i="35"/>
  <c r="C56" i="38"/>
  <c r="K53" i="38"/>
  <c r="F120" i="35"/>
  <c r="F105" i="35"/>
  <c r="C59" i="38"/>
  <c r="H95" i="34"/>
  <c r="F61" i="35"/>
  <c r="T62" i="35"/>
  <c r="E35" i="38"/>
  <c r="V61" i="35"/>
  <c r="U106" i="35"/>
  <c r="E53" i="38"/>
  <c r="M53" i="38"/>
  <c r="AA95" i="34"/>
  <c r="T106" i="35"/>
  <c r="E52" i="38"/>
  <c r="V105" i="35"/>
  <c r="E59" i="38"/>
  <c r="K193" i="46"/>
  <c r="K155" i="46"/>
  <c r="G187" i="46"/>
  <c r="O170" i="46"/>
  <c r="O187" i="46"/>
  <c r="G177" i="46"/>
  <c r="G172" i="46"/>
  <c r="O160" i="46"/>
  <c r="G180" i="46"/>
  <c r="O163" i="46"/>
  <c r="O180" i="46"/>
  <c r="G184" i="46"/>
  <c r="O167" i="46"/>
  <c r="O184" i="46"/>
  <c r="H176" i="46"/>
  <c r="O171" i="46"/>
  <c r="P176" i="46"/>
  <c r="G182" i="46"/>
  <c r="O165" i="46"/>
  <c r="O182" i="46"/>
  <c r="G185" i="46"/>
  <c r="O168" i="46"/>
  <c r="O185" i="46"/>
  <c r="G183" i="46"/>
  <c r="O166" i="46"/>
  <c r="O183" i="46"/>
  <c r="G186" i="46"/>
  <c r="O169" i="46"/>
  <c r="O186" i="46"/>
  <c r="G178" i="46"/>
  <c r="O161" i="46"/>
  <c r="O178" i="46"/>
  <c r="G181" i="46"/>
  <c r="O164" i="46"/>
  <c r="O181" i="46"/>
  <c r="O162" i="46"/>
  <c r="O179" i="46"/>
  <c r="G179" i="46"/>
  <c r="M77" i="35"/>
  <c r="M35" i="38"/>
  <c r="L91" i="46"/>
  <c r="L108" i="46"/>
  <c r="L85" i="46"/>
  <c r="L102" i="46"/>
  <c r="L84" i="46"/>
  <c r="L87" i="46"/>
  <c r="L104" i="46"/>
  <c r="L89" i="46"/>
  <c r="L106" i="46"/>
  <c r="L90" i="46"/>
  <c r="L107" i="46"/>
  <c r="L88" i="46"/>
  <c r="L105" i="46"/>
  <c r="L95" i="46"/>
  <c r="M100" i="46"/>
  <c r="L94" i="46"/>
  <c r="L111" i="46"/>
  <c r="L86" i="46"/>
  <c r="L103" i="46"/>
  <c r="L93" i="46"/>
  <c r="L110" i="46"/>
  <c r="E34" i="38"/>
  <c r="L92" i="46"/>
  <c r="L109" i="46"/>
  <c r="K101" i="46"/>
  <c r="K112" i="46"/>
  <c r="K96" i="46"/>
  <c r="K97" i="46"/>
  <c r="V62" i="35"/>
  <c r="E42" i="38"/>
  <c r="M92" i="46"/>
  <c r="M109" i="46"/>
  <c r="M87" i="46"/>
  <c r="M104" i="46"/>
  <c r="M85" i="46"/>
  <c r="M102" i="46"/>
  <c r="M94" i="46"/>
  <c r="M111" i="46"/>
  <c r="M89" i="46"/>
  <c r="M106" i="46"/>
  <c r="M52" i="38"/>
  <c r="M86" i="46"/>
  <c r="M103" i="46"/>
  <c r="M95" i="46"/>
  <c r="M90" i="46"/>
  <c r="M93" i="46"/>
  <c r="M110" i="46"/>
  <c r="M91" i="46"/>
  <c r="M108" i="46"/>
  <c r="M88" i="46"/>
  <c r="M105" i="46"/>
  <c r="M84" i="46"/>
  <c r="E51" i="38"/>
  <c r="K21" i="46"/>
  <c r="F62" i="35"/>
  <c r="G62" i="35"/>
  <c r="C42" i="38"/>
  <c r="K35" i="38"/>
  <c r="K52" i="38"/>
  <c r="H56" i="38"/>
  <c r="H39" i="38"/>
  <c r="G41" i="38"/>
  <c r="H25" i="38"/>
  <c r="M61" i="35"/>
  <c r="M62" i="35"/>
  <c r="D36" i="38"/>
  <c r="F121" i="35"/>
  <c r="M120" i="35"/>
  <c r="M121" i="35"/>
  <c r="V106" i="35"/>
  <c r="N14" i="35"/>
  <c r="M15" i="35"/>
  <c r="D19" i="38"/>
  <c r="F106" i="35"/>
  <c r="N103" i="35"/>
  <c r="D56" i="38"/>
  <c r="M105" i="35"/>
  <c r="M106" i="35"/>
  <c r="D53" i="38"/>
  <c r="D51" i="38"/>
  <c r="K117" i="46"/>
  <c r="G188" i="46"/>
  <c r="G193" i="46"/>
  <c r="G173" i="46"/>
  <c r="K173" i="46"/>
  <c r="O177" i="46"/>
  <c r="O188" i="46"/>
  <c r="O172" i="46"/>
  <c r="O173" i="46"/>
  <c r="N61" i="35"/>
  <c r="D42" i="38"/>
  <c r="L101" i="46"/>
  <c r="L112" i="46"/>
  <c r="L96" i="46"/>
  <c r="L97" i="46"/>
  <c r="M51" i="38"/>
  <c r="E54" i="38"/>
  <c r="M101" i="46"/>
  <c r="M96" i="46"/>
  <c r="M97" i="46"/>
  <c r="M107" i="46"/>
  <c r="E37" i="38"/>
  <c r="M34" i="38"/>
  <c r="N15" i="35"/>
  <c r="O15" i="35"/>
  <c r="D25" i="38"/>
  <c r="K34" i="38"/>
  <c r="L36" i="38"/>
  <c r="D34" i="38"/>
  <c r="K51" i="38"/>
  <c r="M21" i="46"/>
  <c r="L21" i="46"/>
  <c r="L53" i="38"/>
  <c r="G58" i="38"/>
  <c r="H18" i="38"/>
  <c r="G35" i="38"/>
  <c r="G42" i="38"/>
  <c r="H41" i="38"/>
  <c r="G106" i="35"/>
  <c r="N120" i="35"/>
  <c r="N121" i="35"/>
  <c r="K18" i="38"/>
  <c r="E17" i="38"/>
  <c r="M18" i="38"/>
  <c r="F17" i="38"/>
  <c r="N18" i="38"/>
  <c r="K199" i="46"/>
  <c r="K216" i="46"/>
  <c r="K198" i="46"/>
  <c r="N105" i="35"/>
  <c r="N62" i="35"/>
  <c r="O62" i="35"/>
  <c r="L117" i="46"/>
  <c r="O193" i="46"/>
  <c r="E55" i="38"/>
  <c r="I95" i="46"/>
  <c r="Q95" i="46"/>
  <c r="I94" i="46"/>
  <c r="I92" i="46"/>
  <c r="M54" i="38"/>
  <c r="I90" i="46"/>
  <c r="I88" i="46"/>
  <c r="I89" i="46"/>
  <c r="I85" i="46"/>
  <c r="I87" i="46"/>
  <c r="I86" i="46"/>
  <c r="I91" i="46"/>
  <c r="I84" i="46"/>
  <c r="I93" i="46"/>
  <c r="H85" i="46"/>
  <c r="H84" i="46"/>
  <c r="H89" i="46"/>
  <c r="H88" i="46"/>
  <c r="H92" i="46"/>
  <c r="H95" i="46"/>
  <c r="H93" i="46"/>
  <c r="H90" i="46"/>
  <c r="H87" i="46"/>
  <c r="H94" i="46"/>
  <c r="H91" i="46"/>
  <c r="H86" i="46"/>
  <c r="E38" i="38"/>
  <c r="M37" i="38"/>
  <c r="M112" i="46"/>
  <c r="L34" i="38"/>
  <c r="D37" i="38"/>
  <c r="D54" i="38"/>
  <c r="L51" i="38"/>
  <c r="K37" i="38"/>
  <c r="C38" i="38"/>
  <c r="C55" i="38"/>
  <c r="K54" i="38"/>
  <c r="N106" i="35"/>
  <c r="O106" i="35"/>
  <c r="D59" i="38"/>
  <c r="K209" i="46"/>
  <c r="L214" i="46"/>
  <c r="K207" i="46"/>
  <c r="K224" i="46"/>
  <c r="K206" i="46"/>
  <c r="K223" i="46"/>
  <c r="K208" i="46"/>
  <c r="K225" i="46"/>
  <c r="K200" i="46"/>
  <c r="K217" i="46"/>
  <c r="K201" i="46"/>
  <c r="K218" i="46"/>
  <c r="K205" i="46"/>
  <c r="K222" i="46"/>
  <c r="K204" i="46"/>
  <c r="K221" i="46"/>
  <c r="K203" i="46"/>
  <c r="K220" i="46"/>
  <c r="H35" i="38"/>
  <c r="K215" i="46"/>
  <c r="G34" i="38"/>
  <c r="L162" i="46"/>
  <c r="L179" i="46"/>
  <c r="L161" i="46"/>
  <c r="L178" i="46"/>
  <c r="L164" i="46"/>
  <c r="L181" i="46"/>
  <c r="L163" i="46"/>
  <c r="L180" i="46"/>
  <c r="L171" i="46"/>
  <c r="M176" i="46"/>
  <c r="L170" i="46"/>
  <c r="L187" i="46"/>
  <c r="L166" i="46"/>
  <c r="L183" i="46"/>
  <c r="O35" i="38"/>
  <c r="L167" i="46"/>
  <c r="L184" i="46"/>
  <c r="L165" i="46"/>
  <c r="L182" i="46"/>
  <c r="L169" i="46"/>
  <c r="L186" i="46"/>
  <c r="L160" i="46"/>
  <c r="L168" i="46"/>
  <c r="L185" i="46"/>
  <c r="H58" i="38"/>
  <c r="K202" i="46"/>
  <c r="K219" i="46"/>
  <c r="G52" i="38"/>
  <c r="G59" i="38"/>
  <c r="H42" i="38"/>
  <c r="M17" i="38"/>
  <c r="E20" i="38"/>
  <c r="N17" i="38"/>
  <c r="F20" i="38"/>
  <c r="G124" i="46"/>
  <c r="K17" i="38"/>
  <c r="L19" i="38"/>
  <c r="D17" i="38"/>
  <c r="K8" i="42"/>
  <c r="M117" i="46"/>
  <c r="G132" i="46"/>
  <c r="G127" i="46"/>
  <c r="G144" i="46"/>
  <c r="G128" i="46"/>
  <c r="G126" i="46"/>
  <c r="G123" i="46"/>
  <c r="G131" i="46"/>
  <c r="G133" i="46"/>
  <c r="G130" i="46"/>
  <c r="G129" i="46"/>
  <c r="G125" i="46"/>
  <c r="G122" i="46"/>
  <c r="H105" i="46"/>
  <c r="P88" i="46"/>
  <c r="P105" i="46"/>
  <c r="H104" i="46"/>
  <c r="P87" i="46"/>
  <c r="P104" i="46"/>
  <c r="H106" i="46"/>
  <c r="P89" i="46"/>
  <c r="P106" i="46"/>
  <c r="I103" i="46"/>
  <c r="Q86" i="46"/>
  <c r="Q103" i="46"/>
  <c r="G92" i="46"/>
  <c r="G90" i="46"/>
  <c r="G91" i="46"/>
  <c r="G87" i="46"/>
  <c r="G84" i="46"/>
  <c r="G89" i="46"/>
  <c r="G88" i="46"/>
  <c r="G86" i="46"/>
  <c r="G85" i="46"/>
  <c r="G94" i="46"/>
  <c r="G95" i="46"/>
  <c r="G93" i="46"/>
  <c r="H111" i="46"/>
  <c r="P94" i="46"/>
  <c r="P111" i="46"/>
  <c r="I107" i="46"/>
  <c r="Q90" i="46"/>
  <c r="Q107" i="46"/>
  <c r="H107" i="46"/>
  <c r="P90" i="46"/>
  <c r="P107" i="46"/>
  <c r="P84" i="46"/>
  <c r="H96" i="46"/>
  <c r="H97" i="46"/>
  <c r="H101" i="46"/>
  <c r="Q87" i="46"/>
  <c r="Q104" i="46"/>
  <c r="I104" i="46"/>
  <c r="Q92" i="46"/>
  <c r="Q109" i="46"/>
  <c r="I109" i="46"/>
  <c r="I102" i="46"/>
  <c r="Q85" i="46"/>
  <c r="Q102" i="46"/>
  <c r="H110" i="46"/>
  <c r="P93" i="46"/>
  <c r="P110" i="46"/>
  <c r="H102" i="46"/>
  <c r="P85" i="46"/>
  <c r="P102" i="46"/>
  <c r="I111" i="46"/>
  <c r="Q94" i="46"/>
  <c r="Q111" i="46"/>
  <c r="H103" i="46"/>
  <c r="P86" i="46"/>
  <c r="P103" i="46"/>
  <c r="I100" i="46"/>
  <c r="P95" i="46"/>
  <c r="Q100" i="46"/>
  <c r="I110" i="46"/>
  <c r="Q93" i="46"/>
  <c r="Q110" i="46"/>
  <c r="I106" i="46"/>
  <c r="Q89" i="46"/>
  <c r="Q106" i="46"/>
  <c r="I108" i="46"/>
  <c r="Q91" i="46"/>
  <c r="Q108" i="46"/>
  <c r="P91" i="46"/>
  <c r="P108" i="46"/>
  <c r="H108" i="46"/>
  <c r="H109" i="46"/>
  <c r="P92" i="46"/>
  <c r="P109" i="46"/>
  <c r="I96" i="46"/>
  <c r="I97" i="46"/>
  <c r="I101" i="46"/>
  <c r="Q84" i="46"/>
  <c r="I105" i="46"/>
  <c r="Q88" i="46"/>
  <c r="Q105" i="46"/>
  <c r="H33" i="46"/>
  <c r="H29" i="46"/>
  <c r="I33" i="46"/>
  <c r="I30" i="46"/>
  <c r="I26" i="46"/>
  <c r="I32" i="46"/>
  <c r="I24" i="46"/>
  <c r="H34" i="46"/>
  <c r="I28" i="46"/>
  <c r="H25" i="46"/>
  <c r="H21" i="46"/>
  <c r="I35" i="46"/>
  <c r="H27" i="46"/>
  <c r="H30" i="46"/>
  <c r="D55" i="38"/>
  <c r="I57" i="46"/>
  <c r="Q57" i="46"/>
  <c r="I47" i="46"/>
  <c r="I54" i="46"/>
  <c r="I48" i="46"/>
  <c r="I50" i="46"/>
  <c r="I53" i="46"/>
  <c r="I55" i="46"/>
  <c r="I52" i="46"/>
  <c r="I46" i="46"/>
  <c r="I56" i="46"/>
  <c r="I49" i="46"/>
  <c r="I51" i="46"/>
  <c r="L54" i="38"/>
  <c r="I31" i="46"/>
  <c r="I21" i="46"/>
  <c r="I25" i="46"/>
  <c r="I27" i="46"/>
  <c r="H31" i="46"/>
  <c r="I34" i="46"/>
  <c r="I29" i="46"/>
  <c r="H32" i="46"/>
  <c r="H28" i="46"/>
  <c r="L37" i="38"/>
  <c r="H50" i="46"/>
  <c r="H56" i="46"/>
  <c r="H47" i="46"/>
  <c r="H49" i="46"/>
  <c r="H53" i="46"/>
  <c r="H48" i="46"/>
  <c r="H51" i="46"/>
  <c r="H55" i="46"/>
  <c r="H54" i="46"/>
  <c r="H57" i="46"/>
  <c r="D38" i="38"/>
  <c r="H52" i="46"/>
  <c r="H46" i="46"/>
  <c r="H26" i="46"/>
  <c r="H35" i="46"/>
  <c r="K210" i="46"/>
  <c r="L206" i="46"/>
  <c r="L223" i="46"/>
  <c r="L205" i="46"/>
  <c r="L222" i="46"/>
  <c r="K226" i="46"/>
  <c r="H34" i="38"/>
  <c r="P34" i="38"/>
  <c r="L202" i="46"/>
  <c r="L219" i="46"/>
  <c r="L203" i="46"/>
  <c r="L220" i="46"/>
  <c r="L199" i="46"/>
  <c r="L216" i="46"/>
  <c r="L209" i="46"/>
  <c r="M214" i="46"/>
  <c r="L208" i="46"/>
  <c r="L225" i="46"/>
  <c r="L200" i="46"/>
  <c r="L217" i="46"/>
  <c r="L204" i="46"/>
  <c r="L221" i="46"/>
  <c r="L198" i="46"/>
  <c r="L215" i="46"/>
  <c r="L201" i="46"/>
  <c r="L218" i="46"/>
  <c r="G51" i="38"/>
  <c r="O52" i="38"/>
  <c r="M170" i="46"/>
  <c r="M187" i="46"/>
  <c r="M165" i="46"/>
  <c r="M182" i="46"/>
  <c r="M164" i="46"/>
  <c r="M181" i="46"/>
  <c r="M162" i="46"/>
  <c r="M179" i="46"/>
  <c r="M168" i="46"/>
  <c r="M185" i="46"/>
  <c r="M166" i="46"/>
  <c r="M183" i="46"/>
  <c r="M169" i="46"/>
  <c r="M186" i="46"/>
  <c r="M167" i="46"/>
  <c r="M184" i="46"/>
  <c r="M161" i="46"/>
  <c r="M178" i="46"/>
  <c r="M171" i="46"/>
  <c r="M163" i="46"/>
  <c r="M180" i="46"/>
  <c r="M160" i="46"/>
  <c r="L207" i="46"/>
  <c r="L224" i="46"/>
  <c r="P35" i="38"/>
  <c r="L177" i="46"/>
  <c r="L188" i="46"/>
  <c r="L172" i="46"/>
  <c r="O34" i="38"/>
  <c r="G37" i="38"/>
  <c r="H59" i="38"/>
  <c r="N20" i="38"/>
  <c r="F21" i="38"/>
  <c r="L17" i="38"/>
  <c r="D20" i="38"/>
  <c r="M20" i="38"/>
  <c r="K20" i="38"/>
  <c r="C21" i="38"/>
  <c r="H17" i="38"/>
  <c r="P18" i="38"/>
  <c r="K231" i="46"/>
  <c r="L193" i="46"/>
  <c r="O122" i="46"/>
  <c r="G139" i="46"/>
  <c r="G134" i="46"/>
  <c r="G135" i="46"/>
  <c r="O123" i="46"/>
  <c r="O140" i="46"/>
  <c r="G140" i="46"/>
  <c r="G142" i="46"/>
  <c r="O125" i="46"/>
  <c r="O142" i="46"/>
  <c r="G143" i="46"/>
  <c r="O126" i="46"/>
  <c r="O143" i="46"/>
  <c r="O129" i="46"/>
  <c r="O146" i="46"/>
  <c r="G146" i="46"/>
  <c r="G141" i="46"/>
  <c r="O124" i="46"/>
  <c r="O141" i="46"/>
  <c r="O130" i="46"/>
  <c r="O147" i="46"/>
  <c r="G147" i="46"/>
  <c r="G145" i="46"/>
  <c r="O128" i="46"/>
  <c r="O145" i="46"/>
  <c r="O133" i="46"/>
  <c r="P138" i="46"/>
  <c r="P150" i="46"/>
  <c r="H138" i="46"/>
  <c r="H150" i="46"/>
  <c r="H155" i="46"/>
  <c r="O127" i="46"/>
  <c r="O144" i="46"/>
  <c r="G148" i="46"/>
  <c r="O131" i="46"/>
  <c r="O148" i="46"/>
  <c r="G149" i="46"/>
  <c r="O132" i="46"/>
  <c r="O149" i="46"/>
  <c r="Q101" i="46"/>
  <c r="Q112" i="46"/>
  <c r="Q96" i="46"/>
  <c r="Q97" i="46"/>
  <c r="G103" i="46"/>
  <c r="O86" i="46"/>
  <c r="O103" i="46"/>
  <c r="G107" i="46"/>
  <c r="O90" i="46"/>
  <c r="O107" i="46"/>
  <c r="G108" i="46"/>
  <c r="O91" i="46"/>
  <c r="O108" i="46"/>
  <c r="P101" i="46"/>
  <c r="P96" i="46"/>
  <c r="P97" i="46"/>
  <c r="G105" i="46"/>
  <c r="O88" i="46"/>
  <c r="O105" i="46"/>
  <c r="G109" i="46"/>
  <c r="O92" i="46"/>
  <c r="O109" i="46"/>
  <c r="G104" i="46"/>
  <c r="O87" i="46"/>
  <c r="O104" i="46"/>
  <c r="I112" i="46"/>
  <c r="I117" i="46"/>
  <c r="G110" i="46"/>
  <c r="O93" i="46"/>
  <c r="O110" i="46"/>
  <c r="G106" i="46"/>
  <c r="O89" i="46"/>
  <c r="O106" i="46"/>
  <c r="G111" i="46"/>
  <c r="O94" i="46"/>
  <c r="O111" i="46"/>
  <c r="G102" i="46"/>
  <c r="O85" i="46"/>
  <c r="O102" i="46"/>
  <c r="H100" i="46"/>
  <c r="H112" i="46"/>
  <c r="H117" i="46"/>
  <c r="O95" i="46"/>
  <c r="P100" i="46"/>
  <c r="O84" i="46"/>
  <c r="G96" i="46"/>
  <c r="G97" i="46"/>
  <c r="G101" i="46"/>
  <c r="H67" i="46"/>
  <c r="P50" i="46"/>
  <c r="P67" i="46"/>
  <c r="Q47" i="46"/>
  <c r="Q64" i="46"/>
  <c r="I64" i="46"/>
  <c r="G30" i="46"/>
  <c r="G32" i="46"/>
  <c r="H69" i="46"/>
  <c r="P52" i="46"/>
  <c r="P69" i="46"/>
  <c r="P48" i="46"/>
  <c r="P65" i="46"/>
  <c r="H65" i="46"/>
  <c r="I72" i="46"/>
  <c r="Q55" i="46"/>
  <c r="Q72" i="46"/>
  <c r="G34" i="46"/>
  <c r="G35" i="46"/>
  <c r="H68" i="46"/>
  <c r="P51" i="46"/>
  <c r="P68" i="46"/>
  <c r="I69" i="46"/>
  <c r="Q52" i="46"/>
  <c r="Q69" i="46"/>
  <c r="H70" i="46"/>
  <c r="P53" i="46"/>
  <c r="P70" i="46"/>
  <c r="Q21" i="46"/>
  <c r="I68" i="46"/>
  <c r="Q51" i="46"/>
  <c r="Q68" i="46"/>
  <c r="I70" i="46"/>
  <c r="Q53" i="46"/>
  <c r="Q70" i="46"/>
  <c r="H24" i="46"/>
  <c r="H36" i="46"/>
  <c r="H41" i="46"/>
  <c r="G25" i="46"/>
  <c r="G21" i="46"/>
  <c r="G47" i="46"/>
  <c r="G57" i="46"/>
  <c r="G50" i="46"/>
  <c r="G46" i="46"/>
  <c r="G54" i="46"/>
  <c r="G49" i="46"/>
  <c r="G53" i="46"/>
  <c r="G51" i="46"/>
  <c r="G48" i="46"/>
  <c r="G56" i="46"/>
  <c r="G52" i="46"/>
  <c r="G55" i="46"/>
  <c r="I62" i="46"/>
  <c r="P57" i="46"/>
  <c r="Q62" i="46"/>
  <c r="H66" i="46"/>
  <c r="P49" i="46"/>
  <c r="P66" i="46"/>
  <c r="I66" i="46"/>
  <c r="Q49" i="46"/>
  <c r="Q66" i="46"/>
  <c r="I67" i="46"/>
  <c r="Q50" i="46"/>
  <c r="Q67" i="46"/>
  <c r="P21" i="46"/>
  <c r="G26" i="46"/>
  <c r="G29" i="46"/>
  <c r="H63" i="46"/>
  <c r="P46" i="46"/>
  <c r="H58" i="46"/>
  <c r="H59" i="46"/>
  <c r="P54" i="46"/>
  <c r="P71" i="46"/>
  <c r="H71" i="46"/>
  <c r="H64" i="46"/>
  <c r="P47" i="46"/>
  <c r="P64" i="46"/>
  <c r="I73" i="46"/>
  <c r="Q56" i="46"/>
  <c r="Q73" i="46"/>
  <c r="Q48" i="46"/>
  <c r="Q65" i="46"/>
  <c r="I65" i="46"/>
  <c r="I36" i="46"/>
  <c r="I41" i="46"/>
  <c r="G33" i="46"/>
  <c r="G27" i="46"/>
  <c r="H72" i="46"/>
  <c r="P55" i="46"/>
  <c r="P72" i="46"/>
  <c r="H73" i="46"/>
  <c r="P56" i="46"/>
  <c r="P73" i="46"/>
  <c r="I63" i="46"/>
  <c r="I58" i="46"/>
  <c r="I59" i="46"/>
  <c r="Q46" i="46"/>
  <c r="I71" i="46"/>
  <c r="Q54" i="46"/>
  <c r="Q71" i="46"/>
  <c r="G31" i="46"/>
  <c r="G28" i="46"/>
  <c r="H37" i="38"/>
  <c r="H199" i="46"/>
  <c r="L226" i="46"/>
  <c r="L210" i="46"/>
  <c r="G38" i="38"/>
  <c r="H167" i="46"/>
  <c r="H170" i="46"/>
  <c r="H169" i="46"/>
  <c r="H164" i="46"/>
  <c r="H162" i="46"/>
  <c r="H160" i="46"/>
  <c r="H168" i="46"/>
  <c r="H171" i="46"/>
  <c r="H165" i="46"/>
  <c r="H163" i="46"/>
  <c r="H166" i="46"/>
  <c r="H161" i="46"/>
  <c r="O37" i="38"/>
  <c r="M177" i="46"/>
  <c r="M188" i="46"/>
  <c r="M172" i="46"/>
  <c r="H52" i="38"/>
  <c r="H51" i="38"/>
  <c r="G54" i="38"/>
  <c r="O51" i="38"/>
  <c r="L20" i="38"/>
  <c r="D21" i="38"/>
  <c r="P17" i="38"/>
  <c r="H20" i="38"/>
  <c r="P112" i="46"/>
  <c r="P117" i="46"/>
  <c r="L231" i="46"/>
  <c r="H202" i="46"/>
  <c r="H219" i="46"/>
  <c r="Q117" i="46"/>
  <c r="M193" i="46"/>
  <c r="P155" i="46"/>
  <c r="G150" i="46"/>
  <c r="G155" i="46"/>
  <c r="O139" i="46"/>
  <c r="O150" i="46"/>
  <c r="O134" i="46"/>
  <c r="O135" i="46"/>
  <c r="K10" i="42"/>
  <c r="O101" i="46"/>
  <c r="O112" i="46"/>
  <c r="O96" i="46"/>
  <c r="O97" i="46"/>
  <c r="G112" i="46"/>
  <c r="G117" i="46"/>
  <c r="I74" i="46"/>
  <c r="I79" i="46"/>
  <c r="G72" i="46"/>
  <c r="O55" i="46"/>
  <c r="O72" i="46"/>
  <c r="O49" i="46"/>
  <c r="O66" i="46"/>
  <c r="G66" i="46"/>
  <c r="G64" i="46"/>
  <c r="O47" i="46"/>
  <c r="O64" i="46"/>
  <c r="G69" i="46"/>
  <c r="O52" i="46"/>
  <c r="O69" i="46"/>
  <c r="G36" i="46"/>
  <c r="G41" i="46"/>
  <c r="P63" i="46"/>
  <c r="P58" i="46"/>
  <c r="P59" i="46"/>
  <c r="G73" i="46"/>
  <c r="O56" i="46"/>
  <c r="O73" i="46"/>
  <c r="G63" i="46"/>
  <c r="O46" i="46"/>
  <c r="G58" i="46"/>
  <c r="G59" i="46"/>
  <c r="O21" i="46"/>
  <c r="G70" i="46"/>
  <c r="O53" i="46"/>
  <c r="O70" i="46"/>
  <c r="O54" i="46"/>
  <c r="O71" i="46"/>
  <c r="G71" i="46"/>
  <c r="O48" i="46"/>
  <c r="O65" i="46"/>
  <c r="G65" i="46"/>
  <c r="G67" i="46"/>
  <c r="O50" i="46"/>
  <c r="O67" i="46"/>
  <c r="Q58" i="46"/>
  <c r="Q59" i="46"/>
  <c r="Q63" i="46"/>
  <c r="Q74" i="46"/>
  <c r="G68" i="46"/>
  <c r="O51" i="46"/>
  <c r="O68" i="46"/>
  <c r="H62" i="46"/>
  <c r="H74" i="46"/>
  <c r="H79" i="46"/>
  <c r="O57" i="46"/>
  <c r="P62" i="46"/>
  <c r="H209" i="46"/>
  <c r="I214" i="46"/>
  <c r="H203" i="46"/>
  <c r="H220" i="46"/>
  <c r="H208" i="46"/>
  <c r="P208" i="46"/>
  <c r="P225" i="46"/>
  <c r="H206" i="46"/>
  <c r="H223" i="46"/>
  <c r="H207" i="46"/>
  <c r="P207" i="46"/>
  <c r="P224" i="46"/>
  <c r="H38" i="38"/>
  <c r="M202" i="46"/>
  <c r="M219" i="46"/>
  <c r="M204" i="46"/>
  <c r="M221" i="46"/>
  <c r="P52" i="38"/>
  <c r="M200" i="46"/>
  <c r="M217" i="46"/>
  <c r="M207" i="46"/>
  <c r="M224" i="46"/>
  <c r="H204" i="46"/>
  <c r="P204" i="46"/>
  <c r="P221" i="46"/>
  <c r="H205" i="46"/>
  <c r="H222" i="46"/>
  <c r="H198" i="46"/>
  <c r="H215" i="46"/>
  <c r="M209" i="46"/>
  <c r="H201" i="46"/>
  <c r="P201" i="46"/>
  <c r="P218" i="46"/>
  <c r="H200" i="46"/>
  <c r="H217" i="46"/>
  <c r="M206" i="46"/>
  <c r="M223" i="46"/>
  <c r="M205" i="46"/>
  <c r="M222" i="46"/>
  <c r="P37" i="38"/>
  <c r="M208" i="46"/>
  <c r="M225" i="46"/>
  <c r="M203" i="46"/>
  <c r="M220" i="46"/>
  <c r="M198" i="46"/>
  <c r="M215" i="46"/>
  <c r="H177" i="46"/>
  <c r="H172" i="46"/>
  <c r="P160" i="46"/>
  <c r="H180" i="46"/>
  <c r="P163" i="46"/>
  <c r="P180" i="46"/>
  <c r="H181" i="46"/>
  <c r="P164" i="46"/>
  <c r="P181" i="46"/>
  <c r="G55" i="38"/>
  <c r="I162" i="46"/>
  <c r="O54" i="38"/>
  <c r="I166" i="46"/>
  <c r="I169" i="46"/>
  <c r="I160" i="46"/>
  <c r="I170" i="46"/>
  <c r="I168" i="46"/>
  <c r="I167" i="46"/>
  <c r="I171" i="46"/>
  <c r="Q171" i="46"/>
  <c r="I161" i="46"/>
  <c r="I165" i="46"/>
  <c r="I164" i="46"/>
  <c r="I163" i="46"/>
  <c r="H183" i="46"/>
  <c r="P166" i="46"/>
  <c r="P183" i="46"/>
  <c r="H182" i="46"/>
  <c r="P165" i="46"/>
  <c r="P182" i="46"/>
  <c r="H186" i="46"/>
  <c r="P169" i="46"/>
  <c r="P186" i="46"/>
  <c r="I176" i="46"/>
  <c r="P171" i="46"/>
  <c r="Q176" i="46"/>
  <c r="H187" i="46"/>
  <c r="P170" i="46"/>
  <c r="P187" i="46"/>
  <c r="P161" i="46"/>
  <c r="P178" i="46"/>
  <c r="H178" i="46"/>
  <c r="H179" i="46"/>
  <c r="P162" i="46"/>
  <c r="P179" i="46"/>
  <c r="M201" i="46"/>
  <c r="M218" i="46"/>
  <c r="M199" i="46"/>
  <c r="M216" i="46"/>
  <c r="P168" i="46"/>
  <c r="P185" i="46"/>
  <c r="H185" i="46"/>
  <c r="H184" i="46"/>
  <c r="P167" i="46"/>
  <c r="P184" i="46"/>
  <c r="G205" i="46"/>
  <c r="G206" i="46"/>
  <c r="G201" i="46"/>
  <c r="G207" i="46"/>
  <c r="G199" i="46"/>
  <c r="G202" i="46"/>
  <c r="G204" i="46"/>
  <c r="G203" i="46"/>
  <c r="G209" i="46"/>
  <c r="G208" i="46"/>
  <c r="G198" i="46"/>
  <c r="G200" i="46"/>
  <c r="H54" i="38"/>
  <c r="P51" i="38"/>
  <c r="P199" i="46"/>
  <c r="P216" i="46"/>
  <c r="H216" i="46"/>
  <c r="P20" i="38"/>
  <c r="H21" i="38"/>
  <c r="P202" i="46"/>
  <c r="P219" i="46"/>
  <c r="Q79" i="46"/>
  <c r="O117" i="46"/>
  <c r="O155" i="46"/>
  <c r="P198" i="46"/>
  <c r="P215" i="46"/>
  <c r="P203" i="46"/>
  <c r="P220" i="46"/>
  <c r="I7" i="42"/>
  <c r="K7" i="42"/>
  <c r="H225" i="46"/>
  <c r="P74" i="46"/>
  <c r="O63" i="46"/>
  <c r="O74" i="46"/>
  <c r="O79" i="46"/>
  <c r="O58" i="46"/>
  <c r="O59" i="46"/>
  <c r="G74" i="46"/>
  <c r="G79" i="46"/>
  <c r="P209" i="46"/>
  <c r="Q214" i="46"/>
  <c r="P206" i="46"/>
  <c r="P223" i="46"/>
  <c r="H224" i="46"/>
  <c r="H221" i="46"/>
  <c r="P205" i="46"/>
  <c r="P222" i="46"/>
  <c r="H218" i="46"/>
  <c r="P200" i="46"/>
  <c r="P217" i="46"/>
  <c r="H210" i="46"/>
  <c r="H211" i="46"/>
  <c r="I178" i="46"/>
  <c r="Q161" i="46"/>
  <c r="Q178" i="46"/>
  <c r="I183" i="46"/>
  <c r="Q166" i="46"/>
  <c r="Q183" i="46"/>
  <c r="M210" i="46"/>
  <c r="I184" i="46"/>
  <c r="Q167" i="46"/>
  <c r="Q184" i="46"/>
  <c r="I186" i="46"/>
  <c r="Q169" i="46"/>
  <c r="Q186" i="46"/>
  <c r="M226" i="46"/>
  <c r="Q163" i="46"/>
  <c r="Q180" i="46"/>
  <c r="I180" i="46"/>
  <c r="Q168" i="46"/>
  <c r="Q185" i="46"/>
  <c r="I185" i="46"/>
  <c r="I179" i="46"/>
  <c r="Q162" i="46"/>
  <c r="Q179" i="46"/>
  <c r="P177" i="46"/>
  <c r="P188" i="46"/>
  <c r="P172" i="46"/>
  <c r="P173" i="46"/>
  <c r="I181" i="46"/>
  <c r="Q164" i="46"/>
  <c r="Q181" i="46"/>
  <c r="I187" i="46"/>
  <c r="Q170" i="46"/>
  <c r="Q187" i="46"/>
  <c r="H173" i="46"/>
  <c r="L173" i="46"/>
  <c r="I182" i="46"/>
  <c r="Q165" i="46"/>
  <c r="Q182" i="46"/>
  <c r="I177" i="46"/>
  <c r="Q160" i="46"/>
  <c r="I172" i="46"/>
  <c r="H188" i="46"/>
  <c r="H193" i="46"/>
  <c r="I203" i="46"/>
  <c r="I202" i="46"/>
  <c r="I208" i="46"/>
  <c r="I209" i="46"/>
  <c r="Q209" i="46"/>
  <c r="I205" i="46"/>
  <c r="I204" i="46"/>
  <c r="H55" i="38"/>
  <c r="I198" i="46"/>
  <c r="P54" i="38"/>
  <c r="I206" i="46"/>
  <c r="I200" i="46"/>
  <c r="I207" i="46"/>
  <c r="I199" i="46"/>
  <c r="I201" i="46"/>
  <c r="H214" i="46"/>
  <c r="O209" i="46"/>
  <c r="P214" i="46"/>
  <c r="G218" i="46"/>
  <c r="O201" i="46"/>
  <c r="O218" i="46"/>
  <c r="G224" i="46"/>
  <c r="O207" i="46"/>
  <c r="O224" i="46"/>
  <c r="G220" i="46"/>
  <c r="O203" i="46"/>
  <c r="O220" i="46"/>
  <c r="G221" i="46"/>
  <c r="O204" i="46"/>
  <c r="O221" i="46"/>
  <c r="O205" i="46"/>
  <c r="O222" i="46"/>
  <c r="G222" i="46"/>
  <c r="O200" i="46"/>
  <c r="O217" i="46"/>
  <c r="G217" i="46"/>
  <c r="G219" i="46"/>
  <c r="O202" i="46"/>
  <c r="O219" i="46"/>
  <c r="G225" i="46"/>
  <c r="O208" i="46"/>
  <c r="O225" i="46"/>
  <c r="G223" i="46"/>
  <c r="O206" i="46"/>
  <c r="O223" i="46"/>
  <c r="G215" i="46"/>
  <c r="G210" i="46"/>
  <c r="O198" i="46"/>
  <c r="G216" i="46"/>
  <c r="O199" i="46"/>
  <c r="O216" i="46"/>
  <c r="M231" i="46"/>
  <c r="P79" i="46"/>
  <c r="P193" i="46"/>
  <c r="H7" i="42"/>
  <c r="G7" i="42"/>
  <c r="H226" i="46"/>
  <c r="H231" i="46"/>
  <c r="L211" i="46"/>
  <c r="P210" i="46"/>
  <c r="P211" i="46"/>
  <c r="P226" i="46"/>
  <c r="I188" i="46"/>
  <c r="I193" i="46"/>
  <c r="G226" i="46"/>
  <c r="G231" i="46"/>
  <c r="Q177" i="46"/>
  <c r="Q188" i="46"/>
  <c r="Q172" i="46"/>
  <c r="Q173" i="46"/>
  <c r="I173" i="46"/>
  <c r="M173" i="46"/>
  <c r="Q207" i="46"/>
  <c r="Q224" i="46"/>
  <c r="I224" i="46"/>
  <c r="I221" i="46"/>
  <c r="Q204" i="46"/>
  <c r="Q221" i="46"/>
  <c r="Q200" i="46"/>
  <c r="Q217" i="46"/>
  <c r="I217" i="46"/>
  <c r="Q205" i="46"/>
  <c r="Q222" i="46"/>
  <c r="I222" i="46"/>
  <c r="I225" i="46"/>
  <c r="Q208" i="46"/>
  <c r="Q225" i="46"/>
  <c r="O215" i="46"/>
  <c r="O226" i="46"/>
  <c r="O210" i="46"/>
  <c r="O211" i="46"/>
  <c r="I218" i="46"/>
  <c r="Q201" i="46"/>
  <c r="Q218" i="46"/>
  <c r="I215" i="46"/>
  <c r="Q198" i="46"/>
  <c r="I210" i="46"/>
  <c r="I219" i="46"/>
  <c r="Q202" i="46"/>
  <c r="Q219" i="46"/>
  <c r="I223" i="46"/>
  <c r="Q206" i="46"/>
  <c r="Q223" i="46"/>
  <c r="G211" i="46"/>
  <c r="K211" i="46"/>
  <c r="Q199" i="46"/>
  <c r="Q216" i="46"/>
  <c r="I216" i="46"/>
  <c r="Q203" i="46"/>
  <c r="Q220" i="46"/>
  <c r="I220" i="46"/>
  <c r="P231" i="46"/>
  <c r="O231" i="46"/>
  <c r="Q193" i="46"/>
  <c r="I211" i="46"/>
  <c r="M211" i="46"/>
  <c r="Q215" i="46"/>
  <c r="Q226" i="46"/>
  <c r="Q210" i="46"/>
  <c r="Q211" i="46"/>
  <c r="I226" i="46"/>
  <c r="I231" i="46"/>
  <c r="Q23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F5D23DDD-FEEF-409A-A437-5E8ADF70DE35}">
      <text>
        <r>
          <rPr>
            <b/>
            <sz val="14"/>
            <color indexed="81"/>
            <rFont val="Tahoma"/>
            <family val="2"/>
            <charset val="186"/>
          </rPr>
          <t>Author:</t>
        </r>
        <r>
          <rPr>
            <sz val="14"/>
            <color indexed="81"/>
            <rFont val="Tahoma"/>
            <family val="2"/>
            <charset val="186"/>
          </rPr>
          <t xml:space="preserve">
Prognozējamā atlikuma summa, kas radusies no izmaiņām darba devēja VSAOI ar 01.01.2021.
Prognozējamais atlikums novirzīts, lai daļēji segtu min.algas izmaiņas ar 01.01.2021. ietekmi 244 800 euro februāra naudas plūsmā (norēķins par 2021. gada janvāri)</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23" authorId="0" shapeId="0" xr:uid="{218EFC4F-E397-4880-B0A5-369BFB8AA8F9}">
      <text>
        <r>
          <rPr>
            <b/>
            <sz val="9"/>
            <color indexed="81"/>
            <rFont val="Tahoma"/>
            <family val="2"/>
            <charset val="186"/>
          </rPr>
          <t>Author:</t>
        </r>
        <r>
          <rPr>
            <sz val="9"/>
            <color indexed="81"/>
            <rFont val="Tahoma"/>
            <family val="2"/>
            <charset val="186"/>
          </rPr>
          <t xml:space="preserve">
Atbilstoši 2019. gada faktiskajiempakalpojuma izpildes rādītājiem vidēji uz 1 bērnu 103.77 euro</t>
        </r>
      </text>
    </comment>
    <comment ref="H31" authorId="0" shapeId="0" xr:uid="{6D9E3AB1-DB14-422D-B507-135DC7BC2C8C}">
      <text>
        <r>
          <rPr>
            <b/>
            <sz val="9"/>
            <color indexed="81"/>
            <rFont val="Tahoma"/>
            <family val="2"/>
            <charset val="186"/>
          </rPr>
          <t>Author:</t>
        </r>
        <r>
          <rPr>
            <sz val="9"/>
            <color indexed="81"/>
            <rFont val="Tahoma"/>
            <family val="2"/>
            <charset val="186"/>
          </rPr>
          <t xml:space="preserve">
Pārbaude, jābūt 0</t>
        </r>
      </text>
    </comment>
    <comment ref="R31" authorId="0" shapeId="0" xr:uid="{4560F1D5-1B82-415F-BA83-3647322000EE}">
      <text>
        <r>
          <rPr>
            <b/>
            <sz val="9"/>
            <color indexed="81"/>
            <rFont val="Tahoma"/>
            <family val="2"/>
            <charset val="186"/>
          </rPr>
          <t>Author:</t>
        </r>
        <r>
          <rPr>
            <sz val="9"/>
            <color indexed="81"/>
            <rFont val="Tahoma"/>
            <family val="2"/>
            <charset val="186"/>
          </rPr>
          <t xml:space="preserve">
Pārbaude, jābūt 0</t>
        </r>
      </text>
    </comment>
    <comment ref="AA31" authorId="0" shapeId="0" xr:uid="{D549DAA5-AC58-447B-BC5A-F6A73902ED47}">
      <text>
        <r>
          <rPr>
            <b/>
            <sz val="9"/>
            <color indexed="81"/>
            <rFont val="Tahoma"/>
            <family val="2"/>
            <charset val="186"/>
          </rPr>
          <t>Author:</t>
        </r>
        <r>
          <rPr>
            <sz val="9"/>
            <color indexed="81"/>
            <rFont val="Tahoma"/>
            <family val="2"/>
            <charset val="186"/>
          </rPr>
          <t xml:space="preserve">
Pārbaude, jābūt 0</t>
        </r>
      </text>
    </comment>
    <comment ref="G54" authorId="0" shapeId="0" xr:uid="{61B02B98-1AF3-4DD4-84B2-8347FE8FC3D7}">
      <text>
        <r>
          <rPr>
            <b/>
            <sz val="9"/>
            <color indexed="81"/>
            <rFont val="Tahoma"/>
            <family val="2"/>
            <charset val="186"/>
          </rPr>
          <t>Author:</t>
        </r>
        <r>
          <rPr>
            <sz val="9"/>
            <color indexed="81"/>
            <rFont val="Tahoma"/>
            <family val="2"/>
            <charset val="186"/>
          </rPr>
          <t xml:space="preserve">
Atbilstoši 2019. gada faktiskajiempakalpojuma izpildes rādītājiem vidēji uz 1 bērnu 103.77 euro</t>
        </r>
      </text>
    </comment>
    <comment ref="H62" authorId="0" shapeId="0" xr:uid="{2DC94C5B-C324-4710-AB4E-03D024B97D6A}">
      <text>
        <r>
          <rPr>
            <b/>
            <sz val="9"/>
            <color indexed="81"/>
            <rFont val="Tahoma"/>
            <family val="2"/>
            <charset val="186"/>
          </rPr>
          <t>Author:</t>
        </r>
        <r>
          <rPr>
            <sz val="9"/>
            <color indexed="81"/>
            <rFont val="Tahoma"/>
            <family val="2"/>
            <charset val="186"/>
          </rPr>
          <t xml:space="preserve">
Pārbaude, jābūt 0</t>
        </r>
      </text>
    </comment>
    <comment ref="R62" authorId="0" shapeId="0" xr:uid="{2562F202-CB6B-44C1-8B0C-51CA9CAF3813}">
      <text>
        <r>
          <rPr>
            <b/>
            <sz val="9"/>
            <color indexed="81"/>
            <rFont val="Tahoma"/>
            <family val="2"/>
            <charset val="186"/>
          </rPr>
          <t>Author:</t>
        </r>
        <r>
          <rPr>
            <sz val="9"/>
            <color indexed="81"/>
            <rFont val="Tahoma"/>
            <family val="2"/>
            <charset val="186"/>
          </rPr>
          <t xml:space="preserve">
Pārbaude, jābūt 0</t>
        </r>
      </text>
    </comment>
    <comment ref="AA62" authorId="0" shapeId="0" xr:uid="{208D270D-8A09-4743-A594-D0CDC57F9D1F}">
      <text>
        <r>
          <rPr>
            <b/>
            <sz val="9"/>
            <color indexed="81"/>
            <rFont val="Tahoma"/>
            <family val="2"/>
            <charset val="186"/>
          </rPr>
          <t>Author:</t>
        </r>
        <r>
          <rPr>
            <sz val="9"/>
            <color indexed="81"/>
            <rFont val="Tahoma"/>
            <family val="2"/>
            <charset val="186"/>
          </rPr>
          <t xml:space="preserve">
Pārbaude, jābūt 0</t>
        </r>
      </text>
    </comment>
    <comment ref="G87" authorId="0" shapeId="0" xr:uid="{12A9669C-096A-4D39-9893-BF3024B8207E}">
      <text>
        <r>
          <rPr>
            <b/>
            <sz val="9"/>
            <color indexed="81"/>
            <rFont val="Tahoma"/>
            <family val="2"/>
            <charset val="186"/>
          </rPr>
          <t>Author:</t>
        </r>
        <r>
          <rPr>
            <sz val="9"/>
            <color indexed="81"/>
            <rFont val="Tahoma"/>
            <family val="2"/>
            <charset val="186"/>
          </rPr>
          <t xml:space="preserve">
Atbilstoši 2019. gada faktiskajiempakalpojuma izpildes rādītājiem vidēji uz 1 bērnu 103.77 euro</t>
        </r>
      </text>
    </comment>
    <comment ref="H95" authorId="0" shapeId="0" xr:uid="{B6CE5155-2868-4339-9652-C77A2AB9A792}">
      <text>
        <r>
          <rPr>
            <b/>
            <sz val="9"/>
            <color indexed="81"/>
            <rFont val="Tahoma"/>
            <family val="2"/>
            <charset val="186"/>
          </rPr>
          <t>Author:</t>
        </r>
        <r>
          <rPr>
            <sz val="9"/>
            <color indexed="81"/>
            <rFont val="Tahoma"/>
            <family val="2"/>
            <charset val="186"/>
          </rPr>
          <t xml:space="preserve">
Pārbaude, jābūt 0</t>
        </r>
      </text>
    </comment>
    <comment ref="R95" authorId="0" shapeId="0" xr:uid="{E55217F0-8A4B-4C1E-A69F-336087F38E6B}">
      <text>
        <r>
          <rPr>
            <b/>
            <sz val="9"/>
            <color indexed="81"/>
            <rFont val="Tahoma"/>
            <family val="2"/>
            <charset val="186"/>
          </rPr>
          <t>Author:</t>
        </r>
        <r>
          <rPr>
            <sz val="9"/>
            <color indexed="81"/>
            <rFont val="Tahoma"/>
            <family val="2"/>
            <charset val="186"/>
          </rPr>
          <t xml:space="preserve">
Pārbaude, jābūt 0</t>
        </r>
      </text>
    </comment>
    <comment ref="AA95" authorId="0" shapeId="0" xr:uid="{5354356E-ABD5-4973-9399-8E66B57FB551}">
      <text>
        <r>
          <rPr>
            <b/>
            <sz val="9"/>
            <color indexed="81"/>
            <rFont val="Tahoma"/>
            <family val="2"/>
            <charset val="186"/>
          </rPr>
          <t>Author:</t>
        </r>
        <r>
          <rPr>
            <sz val="9"/>
            <color indexed="81"/>
            <rFont val="Tahoma"/>
            <family val="2"/>
            <charset val="186"/>
          </rPr>
          <t xml:space="preserve">
Pārbaude, jābūt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76" authorId="0" shapeId="0" xr:uid="{0188B61D-472C-491D-B406-46FECB025A43}">
      <text>
        <r>
          <rPr>
            <b/>
            <sz val="9"/>
            <color indexed="81"/>
            <rFont val="Tahoma"/>
            <family val="2"/>
            <charset val="186"/>
          </rPr>
          <t>Author:</t>
        </r>
        <r>
          <rPr>
            <sz val="9"/>
            <color indexed="81"/>
            <rFont val="Tahoma"/>
            <family val="2"/>
            <charset val="186"/>
          </rPr>
          <t xml:space="preserve">
piejamais finansejums samazināts par 136 600, jo tas tiek novirzīts IT</t>
        </r>
      </text>
    </comment>
    <comment ref="K152" authorId="0" shapeId="0" xr:uid="{03584B15-2BC7-4DF5-8C92-300A7356FDB7}">
      <text>
        <r>
          <rPr>
            <b/>
            <sz val="9"/>
            <color indexed="81"/>
            <rFont val="Tahoma"/>
            <family val="2"/>
            <charset val="186"/>
          </rPr>
          <t>Autor:</t>
        </r>
        <r>
          <rPr>
            <sz val="9"/>
            <color indexed="81"/>
            <rFont val="Tahoma"/>
            <family val="2"/>
            <charset val="186"/>
          </rPr>
          <t xml:space="preserve">
+ 1 978 349 EURO valsts pabalsts asistenta pakalpojuma izmantošanai personām ar 1.gr.invaliditāt/redze
i (izmaksā VSAA)</t>
        </r>
      </text>
    </comment>
    <comment ref="L152" authorId="0" shapeId="0" xr:uid="{D2E69852-FBA9-4603-9A54-66BF69E118E0}">
      <text>
        <r>
          <rPr>
            <b/>
            <sz val="9"/>
            <color indexed="81"/>
            <rFont val="Tahoma"/>
            <family val="2"/>
            <charset val="186"/>
          </rPr>
          <t>Author:</t>
        </r>
        <r>
          <rPr>
            <sz val="9"/>
            <color indexed="81"/>
            <rFont val="Tahoma"/>
            <family val="2"/>
            <charset val="186"/>
          </rPr>
          <t xml:space="preserve">
+ 2 055 827 EURO valsts pabalsts asistenta pakalpojuma izmantošanai personām ar 1.gr.invaliditāt/redze
i (izmaksā VSAA)</t>
        </r>
      </text>
    </comment>
    <comment ref="M152" authorId="0" shapeId="0" xr:uid="{E3BE97F6-7F5F-40D9-ACA0-62659894EA56}">
      <text>
        <r>
          <rPr>
            <b/>
            <sz val="9"/>
            <color indexed="81"/>
            <rFont val="Tahoma"/>
            <family val="2"/>
            <charset val="186"/>
          </rPr>
          <t>Author:</t>
        </r>
        <r>
          <rPr>
            <sz val="9"/>
            <color indexed="81"/>
            <rFont val="Tahoma"/>
            <family val="2"/>
            <charset val="186"/>
          </rPr>
          <t xml:space="preserve">
+ 2 055 827 EURO valsts pabalsts asistenta pakalpojuma izmantošanai personām ar 1.gr.invaliditāt/redze
i (izmaksā VSAA)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0" authorId="0" shapeId="0" xr:uid="{0F44D4A6-995B-42A7-A8E0-115BBBBC678A}">
      <text>
        <r>
          <rPr>
            <b/>
            <sz val="9"/>
            <color indexed="81"/>
            <rFont val="Tahoma"/>
            <family val="2"/>
            <charset val="186"/>
          </rPr>
          <t>Author:</t>
        </r>
        <r>
          <rPr>
            <sz val="9"/>
            <color indexed="81"/>
            <rFont val="Tahoma"/>
            <family val="2"/>
            <charset val="186"/>
          </rPr>
          <t xml:space="preserve">
Izmaksas vidēji mēnesī periodā jūnijs - decembris</t>
        </r>
      </text>
    </comment>
    <comment ref="D31" authorId="0" shapeId="0" xr:uid="{03FE9693-AFBD-400B-A562-A0F6EB7E316A}">
      <text>
        <r>
          <rPr>
            <b/>
            <sz val="9"/>
            <color indexed="81"/>
            <rFont val="Tahoma"/>
            <family val="2"/>
            <charset val="186"/>
          </rPr>
          <t>Author:</t>
        </r>
        <r>
          <rPr>
            <sz val="9"/>
            <color indexed="81"/>
            <rFont val="Tahoma"/>
            <family val="2"/>
            <charset val="186"/>
          </rPr>
          <t xml:space="preserve">
Norēķins par 2018. gada decembri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0" authorId="0" shapeId="0" xr:uid="{81613460-FDE4-4181-A754-2BA4AB5577AA}">
      <text>
        <r>
          <rPr>
            <b/>
            <sz val="9"/>
            <color indexed="81"/>
            <rFont val="Tahoma"/>
            <family val="2"/>
            <charset val="186"/>
          </rPr>
          <t>Author:</t>
        </r>
        <r>
          <rPr>
            <sz val="9"/>
            <color indexed="81"/>
            <rFont val="Tahoma"/>
            <family val="2"/>
            <charset val="186"/>
          </rPr>
          <t xml:space="preserve">
Izmaksas vidēji mēnesī periodā jūnijs - decembris</t>
        </r>
      </text>
    </comment>
    <comment ref="D31" authorId="0" shapeId="0" xr:uid="{5C826B15-8085-492C-8BE8-357A2CD53150}">
      <text>
        <r>
          <rPr>
            <b/>
            <sz val="9"/>
            <color indexed="81"/>
            <rFont val="Tahoma"/>
            <family val="2"/>
            <charset val="186"/>
          </rPr>
          <t>Author:</t>
        </r>
        <r>
          <rPr>
            <sz val="9"/>
            <color indexed="81"/>
            <rFont val="Tahoma"/>
            <family val="2"/>
            <charset val="186"/>
          </rPr>
          <t xml:space="preserve">
Norēķins par 2018. gada decembri</t>
        </r>
      </text>
    </comment>
  </commentList>
</comments>
</file>

<file path=xl/sharedStrings.xml><?xml version="1.0" encoding="utf-8"?>
<sst xmlns="http://schemas.openxmlformats.org/spreadsheetml/2006/main" count="2379" uniqueCount="320">
  <si>
    <t>Izdevumu posteņa nosaukums</t>
  </si>
  <si>
    <t>vienas vienības cena EURO</t>
  </si>
  <si>
    <t>vienas vienības cena EURO, mēn</t>
  </si>
  <si>
    <t>Vienība</t>
  </si>
  <si>
    <t>x</t>
  </si>
  <si>
    <t>1. Tiešās pakalpojuma aktivitātes un izmaksas</t>
  </si>
  <si>
    <t>Nr. p. k.</t>
  </si>
  <si>
    <t>1.1.</t>
  </si>
  <si>
    <t>Tiešās pakalpojuma aktivitātes un izmaksas KOPĀ:</t>
  </si>
  <si>
    <t>2. Ar pakalpojuma organizēšanu saistītās aktivitātes un izmaksas</t>
  </si>
  <si>
    <t>2.1.</t>
  </si>
  <si>
    <t>Ar pakalpojuma organizēšanu saistītās aktivitātes un izmaksas KOPĀ:</t>
  </si>
  <si>
    <t>KOPĀ</t>
  </si>
  <si>
    <t>Asistenta atlīdzība</t>
  </si>
  <si>
    <t>Aprēķins</t>
  </si>
  <si>
    <t>Komentāri</t>
  </si>
  <si>
    <t>Pakalpojuma administrēšanas izmaksas:</t>
  </si>
  <si>
    <t>1 slodze</t>
  </si>
  <si>
    <t>Asistenta pakalpojuma izmaksas mēnesī /                                                                                           1h cena*:</t>
  </si>
  <si>
    <t>1 h vidējās izmaksas, EURO</t>
  </si>
  <si>
    <t>Apjoms mēnesī, EURO</t>
  </si>
  <si>
    <t>Kopā izmaksas mēnesī, EURO</t>
  </si>
  <si>
    <t>Bērni</t>
  </si>
  <si>
    <t>*</t>
  </si>
  <si>
    <t>PNA kā vienīgais attaisnojuma dokuments par pakalpojuma faktisko apjomu</t>
  </si>
  <si>
    <t>(h/mēn.)</t>
  </si>
  <si>
    <t>Koeficients 1</t>
  </si>
  <si>
    <t>Koeficients 2</t>
  </si>
  <si>
    <t>lai strādātu algotu darbu, veiktu saimniecisko darbību vai nodarbotos ar paraolimpisko sportu</t>
  </si>
  <si>
    <t>lai nokļūtu uz/ no pamata, vidējās, profesionālās vai augstākās izglītības iestādi</t>
  </si>
  <si>
    <t>lai veiktu brīvprātīgā darbu (tikai oficiāli noformētas līgumattiecības)</t>
  </si>
  <si>
    <t>lai nokļūtu uz/no dienas aprūpes centru vai specializēto darbnīcu</t>
  </si>
  <si>
    <t>lai  saņemtu regulāras (ne retāk, kā reizi nedēļā), ārsta nozīmētas medicīniskas procedūras, īpašas medicīniskās rehabilitācijas programmas (hemodialīze, ķīmijterapija,  u.tml.)</t>
  </si>
  <si>
    <t>lai apmeklētu ārstu, sociālus pasākumus un veiktu citas ikdienas darbības</t>
  </si>
  <si>
    <t>Plānotais pakalpojuma saņēmēju skaits</t>
  </si>
  <si>
    <t>2021. gads</t>
  </si>
  <si>
    <t>Izdevumu kopā, euro</t>
  </si>
  <si>
    <t>h sk. gadā</t>
  </si>
  <si>
    <t>Asistentam atlīdzības izmaksas pielīdzinātas valsts sociālās aprūpes centros aprūpētājam noteiktai maksimālajai mēnešalgai, t.i.,   algas apmērs atbilstoši MK 29.01.2013. noteikumiem Nr.66 "Noteikumi par valsts un pašvaldību institūciju amatpersonu un darbinieku darba samaksu un tās noteikšanas kārtību"  - 3 mēnešalgu grupa 3 kategorijas maksimālā robeža.</t>
  </si>
  <si>
    <t>Izdevumi KOPĀ</t>
  </si>
  <si>
    <t>Administrēšanas izdevumiem plānots ne vairāk kā 5% no pakalpojuma tiešajām (asistenta atlīdzība)  izmaksām</t>
  </si>
  <si>
    <t>2021.gads</t>
  </si>
  <si>
    <t>valsts</t>
  </si>
  <si>
    <t>Administrēšana 5%, euro</t>
  </si>
  <si>
    <t>2022.gads</t>
  </si>
  <si>
    <t>2022. gads</t>
  </si>
  <si>
    <t>2023. gads</t>
  </si>
  <si>
    <t>pašvaldība</t>
  </si>
  <si>
    <t>pavadonis</t>
  </si>
  <si>
    <t>asistents</t>
  </si>
  <si>
    <t xml:space="preserve">Bērni </t>
  </si>
  <si>
    <t>skaits</t>
  </si>
  <si>
    <t>atbalsta veids</t>
  </si>
  <si>
    <t>budžets</t>
  </si>
  <si>
    <t>soc.aprūpe</t>
  </si>
  <si>
    <t>Izdevumu kopā, h apmaksai, euro</t>
  </si>
  <si>
    <t>Transporta izdevumi, euro</t>
  </si>
  <si>
    <t>Izdevumi KOPĀ (valsts + pašvaldība)</t>
  </si>
  <si>
    <t>Valsts budžets, euro:</t>
  </si>
  <si>
    <t>Pašvaldības budžets, euro:</t>
  </si>
  <si>
    <t> Mērķa grupa</t>
  </si>
  <si>
    <t>Izdevumu veids</t>
  </si>
  <si>
    <t>t.sk.</t>
  </si>
  <si>
    <t>Pakalpojuma saņēmēju skaits GADĀ</t>
  </si>
  <si>
    <t>Pilngadīgi</t>
  </si>
  <si>
    <t>1.Variants</t>
  </si>
  <si>
    <t>valsts*</t>
  </si>
  <si>
    <t>2.2.</t>
  </si>
  <si>
    <t>3.1.</t>
  </si>
  <si>
    <t>3.2.</t>
  </si>
  <si>
    <t>3.3.</t>
  </si>
  <si>
    <t>Pakalpojuma apjoms, h</t>
  </si>
  <si>
    <t>2023.gads</t>
  </si>
  <si>
    <t>pakalpojuma cena/grozs (t.sk. paaugstināts atalgojums 608) par 1 h</t>
  </si>
  <si>
    <t>t.sk.bērni</t>
  </si>
  <si>
    <t>t.sk. valsts</t>
  </si>
  <si>
    <t>t.sk. pašvaldība</t>
  </si>
  <si>
    <t>Plānotais saņēmēju sk.</t>
  </si>
  <si>
    <t>4.1.</t>
  </si>
  <si>
    <t>4.2.</t>
  </si>
  <si>
    <t>vidēji h mēn uz 1 pers.</t>
  </si>
  <si>
    <t>X</t>
  </si>
  <si>
    <t>Risinājums</t>
  </si>
  <si>
    <t>kods un nosaukums</t>
  </si>
  <si>
    <t>Vidēja termiņa budžeta ietvara likumā plānotais finansējums</t>
  </si>
  <si>
    <t>Pasākuma īstenošanas gads</t>
  </si>
  <si>
    <t>2020.gads</t>
  </si>
  <si>
    <t>1.A risinājums</t>
  </si>
  <si>
    <t xml:space="preserve">18.Labklājības ministrija </t>
  </si>
  <si>
    <t>Pašvaldību budžets</t>
  </si>
  <si>
    <t>2.risinājums</t>
  </si>
  <si>
    <t>3.risinājums</t>
  </si>
  <si>
    <t>4.risinājums</t>
  </si>
  <si>
    <t>turpmāk ik gadu(ja risinājuma (risinājuma varianta) izpilde nav terminēta)</t>
  </si>
  <si>
    <t>turpmākajā laikposmā līdz risinājuma (risinājuma varianta) pabeigšanai (ja īstenošana ir terminēta) </t>
  </si>
  <si>
    <t>Budžeta programmas (apakš-programmas)</t>
  </si>
  <si>
    <t>Finansējums ziņojuma īstenošanai kopā, tajā skaitā:</t>
  </si>
  <si>
    <t>Kopsavilkums par ziņojumā iekļauto risinājumu realizācijai nepieciešamo valsts un pašvaldību budžeta finansējumu.</t>
  </si>
  <si>
    <t>pakalpojuma cena/grozs (t.sk. atalgojums 500) par 1 h</t>
  </si>
  <si>
    <t>PNA kā vienīgais attaisnojuma dok. par pak. faktisko apjomu</t>
  </si>
  <si>
    <t>1.risinājums A</t>
  </si>
  <si>
    <t>1.risinājums B</t>
  </si>
  <si>
    <t>1.risinājums C</t>
  </si>
  <si>
    <t>1 h pakalpojuma cena, t.sk. 5% administrēšanas izd.., euro</t>
  </si>
  <si>
    <t>Administrēšana ~5%, euro</t>
  </si>
  <si>
    <t>milj. euro</t>
  </si>
  <si>
    <t>pie konceptuālā ziņojuma “Par asistenta pakalpojuma pašvaldībā pilnveidošanu”</t>
  </si>
  <si>
    <t>Pakalpojuma tiešās izmaksas, euro</t>
  </si>
  <si>
    <t>Transporta izdevumu kompensācija, euro</t>
  </si>
  <si>
    <t>Atbalsta intensitātes noteikšanas anketa</t>
  </si>
  <si>
    <t>Kopā atlīdzība mēnesī, EURO</t>
  </si>
  <si>
    <t>Pielikums Nr.1</t>
  </si>
  <si>
    <t>Pielikums Nr.2</t>
  </si>
  <si>
    <t>Pielikums Nr.3</t>
  </si>
  <si>
    <t>Pielikums Nr.1.1.</t>
  </si>
  <si>
    <t>Pielikums Nr.1.2.</t>
  </si>
  <si>
    <t>Pielikums Nr.1.3.</t>
  </si>
  <si>
    <t>Sandra.Strele@lm.gov.lv</t>
  </si>
  <si>
    <t>S.Strēle, 64331831</t>
  </si>
  <si>
    <t>Pilngadīgi*</t>
  </si>
  <si>
    <t>Pakalpojuma saņēmēju skaits GADĀ*</t>
  </si>
  <si>
    <t>Izdevumi KOPĀ (pašvaldība)</t>
  </si>
  <si>
    <t>Izdevumi KOPĀ ( pašvaldība)</t>
  </si>
  <si>
    <t>Bērni**</t>
  </si>
  <si>
    <r>
      <t>Izdevumi kopā</t>
    </r>
    <r>
      <rPr>
        <b/>
        <i/>
        <sz val="11"/>
        <rFont val="Calibri"/>
        <family val="2"/>
        <charset val="186"/>
        <scheme val="minor"/>
      </rPr>
      <t>, euro</t>
    </r>
  </si>
  <si>
    <t>1.risinājums A valsts + pašvaldība</t>
  </si>
  <si>
    <r>
      <t>1.risinājums B</t>
    </r>
    <r>
      <rPr>
        <b/>
        <strike/>
        <sz val="14"/>
        <rFont val="Times New Roman"/>
        <family val="1"/>
        <charset val="186"/>
      </rPr>
      <t xml:space="preserve"> valsts</t>
    </r>
    <r>
      <rPr>
        <b/>
        <sz val="14"/>
        <rFont val="Times New Roman"/>
        <family val="1"/>
        <charset val="186"/>
      </rPr>
      <t xml:space="preserve"> + pašvaldība</t>
    </r>
  </si>
  <si>
    <t>valsts/ pašvaldība</t>
  </si>
  <si>
    <t>pakalpojuma cena/grozs (t.sk. paaugstināts atalgojums 608)</t>
  </si>
  <si>
    <t>pakalpojuma cena/grozs (t.sk. atalgojums 500)</t>
  </si>
  <si>
    <t>1.risinājums C valsts + pašvaldība</t>
  </si>
  <si>
    <t>IZDEVUMI KOPĀ 1.risinājums A</t>
  </si>
  <si>
    <t>IZDEVUMI KOPĀ 1.risinājums B</t>
  </si>
  <si>
    <t>IZDEVUMI KOPĀ 1.risinājums C</t>
  </si>
  <si>
    <r>
      <t xml:space="preserve">1.risinājums </t>
    </r>
    <r>
      <rPr>
        <b/>
        <sz val="16"/>
        <rFont val="Times New Roman"/>
        <family val="1"/>
        <charset val="186"/>
      </rPr>
      <t>A</t>
    </r>
  </si>
  <si>
    <r>
      <t>1.risinājums</t>
    </r>
    <r>
      <rPr>
        <b/>
        <sz val="16"/>
        <rFont val="Times New Roman"/>
        <family val="1"/>
        <charset val="186"/>
      </rPr>
      <t xml:space="preserve"> B</t>
    </r>
  </si>
  <si>
    <t>Pilngadīgas personas 1.risinājums A</t>
  </si>
  <si>
    <t>Pilngadīgas personas 1.risinājums B</t>
  </si>
  <si>
    <t>Pilngadīgas personas 1.risinājums C</t>
  </si>
  <si>
    <t>Bērni 1.risinājums A</t>
  </si>
  <si>
    <t>Bērni 1.risinājums B</t>
  </si>
  <si>
    <t>Bērni 1.risinājums C</t>
  </si>
  <si>
    <t>*Asistenta pakalpojuma cena ir pakalpojuma cena, kuru nodrošina no valsts budžeta līdzekļiem (LM sedz pašvaldības izdevumus atbilstoši aprēķinātajai pakalpojuma groza cenai par 1 h un faktiskajam pašvaldības norādītājam asistenta pakalpojumu stundu skaitam). Pašvaldība asistenta pakalpojumu nodrošina atbilstoši MK noteikumos Nr.942 "Kārtība, kādā piešķir un finansē asistenta pakalpojumu pašvaldībā" noteiktajām prasībām, nepieciešamības gadījumā līdzfinansējot pakalpojumu no pašvaldības budžeta līdzekļiem. Faktiskā asistenta pakalpojuma izmaksas par 1h var atšķirties, to ietekmē konkrētās pašvaldība faktiskās pakalpojuma cenas (asistenta atlīdzība), kas attiecīgi ietekmē arī pašvaldības administrēšanai novirzāmo finansējumu (administrēšanai novirzītais finansējums faktiski nedrīkst pārsniegt pakalpojuma grozā noteikto % no pakalpojuma tiešajām (asistenta atlīdzība)).</t>
  </si>
  <si>
    <r>
      <t xml:space="preserve">1 h pakalpojuma cena, </t>
    </r>
    <r>
      <rPr>
        <b/>
        <u/>
        <sz val="11"/>
        <rFont val="Times New Roman"/>
        <family val="1"/>
        <charset val="186"/>
      </rPr>
      <t>t.sk. 5% administrēšanas</t>
    </r>
    <r>
      <rPr>
        <b/>
        <sz val="11"/>
        <rFont val="Times New Roman"/>
        <family val="1"/>
        <charset val="186"/>
      </rPr>
      <t xml:space="preserve"> izd.., euro</t>
    </r>
  </si>
  <si>
    <t>1.risinājums A,B/ pilngadīgas pers.</t>
  </si>
  <si>
    <t>Plānotie atlīdzības izdevumi, euro</t>
  </si>
  <si>
    <r>
      <t xml:space="preserve">1.risinājums </t>
    </r>
    <r>
      <rPr>
        <b/>
        <sz val="16"/>
        <rFont val="Times New Roman"/>
        <family val="1"/>
        <charset val="186"/>
      </rPr>
      <t>C</t>
    </r>
  </si>
  <si>
    <t>7=4*1.05</t>
  </si>
  <si>
    <t>6=3*1.05</t>
  </si>
  <si>
    <t>9=6*1.05</t>
  </si>
  <si>
    <t>10=7*1.05</t>
  </si>
  <si>
    <t>Pakalpojuma cena/1h</t>
  </si>
  <si>
    <t>Kompensācijas kopā, euro</t>
  </si>
  <si>
    <t>personas</t>
  </si>
  <si>
    <t>5=(1*3+2*4)*12 mēn</t>
  </si>
  <si>
    <t>8=(1*6+2*7)*12 mēn</t>
  </si>
  <si>
    <t>11=(1*9+2*10)*12 mēn</t>
  </si>
  <si>
    <t>1.risinājums C / 2021.-2023. gads/pilngadīgas personas/ Faktiskie izdevumi</t>
  </si>
  <si>
    <t>1.risinājums C/ pilngadīgas pers.</t>
  </si>
  <si>
    <t>Atlīdzības izdevumi pak.cenā, euro</t>
  </si>
  <si>
    <t>1.risinājums / 2022. gads/ Faktiskie izdevumi</t>
  </si>
  <si>
    <t>1.risinājums / 2023. gads/ Faktiskie izdevumi</t>
  </si>
  <si>
    <t>Pielikums Nr.1.4.</t>
  </si>
  <si>
    <t>3.4.</t>
  </si>
  <si>
    <t>Administrēšana, euro</t>
  </si>
  <si>
    <t>4.3.</t>
  </si>
  <si>
    <t>janvāris</t>
  </si>
  <si>
    <t>februāris</t>
  </si>
  <si>
    <t>marts</t>
  </si>
  <si>
    <t>aprīlis</t>
  </si>
  <si>
    <t>maijs</t>
  </si>
  <si>
    <t>jūnijs</t>
  </si>
  <si>
    <t>jūlijs</t>
  </si>
  <si>
    <t>augusts</t>
  </si>
  <si>
    <t>septembris</t>
  </si>
  <si>
    <t>oktobris</t>
  </si>
  <si>
    <t>novembris</t>
  </si>
  <si>
    <t>decembris</t>
  </si>
  <si>
    <t>2019.gads</t>
  </si>
  <si>
    <t>Naudas plūsmas prognoze</t>
  </si>
  <si>
    <t>Faktisko izdevumu prognoze</t>
  </si>
  <si>
    <t xml:space="preserve">1.risinājums A </t>
  </si>
  <si>
    <r>
      <t xml:space="preserve">KOPĀ </t>
    </r>
    <r>
      <rPr>
        <b/>
        <sz val="8"/>
        <rFont val="Times New Roman"/>
        <family val="1"/>
        <charset val="186"/>
      </rPr>
      <t>Faktiskā pakalpojuma izpilde</t>
    </r>
  </si>
  <si>
    <r>
      <t xml:space="preserve">KOPĀ </t>
    </r>
    <r>
      <rPr>
        <b/>
        <sz val="8"/>
        <rFont val="Times New Roman"/>
        <family val="1"/>
        <charset val="186"/>
      </rPr>
      <t>Naudas plūsma</t>
    </r>
  </si>
  <si>
    <t>KOPĀ 1.risinājums A</t>
  </si>
  <si>
    <t>KOPĀ valsts budžets 1.risinājums A</t>
  </si>
  <si>
    <t>KOPĀ pašvaldību budžets 1.risinājums A</t>
  </si>
  <si>
    <t>KOPĀ 1.risinājums B</t>
  </si>
  <si>
    <t>KOPĀ valsts budžets 1.risinājums B</t>
  </si>
  <si>
    <t>KOPĀ pašvaldību budžets 1.risinājums B</t>
  </si>
  <si>
    <t>KOPĀ 1.risinājums C</t>
  </si>
  <si>
    <t>KOPĀ valsts budžets 1.risinājums C</t>
  </si>
  <si>
    <t>KOPĀ pašvaldību budžets 1.risinājums C</t>
  </si>
  <si>
    <t>Bāzes izdevumi/Naudas plūsmai</t>
  </si>
  <si>
    <t>Nepieciešams papildu (+), atlikums (-) Naudas plūsmai</t>
  </si>
  <si>
    <t xml:space="preserve">KOPĀ 2.risinājums </t>
  </si>
  <si>
    <t>KOPĀ valsts budžets 2.risinājums</t>
  </si>
  <si>
    <t>KOPĀ pašvaldību budžets 2.risinājums</t>
  </si>
  <si>
    <t xml:space="preserve">KOPĀ 3.risinājums </t>
  </si>
  <si>
    <t>KOPĀ valsts budžets 3.risinājums</t>
  </si>
  <si>
    <t>KOPĀ pašvaldību budžets 3.risinājums</t>
  </si>
  <si>
    <t xml:space="preserve">KOPĀ 4.risinājums </t>
  </si>
  <si>
    <t>KOPĀ valsts budžets 4.risinājums</t>
  </si>
  <si>
    <t>KOPĀ pašvaldību budžets 4.risinājums</t>
  </si>
  <si>
    <t xml:space="preserve">decembris </t>
  </si>
  <si>
    <t>Fakts</t>
  </si>
  <si>
    <t>Naudas pl.</t>
  </si>
  <si>
    <t>Apakšprogramma 05.01.00. „Sociālās rehabilitācijas valsts programmas"</t>
  </si>
  <si>
    <t>Ietekme uz valsts un pašvaldību budžetu/ NAUDAS PLŪSMA, euro</t>
  </si>
  <si>
    <r>
      <t xml:space="preserve">Nepieciešamais </t>
    </r>
    <r>
      <rPr>
        <sz val="12"/>
        <rFont val="Times New Roman"/>
        <family val="1"/>
        <charset val="186"/>
      </rPr>
      <t>papildu</t>
    </r>
    <r>
      <rPr>
        <sz val="7"/>
        <rFont val="Times New Roman"/>
        <family val="1"/>
        <charset val="186"/>
      </rPr>
      <t xml:space="preserve"> finansējums</t>
    </r>
  </si>
  <si>
    <t>SPOLIS</t>
  </si>
  <si>
    <t>SOPA</t>
  </si>
  <si>
    <t>1.risinājums</t>
  </si>
  <si>
    <t>darba stundas kopā, t.sk.</t>
  </si>
  <si>
    <t xml:space="preserve"> Finansējums  informācijas sistēmas SPOLIS un SOPA</t>
  </si>
  <si>
    <t>Papildu finansējums  nepieciešams informācijas sistēmas SPOLIS un SOPA (tiek ievadīta informācija par pakalpojuma saņēmējiem, gatavotas atskaites un tiek nodrošināta informācijas uzkrāšana par pakalpojuma finansējuma un rezultatīvajiem rādītājiem) pakalpojumu moduļa izmaiņām.</t>
  </si>
  <si>
    <t xml:space="preserve"> Kopējās izmaksas sistēmai SPOLIS plānotas 64 000 euro apmērā (1 280 h x 50.00 euro). Kopējās izmaksas sistēmai SOPA plānotas 72 600 euro apmērā (1 452 h x 50.00 euro).
</t>
  </si>
  <si>
    <r>
      <t xml:space="preserve">IS SPOLIS izmaiņu veikšanai tiks iepirkts ārpakalpojums. Cenas noteikšanai  par vienu darba stundu ir provizoriski iekļauta, t.i., noteikta 50.00 euro </t>
    </r>
    <r>
      <rPr>
        <i/>
        <sz val="11"/>
        <color theme="1"/>
        <rFont val="Times New Roman"/>
        <family val="1"/>
        <charset val="186"/>
      </rPr>
      <t xml:space="preserve">(ņemot vērā informāciju, ka 2018. gadā  IT nozarē vidējā darba stundas cena bija 42,50 eur ar PVN, bet, piem., pašvaldību lietojumprogrammas SOPA izmaiņām LM esošā IS uzturēšanas līguma cena ir 68.97euro ar PNV/1h). </t>
    </r>
  </si>
  <si>
    <t>izcenojums /1 h ar PVN</t>
  </si>
  <si>
    <t xml:space="preserve"> Kopējās izmaksas sistēmai SPOLIS plānotas 38 000 euro apmērā (760 h x 50.00 euro). Kopējās izmaksas sistēmai SOPA plānotas 66 000 euro apmērā (1 320 h x 50.00 euro).
</t>
  </si>
  <si>
    <t xml:space="preserve"> Kopējās izmaksas sistēmai SPOLIS plānotas 34 000 euro apmērā (680 h x 50.00 euro). Kopējās izmaksas sistēmai SOPA plānotas 43 500 euro apmērā (870 h x 50.00 euro).
</t>
  </si>
  <si>
    <t xml:space="preserve"> Kopējās izmaksas sistēmai SPOLIS plānotas 6 000 euro apmērā (120 h x 50.00 euro). Kopējās izmaksas sistēmai SOPA plānotas 7000 euro apmērā (140 h x 50.00 euro).
</t>
  </si>
  <si>
    <t>Korekcija papildu nepieciešamajam finansējumam</t>
  </si>
  <si>
    <t>Papildu finansējums 05.01.00. apakšprogrammas ietvaros 2021.gadā</t>
  </si>
  <si>
    <t>Finansējumu plānots novirzīt citu pakalpojumu finansēšanai apakšprogrammā 05.01.00 2021.gadā, t.sk. 104 000 SPOLIS, SOPA</t>
  </si>
  <si>
    <t>**plānotais saņēmēju skaits prognozēts atbilstoši bērnu skaitam, kuriem valsts izsniegusi īpašas kopšanas atzinumu un papildus prognozējamo pakalpojuma saņēmēju skaitā ir bērni ar autiskā spektra traucējumiem u.c. diagnozēm.</t>
  </si>
  <si>
    <t>*plānotais personu skaits  = 5% + 2021.gada prognozējamais pakalpojuma saņēmēju skaits.</t>
  </si>
  <si>
    <t>*plānotais personu skaits  = 5% + 2022.gada prognozējamais pakalpojuma saņēmēju skaits.</t>
  </si>
  <si>
    <r>
      <t xml:space="preserve">*2018.gadā tika veikts pilotprojekts par  Asistenta nepieciešamības un atbalsta intensitātes noteikšanas anketas testēšanu, vērtējot esošos asistenta pakalpojuma saņēmējus. Atbilstoši pilotprojekta rezultātiem apmēram 20% no pakalpojuma saņēmējiem neatbilda pakalpojuma piešķiršanas nosacījumiem. Plānots, ka Asistenta nepieciešamības un atbalsta intensitātes noteikšanas anketas ieviešanas rezultātā pakalpojuma saņēmēju skaits samazināsies par 20%. Aprēķins:  2021. gadā* prognozētais pakalpojuma saņēmēju skaits 5 483 (1.invaliditātes grupa) + 5 150 (2.invaliditātes grupa) = 10 633 -20%. </t>
    </r>
    <r>
      <rPr>
        <i/>
        <sz val="11"/>
        <rFont val="Times New Roman"/>
        <family val="1"/>
        <charset val="186"/>
      </rPr>
      <t>*prognozi skat. ziņojuma pielikumā Nr.6</t>
    </r>
  </si>
  <si>
    <t>Apakšprogramma 97.01.00 “Labklājības nozares vadība un politikas plānošana”</t>
  </si>
  <si>
    <r>
      <t xml:space="preserve">Faktisko izdevumu un naudas plūsmas prognoze </t>
    </r>
    <r>
      <rPr>
        <b/>
        <sz val="18"/>
        <color rgb="FF00B050"/>
        <rFont val="Times New Roman"/>
        <family val="1"/>
        <charset val="186"/>
      </rPr>
      <t>Pakalpojuma izdevumu</t>
    </r>
    <r>
      <rPr>
        <b/>
        <sz val="18"/>
        <rFont val="Times New Roman"/>
        <family val="1"/>
        <charset val="186"/>
      </rPr>
      <t xml:space="preserve"> nodrošināšanai 2021 - 2023</t>
    </r>
  </si>
  <si>
    <t>5.risinājums</t>
  </si>
  <si>
    <t>Pielikums Nr.8</t>
  </si>
  <si>
    <t>Pielikums Nr.9.</t>
  </si>
  <si>
    <t xml:space="preserve">KOPĀ 5.risinājums </t>
  </si>
  <si>
    <t>KOPĀ valsts budžets 5.risinājums</t>
  </si>
  <si>
    <t>KOPĀ pašvaldību budžets 5.risinājums</t>
  </si>
  <si>
    <t>Transporta izdevumi, euro*</t>
  </si>
  <si>
    <t>Gads</t>
  </si>
  <si>
    <t>Pakalpojuma saņēmēju skaits/ unikālais</t>
  </si>
  <si>
    <t>Pakalpojuma saņēmēju skaits/ vidēji mēn.</t>
  </si>
  <si>
    <r>
      <t xml:space="preserve">Sniegtais pakalpojuma apjoms, h </t>
    </r>
    <r>
      <rPr>
        <b/>
        <sz val="10"/>
        <rFont val="Times New Roman"/>
        <family val="1"/>
        <charset val="186"/>
      </rPr>
      <t>vidēji</t>
    </r>
    <r>
      <rPr>
        <sz val="10"/>
        <rFont val="Times New Roman"/>
        <family val="1"/>
        <charset val="186"/>
      </rPr>
      <t xml:space="preserve"> uz 1 pers./mēn</t>
    </r>
  </si>
  <si>
    <t>h apjoms gadā, KOPĀ</t>
  </si>
  <si>
    <t>% no vidējās atlīdzības 1h izmaksas max, euro</t>
  </si>
  <si>
    <t>Atlīdzības izdevumi KOPĀ, euro</t>
  </si>
  <si>
    <t>Admin.izd., euro</t>
  </si>
  <si>
    <t>Faktiskie izdevumi gadā, KOPĀ, euro</t>
  </si>
  <si>
    <t>Bērni invalīdi</t>
  </si>
  <si>
    <t>I grupas invalīdi</t>
  </si>
  <si>
    <t>II grupas invalīdi</t>
  </si>
  <si>
    <t>Invalīdu skaits kopā</t>
  </si>
  <si>
    <t>h gadā, KOPĀ</t>
  </si>
  <si>
    <t>4=1+2+3</t>
  </si>
  <si>
    <t>8=5+6+7</t>
  </si>
  <si>
    <t>12=9+10+11</t>
  </si>
  <si>
    <t>15 = % no 14</t>
  </si>
  <si>
    <t>17 = 13*16</t>
  </si>
  <si>
    <t>19 = 8% no sum(17:18)</t>
  </si>
  <si>
    <t>20=17+18+19</t>
  </si>
  <si>
    <t>2018/fakts</t>
  </si>
  <si>
    <t>2019/fakts</t>
  </si>
  <si>
    <t>pieaugums 2019. gadā, %</t>
  </si>
  <si>
    <t>*Bruto atalgojums 500 euro ar 2021. gada 1.janvāri</t>
  </si>
  <si>
    <t>Faktiskie izdevumi</t>
  </si>
  <si>
    <t>%</t>
  </si>
  <si>
    <t>Naudas plūsma</t>
  </si>
  <si>
    <t>Bāzes izdevumi</t>
  </si>
  <si>
    <t>* prognoze par papildu nepieciešamo finansējumu 2020. gada jūlijā. Faktiskais papildu nepieciešamais finansējums tiks aprēķināts gada IV ceturksnī, kad pakalpojuma analīzei būs pieejams lielāks faktiskais pakalpojuma izpildes periods 2020. gadā. Nepieciešamības gadījumā papildus nepieciešamais finansējums tiks meklēts apakšprogrammas 05.01.00 “Sociālās rehabilitācijas valsts programmas” ietvaros, kā viens no papildu nepieciešamā finansējuma avotiem prognozējams ilgstošas sociālās aprūpes un rehabilitācijas pakalpojums institūcijā (pakalpojumā 2020.gadā vērojama tendence  - klientu prombūtņu dienu skaita pieaugums).</t>
  </si>
  <si>
    <t>S.Strēle</t>
  </si>
  <si>
    <t>27.07.2020.</t>
  </si>
  <si>
    <t>1A</t>
  </si>
  <si>
    <t>pakalpojums</t>
  </si>
  <si>
    <t>papildu</t>
  </si>
  <si>
    <t>SOPA/SPOLIS</t>
  </si>
  <si>
    <t>Bāze 2021</t>
  </si>
  <si>
    <t>Bāze 2022</t>
  </si>
  <si>
    <t>KOPĀ 2021</t>
  </si>
  <si>
    <t>papildu 2021</t>
  </si>
  <si>
    <t>KOPĀ 2022</t>
  </si>
  <si>
    <t>papildu 2022</t>
  </si>
  <si>
    <t>KOPĀ 2023</t>
  </si>
  <si>
    <t>Bāze 2023</t>
  </si>
  <si>
    <t>papildu 2023</t>
  </si>
  <si>
    <t>Asistenta pakalpojuma plānotie izdevumi 2021.-2023. gads (naudas plūsma)</t>
  </si>
  <si>
    <t>jūlijs*</t>
  </si>
  <si>
    <t xml:space="preserve">*izmaiņas pakalpojuma sniegšanā ar 1.jūliju. Jūlijā tiek veikts norēķins par jūniju. </t>
  </si>
  <si>
    <t>IT</t>
  </si>
  <si>
    <t>*plānojot izdevumus pusgadu griezumā es norādu 1.pusgada izdevumus ar jūliju, jo, lai kas notiktu ar pakalpojumu ar 1.jūliju Lm būs jānorēķinās ar pašvaldībām par jūnijā sniegto pakalpojumu.</t>
  </si>
  <si>
    <t>VSAOI darba devēja daļa ( 23.59%), EURO</t>
  </si>
  <si>
    <t>Pakalpojuma apjoms 2020.gadā vidēji 166.8h mēnesī.  Vidējo darba stundu skaitu mēnesī aprēķina pēc  formulas - darba laika kalendāra kopējo darba stundu skaitu gadā dalot ar 12 mēnešiem. Atbilstoši 2020.gadā ir 2002 darba stundas, vidēji mēnesī 166.8h ( pie 40 stundu darba nedēļas). Atlīdzības izdevumi mēnesī 751.43 euro (t.sk. darba devēja VSAOI 23.59%) : 166.8 h  = 4.50 euro/1 h</t>
  </si>
  <si>
    <t>Vidēji 37.57 euro mēnesī, 0.23 euro/1h. Aprēķins: Tiešās pakalpojuma izmaksas mēnesī 751.43 euro x 5% = 37.57 euro/ mēn : 166.8 h = 0.23 euro/ 1 h.</t>
  </si>
  <si>
    <t>Bāze/2020</t>
  </si>
  <si>
    <t>piešķirts papildu bāzei</t>
  </si>
  <si>
    <t>Bāze 2021-2023</t>
  </si>
  <si>
    <t>Izdevumu plāns/ 2021 - 2023</t>
  </si>
  <si>
    <t>SPOLIS/SOPA</t>
  </si>
  <si>
    <t>KOPĀ papildu</t>
  </si>
  <si>
    <t>min.alga 2021.gada 1.pusgadā min.algai. 500</t>
  </si>
  <si>
    <t>500/nepieciešams papildu 1.pusgadam 2021.</t>
  </si>
  <si>
    <r>
      <t>1A variants</t>
    </r>
    <r>
      <rPr>
        <i/>
        <sz val="9"/>
        <color theme="1"/>
        <rFont val="Calibri"/>
        <family val="2"/>
        <scheme val="minor"/>
      </rPr>
      <t xml:space="preserve"> (no 01.07.2021.)</t>
    </r>
  </si>
  <si>
    <t>Vidējās atlīdzības  1h izmaksas, euro</t>
  </si>
  <si>
    <t>Faktiski vidējās atlīdzības 1h izmaksas, euro</t>
  </si>
  <si>
    <t>Pielikums</t>
  </si>
  <si>
    <t>Likumprojekta “Grozījumi Invaliditātes likumā” sākotnējās ietekmes novērtējuma ziņojumam (anotācijai)</t>
  </si>
  <si>
    <t>Asistenta pakalpojuma izmaiņu ietekme uz valsts budžetu un pašvaldību budžetiem</t>
  </si>
  <si>
    <t>Asistenta pakalpojuma izmaiņu ietekme uz valsts budžetu</t>
  </si>
  <si>
    <t>Sandra Strēle
Sociālo pakalpojumu departamenta 
vecākā eksperte Tālr. 64331831, Sandra.Strele@lm.gov.lv
Labklājības ministrija
Skolas iela 28, Rīga, LV-1331</t>
  </si>
  <si>
    <r>
      <t xml:space="preserve">Asistenta pakalpojums 2018 - 2023. gads/ izdevumu prognoze </t>
    </r>
    <r>
      <rPr>
        <b/>
        <i/>
        <sz val="16"/>
        <rFont val="Times New Roman"/>
        <family val="1"/>
        <charset val="186"/>
      </rPr>
      <t>(Bruto atalgojums 430 euro/mēn)</t>
    </r>
  </si>
  <si>
    <r>
      <t>Asistenta pakalpojums 2018 - 2023. gads/ izdevumu prognoze (Bruto atalgojums 500 euro/mēn)</t>
    </r>
    <r>
      <rPr>
        <b/>
        <sz val="16"/>
        <color indexed="10"/>
        <rFont val="Times New Roman"/>
        <family val="1"/>
        <charset val="186"/>
      </rPr>
      <t>*</t>
    </r>
  </si>
  <si>
    <t>2021***</t>
  </si>
  <si>
    <t>*** pilns gads 12 ēneši</t>
  </si>
  <si>
    <r>
      <t>2021.-2023. gads</t>
    </r>
    <r>
      <rPr>
        <b/>
        <u/>
        <sz val="18"/>
        <rFont val="Times New Roman"/>
        <family val="1"/>
        <charset val="186"/>
      </rPr>
      <t>/pilngadīgas personas</t>
    </r>
    <r>
      <rPr>
        <b/>
        <sz val="18"/>
        <rFont val="Times New Roman"/>
        <family val="1"/>
        <charset val="186"/>
      </rPr>
      <t>/ Faktiskie izdevumi</t>
    </r>
  </si>
  <si>
    <t>2021.-2023. gads/pilngadīgas personas/ Faktiskie izdevumi</t>
  </si>
  <si>
    <t>2021. gads/BĒRNI/ Faktiskie izdevumi</t>
  </si>
  <si>
    <t>2022. gads/BĒRNI/ Faktiskie izdevumi</t>
  </si>
  <si>
    <t>2023. gads/BĒRNI/ Faktiskie izdevumi</t>
  </si>
  <si>
    <r>
      <t xml:space="preserve">Asistenta pakalpojuma grozs </t>
    </r>
    <r>
      <rPr>
        <b/>
        <i/>
        <sz val="16"/>
        <rFont val="Times New Roman"/>
        <family val="1"/>
        <charset val="186"/>
      </rPr>
      <t xml:space="preserve">(no 01.07.2021.)                 </t>
    </r>
    <r>
      <rPr>
        <b/>
        <sz val="16"/>
        <rFont val="Times New Roman"/>
        <family val="1"/>
        <charset val="186"/>
      </rPr>
      <t xml:space="preserve">                                                                                                                                                                                                                       </t>
    </r>
  </si>
  <si>
    <t>Kopsavilkums / FAKTISKIE  izpildes rādītāji                                                                                2021. - 2023. gadā</t>
  </si>
  <si>
    <t xml:space="preserve"> ar 01.07.2021.</t>
  </si>
  <si>
    <t>1.risinājums A/ pilns 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</si>
</sst>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7" x14ac:knownFonts="1">
    <font>
      <sz val="11"/>
      <color theme="1"/>
      <name val="Calibri"/>
      <family val="2"/>
      <scheme val="minor"/>
    </font>
    <font>
      <sz val="14"/>
      <name val="Times New Roman"/>
      <family val="1"/>
      <charset val="186"/>
    </font>
    <font>
      <b/>
      <sz val="16"/>
      <name val="Times New Roman"/>
      <family val="1"/>
      <charset val="186"/>
    </font>
    <font>
      <b/>
      <sz val="14"/>
      <name val="Times New Roman"/>
      <family val="1"/>
      <charset val="186"/>
    </font>
    <font>
      <b/>
      <sz val="10"/>
      <name val="Times New Roman"/>
      <family val="1"/>
      <charset val="186"/>
    </font>
    <font>
      <i/>
      <sz val="14"/>
      <name val="Times New Roman"/>
      <family val="1"/>
      <charset val="186"/>
    </font>
    <font>
      <b/>
      <sz val="18"/>
      <name val="Times New Roman"/>
      <family val="1"/>
      <charset val="186"/>
    </font>
    <font>
      <i/>
      <sz val="12"/>
      <name val="Times New Roman"/>
      <family val="1"/>
      <charset val="186"/>
    </font>
    <font>
      <sz val="10"/>
      <name val="Times New Roman Baltic"/>
      <charset val="186"/>
    </font>
    <font>
      <sz val="10"/>
      <name val="Times New Roman"/>
      <family val="1"/>
      <charset val="186"/>
    </font>
    <font>
      <sz val="12"/>
      <name val="Times New Roman"/>
      <family val="1"/>
      <charset val="186"/>
    </font>
    <font>
      <sz val="14"/>
      <color rgb="FFFF0000"/>
      <name val="Times New Roman"/>
      <family val="1"/>
      <charset val="186"/>
    </font>
    <font>
      <b/>
      <sz val="14"/>
      <color rgb="FFFF0000"/>
      <name val="Times New Roman"/>
      <family val="1"/>
      <charset val="186"/>
    </font>
    <font>
      <b/>
      <sz val="11"/>
      <color theme="1"/>
      <name val="Calibri"/>
      <family val="2"/>
      <charset val="186"/>
      <scheme val="minor"/>
    </font>
    <font>
      <b/>
      <i/>
      <sz val="12"/>
      <name val="Times New Roman"/>
      <family val="1"/>
      <charset val="186"/>
    </font>
    <font>
      <sz val="10"/>
      <name val="Arial"/>
      <family val="2"/>
      <charset val="186"/>
    </font>
    <font>
      <sz val="11"/>
      <name val="Calibri"/>
      <family val="2"/>
      <scheme val="minor"/>
    </font>
    <font>
      <sz val="11"/>
      <color theme="1"/>
      <name val="Times New Roman"/>
      <family val="1"/>
      <charset val="186"/>
    </font>
    <font>
      <b/>
      <u/>
      <sz val="16"/>
      <name val="Times New Roman"/>
      <family val="1"/>
      <charset val="186"/>
    </font>
    <font>
      <sz val="9"/>
      <color indexed="81"/>
      <name val="Tahoma"/>
      <family val="2"/>
      <charset val="186"/>
    </font>
    <font>
      <b/>
      <sz val="9"/>
      <color indexed="81"/>
      <name val="Tahoma"/>
      <family val="2"/>
      <charset val="186"/>
    </font>
    <font>
      <b/>
      <sz val="14"/>
      <name val="Calibri"/>
      <family val="2"/>
      <charset val="186"/>
      <scheme val="minor"/>
    </font>
    <font>
      <b/>
      <sz val="9"/>
      <color theme="1"/>
      <name val="Times New Roman"/>
      <family val="1"/>
      <charset val="186"/>
    </font>
    <font>
      <sz val="9"/>
      <color theme="1"/>
      <name val="Times New Roman"/>
      <family val="1"/>
      <charset val="186"/>
    </font>
    <font>
      <b/>
      <i/>
      <sz val="9"/>
      <color theme="1"/>
      <name val="Times New Roman"/>
      <family val="1"/>
      <charset val="186"/>
    </font>
    <font>
      <sz val="9"/>
      <color rgb="FFFF0000"/>
      <name val="Times New Roman"/>
      <family val="1"/>
      <charset val="186"/>
    </font>
    <font>
      <sz val="9"/>
      <name val="Times New Roman"/>
      <family val="1"/>
      <charset val="186"/>
    </font>
    <font>
      <sz val="7"/>
      <color theme="1"/>
      <name val="Times New Roman"/>
      <family val="1"/>
      <charset val="186"/>
    </font>
    <font>
      <sz val="11"/>
      <color rgb="FFFF0000"/>
      <name val="Times New Roman"/>
      <family val="1"/>
      <charset val="186"/>
    </font>
    <font>
      <b/>
      <sz val="11"/>
      <color theme="1"/>
      <name val="Times New Roman"/>
      <family val="1"/>
      <charset val="186"/>
    </font>
    <font>
      <b/>
      <sz val="11"/>
      <name val="Times New Roman"/>
      <family val="1"/>
      <charset val="186"/>
    </font>
    <font>
      <b/>
      <u/>
      <sz val="14"/>
      <name val="Times New Roman"/>
      <family val="1"/>
      <charset val="186"/>
    </font>
    <font>
      <i/>
      <sz val="10"/>
      <name val="Times New Roman"/>
      <family val="1"/>
      <charset val="186"/>
    </font>
    <font>
      <sz val="11"/>
      <name val="Times New Roman"/>
      <family val="1"/>
      <charset val="186"/>
    </font>
    <font>
      <b/>
      <sz val="16"/>
      <name val="Calibri"/>
      <family val="2"/>
      <charset val="186"/>
      <scheme val="minor"/>
    </font>
    <font>
      <i/>
      <sz val="11"/>
      <name val="Calibri"/>
      <family val="2"/>
      <charset val="186"/>
      <scheme val="minor"/>
    </font>
    <font>
      <b/>
      <sz val="11"/>
      <name val="Calibri"/>
      <family val="2"/>
      <charset val="186"/>
      <scheme val="minor"/>
    </font>
    <font>
      <b/>
      <sz val="10"/>
      <name val="Calibri"/>
      <family val="2"/>
      <charset val="186"/>
      <scheme val="minor"/>
    </font>
    <font>
      <b/>
      <i/>
      <sz val="11"/>
      <name val="Calibri"/>
      <family val="2"/>
      <charset val="186"/>
      <scheme val="minor"/>
    </font>
    <font>
      <b/>
      <sz val="12"/>
      <name val="Times New Roman"/>
      <family val="1"/>
      <charset val="186"/>
    </font>
    <font>
      <i/>
      <sz val="11"/>
      <name val="Times New Roman"/>
      <family val="1"/>
      <charset val="186"/>
    </font>
    <font>
      <b/>
      <i/>
      <sz val="8"/>
      <name val="Times New Roman"/>
      <family val="1"/>
      <charset val="186"/>
    </font>
    <font>
      <sz val="8"/>
      <name val="Times New Roman"/>
      <family val="1"/>
      <charset val="186"/>
    </font>
    <font>
      <b/>
      <strike/>
      <sz val="14"/>
      <name val="Times New Roman"/>
      <family val="1"/>
      <charset val="186"/>
    </font>
    <font>
      <i/>
      <sz val="8"/>
      <name val="Times New Roman"/>
      <family val="1"/>
      <charset val="186"/>
    </font>
    <font>
      <b/>
      <sz val="8"/>
      <name val="Times New Roman"/>
      <family val="1"/>
      <charset val="186"/>
    </font>
    <font>
      <b/>
      <u/>
      <sz val="11"/>
      <name val="Times New Roman"/>
      <family val="1"/>
      <charset val="186"/>
    </font>
    <font>
      <sz val="7"/>
      <name val="Times New Roman"/>
      <family val="1"/>
      <charset val="186"/>
    </font>
    <font>
      <sz val="16"/>
      <name val="Times New Roman"/>
      <family val="1"/>
      <charset val="186"/>
    </font>
    <font>
      <sz val="10"/>
      <color rgb="FFFF0000"/>
      <name val="Times New Roman"/>
      <family val="1"/>
      <charset val="186"/>
    </font>
    <font>
      <b/>
      <u/>
      <sz val="18"/>
      <name val="Times New Roman"/>
      <family val="1"/>
      <charset val="186"/>
    </font>
    <font>
      <i/>
      <sz val="11"/>
      <color rgb="FFFF0000"/>
      <name val="Calibri"/>
      <family val="2"/>
      <charset val="186"/>
      <scheme val="minor"/>
    </font>
    <font>
      <b/>
      <sz val="10"/>
      <color rgb="FFFF0000"/>
      <name val="Times New Roman"/>
      <family val="1"/>
      <charset val="186"/>
    </font>
    <font>
      <b/>
      <sz val="12"/>
      <color theme="1"/>
      <name val="Times New Roman"/>
      <family val="1"/>
      <charset val="186"/>
    </font>
    <font>
      <i/>
      <sz val="11"/>
      <color theme="1"/>
      <name val="Times New Roman"/>
      <family val="1"/>
      <charset val="186"/>
    </font>
    <font>
      <b/>
      <sz val="18"/>
      <color rgb="FF00B050"/>
      <name val="Times New Roman"/>
      <family val="1"/>
      <charset val="186"/>
    </font>
    <font>
      <b/>
      <sz val="9"/>
      <color rgb="FFFF0000"/>
      <name val="Times New Roman"/>
      <family val="1"/>
      <charset val="186"/>
    </font>
    <font>
      <sz val="6"/>
      <color theme="1"/>
      <name val="Times New Roman"/>
      <family val="1"/>
      <charset val="186"/>
    </font>
    <font>
      <b/>
      <sz val="16"/>
      <color indexed="10"/>
      <name val="Times New Roman"/>
      <family val="1"/>
      <charset val="186"/>
    </font>
    <font>
      <sz val="6"/>
      <name val="Times New Roman"/>
      <family val="1"/>
      <charset val="186"/>
    </font>
    <font>
      <b/>
      <sz val="6"/>
      <name val="Times New Roman"/>
      <family val="1"/>
      <charset val="186"/>
    </font>
    <font>
      <b/>
      <i/>
      <sz val="8"/>
      <color rgb="FFFF0000"/>
      <name val="Times New Roman"/>
      <family val="1"/>
      <charset val="186"/>
    </font>
    <font>
      <b/>
      <i/>
      <sz val="10"/>
      <color rgb="FFFF0000"/>
      <name val="Times New Roman"/>
      <family val="1"/>
      <charset val="186"/>
    </font>
    <font>
      <b/>
      <sz val="10"/>
      <color theme="0"/>
      <name val="Times New Roman"/>
      <family val="1"/>
      <charset val="186"/>
    </font>
    <font>
      <sz val="10"/>
      <color theme="0"/>
      <name val="Times New Roman"/>
      <family val="1"/>
      <charset val="186"/>
    </font>
    <font>
      <b/>
      <u/>
      <sz val="10"/>
      <color rgb="FFFF0000"/>
      <name val="Times New Roman"/>
      <family val="1"/>
      <charset val="186"/>
    </font>
    <font>
      <i/>
      <sz val="11"/>
      <color theme="1"/>
      <name val="Calibri"/>
      <family val="2"/>
      <charset val="186"/>
      <scheme val="minor"/>
    </font>
    <font>
      <b/>
      <sz val="9"/>
      <color theme="1"/>
      <name val="Calibri"/>
      <family val="2"/>
      <charset val="186"/>
      <scheme val="minor"/>
    </font>
    <font>
      <sz val="9"/>
      <color theme="1"/>
      <name val="Calibri"/>
      <family val="2"/>
      <scheme val="minor"/>
    </font>
    <font>
      <b/>
      <sz val="9"/>
      <color theme="1"/>
      <name val="Calibri"/>
      <family val="2"/>
      <scheme val="minor"/>
    </font>
    <font>
      <b/>
      <sz val="9"/>
      <color rgb="FFFF0000"/>
      <name val="Calibri"/>
      <family val="2"/>
      <charset val="186"/>
      <scheme val="minor"/>
    </font>
    <font>
      <b/>
      <sz val="11"/>
      <color rgb="FFFF0000"/>
      <name val="Calibri"/>
      <family val="2"/>
      <charset val="186"/>
      <scheme val="minor"/>
    </font>
    <font>
      <b/>
      <sz val="14"/>
      <color theme="1"/>
      <name val="Calibri"/>
      <family val="2"/>
      <charset val="186"/>
      <scheme val="minor"/>
    </font>
    <font>
      <i/>
      <sz val="9"/>
      <color theme="1"/>
      <name val="Calibri"/>
      <family val="2"/>
      <charset val="186"/>
      <scheme val="minor"/>
    </font>
    <font>
      <b/>
      <i/>
      <sz val="11"/>
      <color theme="1"/>
      <name val="Calibri"/>
      <family val="2"/>
      <charset val="186"/>
      <scheme val="minor"/>
    </font>
    <font>
      <i/>
      <sz val="9"/>
      <color rgb="FFFF0000"/>
      <name val="Calibri"/>
      <family val="2"/>
      <charset val="186"/>
      <scheme val="minor"/>
    </font>
    <font>
      <b/>
      <sz val="11"/>
      <color rgb="FFFF0000"/>
      <name val="Calibri"/>
      <family val="2"/>
      <scheme val="minor"/>
    </font>
    <font>
      <sz val="11"/>
      <color rgb="FFFF0000"/>
      <name val="Calibri"/>
      <family val="2"/>
      <scheme val="minor"/>
    </font>
    <font>
      <u/>
      <sz val="11"/>
      <color rgb="FFFF0000"/>
      <name val="Calibri"/>
      <family val="2"/>
      <scheme val="minor"/>
    </font>
    <font>
      <b/>
      <sz val="14"/>
      <color indexed="81"/>
      <name val="Tahoma"/>
      <family val="2"/>
      <charset val="186"/>
    </font>
    <font>
      <sz val="14"/>
      <color indexed="81"/>
      <name val="Tahoma"/>
      <family val="2"/>
      <charset val="186"/>
    </font>
    <font>
      <b/>
      <u/>
      <sz val="11"/>
      <color rgb="FFFF0000"/>
      <name val="Calibri"/>
      <family val="2"/>
      <scheme val="minor"/>
    </font>
    <font>
      <b/>
      <i/>
      <sz val="6"/>
      <color rgb="FFFF0000"/>
      <name val="Calibri"/>
      <family val="2"/>
      <charset val="186"/>
      <scheme val="minor"/>
    </font>
    <font>
      <i/>
      <sz val="9"/>
      <color theme="1"/>
      <name val="Calibri"/>
      <family val="2"/>
      <scheme val="minor"/>
    </font>
    <font>
      <b/>
      <u/>
      <sz val="11"/>
      <color theme="1"/>
      <name val="Calibri"/>
      <family val="2"/>
      <charset val="186"/>
      <scheme val="minor"/>
    </font>
    <font>
      <i/>
      <sz val="12"/>
      <color theme="1"/>
      <name val="Calibri"/>
      <family val="2"/>
      <charset val="186"/>
      <scheme val="minor"/>
    </font>
    <font>
      <b/>
      <i/>
      <sz val="16"/>
      <name val="Times New Roman"/>
      <family val="1"/>
      <charset val="186"/>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gradientFill type="path" left="0.5" right="0.5" top="0.5" bottom="0.5">
        <stop position="0">
          <color theme="0"/>
        </stop>
        <stop position="1">
          <color theme="0" tint="-0.1490218817712943"/>
        </stop>
      </gradientFill>
    </fill>
    <fill>
      <patternFill patternType="solid">
        <fgColor rgb="FFFFFFFF"/>
        <bgColor indexed="64"/>
      </patternFill>
    </fill>
    <fill>
      <patternFill patternType="solid">
        <fgColor rgb="FFC4BC96"/>
        <bgColor indexed="64"/>
      </patternFill>
    </fill>
    <fill>
      <patternFill patternType="solid">
        <fgColor rgb="FFFFF2CC"/>
        <bgColor indexed="64"/>
      </patternFill>
    </fill>
    <fill>
      <patternFill patternType="solid">
        <fgColor theme="0"/>
        <bgColor indexed="64"/>
      </patternFill>
    </fill>
    <fill>
      <patternFill patternType="solid">
        <fgColor theme="0"/>
        <bgColor auto="1"/>
      </patternFill>
    </fill>
    <fill>
      <patternFill patternType="solid">
        <fgColor theme="9" tint="0.59999389629810485"/>
        <bgColor indexed="64"/>
      </patternFill>
    </fill>
  </fills>
  <borders count="33">
    <border>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theme="0" tint="-0.24994659260841701"/>
      </bottom>
      <diagonal/>
    </border>
    <border>
      <left style="thin">
        <color indexed="64"/>
      </left>
      <right style="thin">
        <color indexed="64"/>
      </right>
      <top style="dotted">
        <color theme="0" tint="-0.24994659260841701"/>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8" fillId="0" borderId="0"/>
    <xf numFmtId="0" fontId="15" fillId="0" borderId="0"/>
    <xf numFmtId="0" fontId="15" fillId="0" borderId="0"/>
  </cellStyleXfs>
  <cellXfs count="559">
    <xf numFmtId="0" fontId="0" fillId="0" borderId="0" xfId="0"/>
    <xf numFmtId="4" fontId="1" fillId="0" borderId="5" xfId="0" applyNumberFormat="1" applyFont="1" applyFill="1" applyBorder="1" applyAlignment="1">
      <alignment horizontal="right" vertical="center"/>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xf numFmtId="0" fontId="11" fillId="0" borderId="0" xfId="0" applyFont="1" applyAlignment="1">
      <alignment vertical="center"/>
    </xf>
    <xf numFmtId="0" fontId="1" fillId="0" borderId="5" xfId="0" applyFont="1" applyBorder="1" applyAlignment="1">
      <alignment horizontal="left" vertical="center"/>
    </xf>
    <xf numFmtId="0" fontId="3" fillId="5" borderId="5" xfId="0" applyFont="1" applyFill="1" applyBorder="1" applyAlignment="1">
      <alignment horizontal="center" vertical="center"/>
    </xf>
    <xf numFmtId="0" fontId="1" fillId="3" borderId="5" xfId="0" applyFont="1" applyFill="1" applyBorder="1" applyAlignment="1">
      <alignment horizontal="left" vertical="center"/>
    </xf>
    <xf numFmtId="0" fontId="1" fillId="0" borderId="5" xfId="0" applyFont="1" applyBorder="1" applyAlignment="1">
      <alignment horizontal="right" vertical="center"/>
    </xf>
    <xf numFmtId="0" fontId="5" fillId="0" borderId="5" xfId="0" applyFont="1" applyBorder="1" applyAlignment="1">
      <alignment horizontal="right" vertical="center" wrapText="1"/>
    </xf>
    <xf numFmtId="4"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center" vertical="center"/>
    </xf>
    <xf numFmtId="14" fontId="1" fillId="0" borderId="5" xfId="0" applyNumberFormat="1" applyFont="1" applyBorder="1" applyAlignment="1">
      <alignment horizontal="right" vertical="center"/>
    </xf>
    <xf numFmtId="0" fontId="5" fillId="0" borderId="5" xfId="0" applyFont="1" applyFill="1" applyBorder="1" applyAlignment="1">
      <alignment horizontal="right" vertical="center" wrapText="1"/>
    </xf>
    <xf numFmtId="4" fontId="1" fillId="3" borderId="5" xfId="0" applyNumberFormat="1" applyFont="1" applyFill="1" applyBorder="1" applyAlignment="1">
      <alignment horizontal="right" vertical="center" wrapText="1"/>
    </xf>
    <xf numFmtId="4" fontId="3" fillId="3" borderId="5" xfId="0" applyNumberFormat="1" applyFont="1" applyFill="1" applyBorder="1" applyAlignment="1">
      <alignment horizontal="right" vertical="center" wrapText="1"/>
    </xf>
    <xf numFmtId="164" fontId="5" fillId="0" borderId="5" xfId="0" applyNumberFormat="1" applyFont="1" applyFill="1" applyBorder="1" applyAlignment="1">
      <alignment horizontal="center" vertical="center"/>
    </xf>
    <xf numFmtId="4" fontId="3" fillId="5" borderId="5" xfId="0" applyNumberFormat="1" applyFont="1" applyFill="1" applyBorder="1" applyAlignment="1">
      <alignment horizontal="right" vertical="center" wrapText="1"/>
    </xf>
    <xf numFmtId="0" fontId="3" fillId="5" borderId="4" xfId="0" applyFont="1" applyFill="1" applyBorder="1" applyAlignment="1">
      <alignment horizontal="center" vertical="center"/>
    </xf>
    <xf numFmtId="4" fontId="3" fillId="5" borderId="4" xfId="0" applyNumberFormat="1" applyFont="1" applyFill="1" applyBorder="1" applyAlignment="1">
      <alignment horizontal="right" vertical="center" wrapText="1"/>
    </xf>
    <xf numFmtId="4" fontId="3" fillId="5" borderId="4" xfId="0" applyNumberFormat="1" applyFont="1" applyFill="1" applyBorder="1" applyAlignment="1">
      <alignment vertical="center" wrapText="1"/>
    </xf>
    <xf numFmtId="4" fontId="2" fillId="4" borderId="3" xfId="0" applyNumberFormat="1" applyFont="1" applyFill="1" applyBorder="1" applyAlignment="1">
      <alignment horizontal="right" vertical="center" wrapText="1"/>
    </xf>
    <xf numFmtId="0" fontId="3" fillId="5" borderId="5" xfId="0" applyFont="1" applyFill="1" applyBorder="1" applyAlignment="1">
      <alignment vertical="center" wrapText="1"/>
    </xf>
    <xf numFmtId="3" fontId="7" fillId="0" borderId="5" xfId="0" applyNumberFormat="1" applyFont="1" applyFill="1" applyBorder="1" applyAlignment="1">
      <alignment horizontal="center" vertical="center" wrapText="1"/>
    </xf>
    <xf numFmtId="4" fontId="5" fillId="0" borderId="5" xfId="0" applyNumberFormat="1" applyFont="1" applyBorder="1" applyAlignment="1">
      <alignment horizontal="center" vertical="center"/>
    </xf>
    <xf numFmtId="0" fontId="5" fillId="0" borderId="5" xfId="0" applyFont="1" applyBorder="1" applyAlignment="1">
      <alignment vertical="center" wrapText="1"/>
    </xf>
    <xf numFmtId="0" fontId="13" fillId="0" borderId="0" xfId="0" applyFont="1"/>
    <xf numFmtId="4" fontId="18" fillId="4" borderId="3" xfId="0" applyNumberFormat="1" applyFont="1" applyFill="1" applyBorder="1" applyAlignment="1">
      <alignment horizontal="right" vertical="center" wrapText="1"/>
    </xf>
    <xf numFmtId="0" fontId="9" fillId="0" borderId="0" xfId="0" applyFont="1" applyAlignment="1">
      <alignment wrapText="1"/>
    </xf>
    <xf numFmtId="0" fontId="9" fillId="0" borderId="5" xfId="0" applyFont="1" applyBorder="1" applyAlignment="1">
      <alignment horizontal="center" wrapText="1"/>
    </xf>
    <xf numFmtId="0" fontId="9" fillId="0" borderId="5" xfId="0" applyFont="1" applyBorder="1" applyAlignment="1">
      <alignment horizontal="right" vertical="center" wrapText="1"/>
    </xf>
    <xf numFmtId="0" fontId="9" fillId="0" borderId="0" xfId="0" applyFont="1" applyAlignment="1">
      <alignment horizontal="center" wrapText="1"/>
    </xf>
    <xf numFmtId="0" fontId="16" fillId="0" borderId="0" xfId="0" applyFont="1"/>
    <xf numFmtId="3" fontId="16" fillId="0" borderId="5" xfId="0" applyNumberFormat="1" applyFont="1" applyBorder="1" applyAlignment="1">
      <alignment horizontal="center"/>
    </xf>
    <xf numFmtId="0" fontId="22" fillId="10" borderId="5" xfId="0" applyFont="1" applyFill="1" applyBorder="1" applyAlignment="1">
      <alignment vertical="center" wrapText="1"/>
    </xf>
    <xf numFmtId="0" fontId="23" fillId="10" borderId="5" xfId="0" applyFont="1" applyFill="1" applyBorder="1" applyAlignment="1">
      <alignment vertical="center" wrapText="1"/>
    </xf>
    <xf numFmtId="0" fontId="23" fillId="10" borderId="5" xfId="0" applyFont="1" applyFill="1" applyBorder="1" applyAlignment="1">
      <alignment horizontal="right" vertical="center" wrapText="1"/>
    </xf>
    <xf numFmtId="0" fontId="23" fillId="10" borderId="5" xfId="0" applyFont="1" applyFill="1" applyBorder="1" applyAlignment="1">
      <alignment horizontal="center" vertical="center" wrapText="1"/>
    </xf>
    <xf numFmtId="0" fontId="23" fillId="9" borderId="5" xfId="0" applyFont="1" applyFill="1" applyBorder="1" applyAlignment="1">
      <alignment horizontal="right" vertical="center" wrapText="1"/>
    </xf>
    <xf numFmtId="0" fontId="23" fillId="9" borderId="5" xfId="0" applyFont="1" applyFill="1" applyBorder="1" applyAlignment="1">
      <alignment vertical="center" wrapText="1"/>
    </xf>
    <xf numFmtId="0" fontId="22" fillId="11" borderId="5" xfId="0" applyFont="1" applyFill="1" applyBorder="1" applyAlignment="1">
      <alignment vertical="center" wrapText="1"/>
    </xf>
    <xf numFmtId="3" fontId="23" fillId="9" borderId="5" xfId="0" applyNumberFormat="1" applyFont="1" applyFill="1" applyBorder="1" applyAlignment="1">
      <alignment horizontal="right" vertical="center" wrapText="1"/>
    </xf>
    <xf numFmtId="3" fontId="22" fillId="11" borderId="5" xfId="0" applyNumberFormat="1" applyFont="1" applyFill="1" applyBorder="1" applyAlignment="1">
      <alignment horizontal="right" vertical="center" wrapText="1"/>
    </xf>
    <xf numFmtId="3" fontId="23" fillId="9" borderId="27" xfId="0" applyNumberFormat="1" applyFont="1" applyFill="1" applyBorder="1" applyAlignment="1">
      <alignment horizontal="right" vertical="center" wrapText="1"/>
    </xf>
    <xf numFmtId="0" fontId="23" fillId="9" borderId="27" xfId="0" applyFont="1" applyFill="1" applyBorder="1" applyAlignment="1">
      <alignment horizontal="right" vertical="center" wrapText="1"/>
    </xf>
    <xf numFmtId="3" fontId="23" fillId="9" borderId="28" xfId="0" applyNumberFormat="1" applyFont="1" applyFill="1" applyBorder="1" applyAlignment="1">
      <alignment horizontal="right" vertical="center" wrapText="1"/>
    </xf>
    <xf numFmtId="0" fontId="23" fillId="9" borderId="28" xfId="0" applyFont="1" applyFill="1" applyBorder="1" applyAlignment="1">
      <alignment horizontal="right" vertical="center" wrapText="1"/>
    </xf>
    <xf numFmtId="0" fontId="25" fillId="10" borderId="5" xfId="0" applyFont="1" applyFill="1" applyBorder="1" applyAlignment="1">
      <alignment horizontal="right" vertical="center" wrapText="1"/>
    </xf>
    <xf numFmtId="0" fontId="23" fillId="9" borderId="5" xfId="0" applyFont="1" applyFill="1" applyBorder="1" applyAlignment="1">
      <alignment horizontal="center" vertical="center"/>
    </xf>
    <xf numFmtId="0" fontId="26" fillId="9" borderId="5"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17" fillId="0" borderId="0" xfId="0" applyFont="1"/>
    <xf numFmtId="0" fontId="28" fillId="0" borderId="0" xfId="0" applyFont="1"/>
    <xf numFmtId="0" fontId="29" fillId="0" borderId="0" xfId="0" applyFont="1"/>
    <xf numFmtId="3" fontId="30" fillId="0" borderId="5" xfId="0" applyNumberFormat="1" applyFont="1" applyBorder="1" applyAlignment="1">
      <alignment horizontal="center" vertical="center"/>
    </xf>
    <xf numFmtId="0" fontId="31" fillId="7" borderId="0" xfId="0" applyFont="1" applyFill="1" applyBorder="1" applyAlignment="1">
      <alignment vertical="center" wrapText="1"/>
    </xf>
    <xf numFmtId="0" fontId="3" fillId="0" borderId="0" xfId="0" applyFont="1" applyAlignment="1">
      <alignment horizontal="center"/>
    </xf>
    <xf numFmtId="0" fontId="35" fillId="0" borderId="0" xfId="0" applyFont="1" applyAlignment="1">
      <alignment horizontal="right"/>
    </xf>
    <xf numFmtId="0" fontId="36" fillId="0" borderId="5" xfId="0" applyFont="1" applyBorder="1"/>
    <xf numFmtId="0" fontId="21" fillId="0" borderId="5" xfId="0" applyFont="1" applyBorder="1" applyAlignment="1">
      <alignment horizontal="center"/>
    </xf>
    <xf numFmtId="0" fontId="37" fillId="0" borderId="5" xfId="0" applyFont="1" applyBorder="1" applyAlignment="1">
      <alignment horizontal="center"/>
    </xf>
    <xf numFmtId="0" fontId="36" fillId="5" borderId="5" xfId="0" applyFont="1" applyFill="1" applyBorder="1" applyAlignment="1">
      <alignment horizontal="left"/>
    </xf>
    <xf numFmtId="3" fontId="36" fillId="5" borderId="5" xfId="0" applyNumberFormat="1" applyFont="1" applyFill="1" applyBorder="1" applyAlignment="1">
      <alignment horizontal="center"/>
    </xf>
    <xf numFmtId="0" fontId="35" fillId="0" borderId="5" xfId="0" applyFont="1" applyBorder="1" applyAlignment="1">
      <alignment horizontal="right"/>
    </xf>
    <xf numFmtId="3" fontId="35" fillId="0" borderId="5" xfId="0" applyNumberFormat="1" applyFont="1" applyBorder="1" applyAlignment="1">
      <alignment horizontal="center"/>
    </xf>
    <xf numFmtId="3" fontId="36" fillId="5" borderId="5" xfId="0" applyNumberFormat="1" applyFont="1" applyFill="1" applyBorder="1" applyAlignment="1">
      <alignment horizontal="right"/>
    </xf>
    <xf numFmtId="164" fontId="36" fillId="5" borderId="5" xfId="0" applyNumberFormat="1" applyFont="1" applyFill="1" applyBorder="1" applyAlignment="1">
      <alignment horizontal="right"/>
    </xf>
    <xf numFmtId="3" fontId="35" fillId="0" borderId="5" xfId="0" applyNumberFormat="1" applyFont="1" applyBorder="1" applyAlignment="1">
      <alignment horizontal="right"/>
    </xf>
    <xf numFmtId="164" fontId="35" fillId="0" borderId="5" xfId="0" applyNumberFormat="1" applyFont="1" applyBorder="1" applyAlignment="1">
      <alignment horizontal="right"/>
    </xf>
    <xf numFmtId="164" fontId="35" fillId="0" borderId="5" xfId="0" applyNumberFormat="1" applyFont="1" applyBorder="1" applyAlignment="1">
      <alignment horizontal="center"/>
    </xf>
    <xf numFmtId="0" fontId="35" fillId="0" borderId="0" xfId="0" applyFont="1"/>
    <xf numFmtId="4" fontId="35" fillId="0" borderId="0" xfId="0" applyNumberFormat="1" applyFont="1" applyBorder="1" applyAlignment="1">
      <alignment horizontal="center"/>
    </xf>
    <xf numFmtId="0" fontId="3" fillId="0" borderId="0" xfId="0" applyFont="1" applyAlignment="1">
      <alignment horizontal="right"/>
    </xf>
    <xf numFmtId="0" fontId="1" fillId="0" borderId="0" xfId="0" applyFont="1" applyAlignment="1">
      <alignment horizontal="right"/>
    </xf>
    <xf numFmtId="0" fontId="33" fillId="0" borderId="0" xfId="0" applyFont="1"/>
    <xf numFmtId="0" fontId="10" fillId="0" borderId="0" xfId="0" applyFont="1" applyAlignment="1">
      <alignment horizontal="right"/>
    </xf>
    <xf numFmtId="0" fontId="33" fillId="0" borderId="0" xfId="0" applyFont="1" applyAlignment="1">
      <alignment horizontal="right"/>
    </xf>
    <xf numFmtId="0" fontId="2" fillId="0" borderId="0" xfId="0" applyFont="1"/>
    <xf numFmtId="0" fontId="33" fillId="0" borderId="5" xfId="0" applyFont="1" applyFill="1" applyBorder="1" applyAlignment="1">
      <alignment vertical="center" wrapText="1"/>
    </xf>
    <xf numFmtId="0" fontId="3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3" fontId="33" fillId="0" borderId="5" xfId="0" applyNumberFormat="1" applyFont="1" applyBorder="1" applyAlignment="1">
      <alignment horizontal="center" vertical="center"/>
    </xf>
    <xf numFmtId="2" fontId="33" fillId="0" borderId="0" xfId="0" applyNumberFormat="1" applyFont="1"/>
    <xf numFmtId="0" fontId="30" fillId="0" borderId="5" xfId="0" applyFont="1" applyFill="1" applyBorder="1" applyAlignment="1">
      <alignment horizontal="right" vertical="center" wrapText="1"/>
    </xf>
    <xf numFmtId="3" fontId="33" fillId="0" borderId="0" xfId="0" applyNumberFormat="1" applyFont="1" applyAlignment="1">
      <alignment horizontal="center"/>
    </xf>
    <xf numFmtId="1" fontId="33" fillId="0" borderId="5" xfId="0" applyNumberFormat="1" applyFont="1" applyFill="1" applyBorder="1" applyAlignment="1">
      <alignment horizontal="center" vertical="center" wrapText="1"/>
    </xf>
    <xf numFmtId="3" fontId="42" fillId="0" borderId="0" xfId="0" applyNumberFormat="1" applyFont="1" applyAlignment="1">
      <alignment vertical="top"/>
    </xf>
    <xf numFmtId="3" fontId="33" fillId="0" borderId="0" xfId="0" applyNumberFormat="1" applyFont="1"/>
    <xf numFmtId="0" fontId="3" fillId="0" borderId="0" xfId="0" applyFont="1" applyAlignment="1">
      <alignment horizontal="right" vertical="top"/>
    </xf>
    <xf numFmtId="0" fontId="1" fillId="0" borderId="0" xfId="0" applyFont="1" applyAlignment="1">
      <alignment horizontal="right" vertical="top"/>
    </xf>
    <xf numFmtId="0" fontId="1" fillId="8" borderId="0" xfId="0" applyFont="1" applyFill="1"/>
    <xf numFmtId="0" fontId="33" fillId="8" borderId="0" xfId="0" applyFont="1" applyFill="1"/>
    <xf numFmtId="0" fontId="9" fillId="6" borderId="5"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5" xfId="0" applyNumberFormat="1" applyFont="1" applyBorder="1" applyAlignment="1">
      <alignment horizontal="center" vertical="center"/>
    </xf>
    <xf numFmtId="0" fontId="1" fillId="0" borderId="2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0" fillId="7" borderId="5" xfId="0" applyFont="1" applyFill="1" applyBorder="1" applyAlignment="1">
      <alignment horizontal="right" vertical="center" wrapText="1"/>
    </xf>
    <xf numFmtId="3" fontId="3" fillId="0" borderId="5" xfId="0" applyNumberFormat="1" applyFont="1" applyBorder="1" applyAlignment="1">
      <alignment horizontal="center" vertical="center"/>
    </xf>
    <xf numFmtId="3" fontId="33" fillId="8" borderId="0" xfId="0" applyNumberFormat="1" applyFont="1" applyFill="1" applyAlignment="1">
      <alignment horizontal="left" vertical="center"/>
    </xf>
    <xf numFmtId="3" fontId="33" fillId="0" borderId="0" xfId="0" applyNumberFormat="1" applyFont="1" applyAlignment="1">
      <alignment horizontal="left" vertical="center"/>
    </xf>
    <xf numFmtId="4" fontId="2" fillId="2" borderId="5" xfId="0" applyNumberFormat="1" applyFont="1" applyFill="1" applyBorder="1" applyAlignment="1">
      <alignment horizontal="right" vertical="center"/>
    </xf>
    <xf numFmtId="0" fontId="10" fillId="0" borderId="5" xfId="0" applyFont="1" applyFill="1" applyBorder="1" applyAlignment="1">
      <alignment horizontal="right" vertical="center" wrapText="1"/>
    </xf>
    <xf numFmtId="3" fontId="1" fillId="0" borderId="5" xfId="0" applyNumberFormat="1" applyFont="1" applyFill="1" applyBorder="1" applyAlignment="1">
      <alignment horizontal="center" vertical="center" wrapText="1"/>
    </xf>
    <xf numFmtId="3" fontId="1" fillId="0" borderId="5" xfId="0" applyNumberFormat="1" applyFont="1" applyFill="1" applyBorder="1" applyAlignment="1">
      <alignment vertical="center" wrapText="1"/>
    </xf>
    <xf numFmtId="3" fontId="1" fillId="0" borderId="5" xfId="0" applyNumberFormat="1" applyFont="1" applyFill="1" applyBorder="1" applyAlignment="1">
      <alignment horizontal="right" vertical="center" wrapText="1"/>
    </xf>
    <xf numFmtId="0" fontId="39" fillId="7" borderId="5" xfId="0" applyFont="1" applyFill="1" applyBorder="1" applyAlignment="1">
      <alignment horizontal="right" vertical="center" wrapText="1"/>
    </xf>
    <xf numFmtId="3" fontId="1" fillId="7" borderId="5" xfId="0" applyNumberFormat="1" applyFont="1" applyFill="1" applyBorder="1" applyAlignment="1">
      <alignment horizontal="center" vertical="center" wrapText="1"/>
    </xf>
    <xf numFmtId="3" fontId="3" fillId="7" borderId="5" xfId="0" applyNumberFormat="1" applyFont="1" applyFill="1" applyBorder="1" applyAlignment="1">
      <alignment horizontal="right" vertical="center" wrapText="1"/>
    </xf>
    <xf numFmtId="3" fontId="39" fillId="0" borderId="5" xfId="0" applyNumberFormat="1" applyFont="1" applyFill="1" applyBorder="1" applyAlignment="1">
      <alignment horizontal="right" vertical="center" wrapText="1"/>
    </xf>
    <xf numFmtId="3" fontId="39" fillId="0" borderId="0" xfId="0" applyNumberFormat="1" applyFont="1" applyFill="1" applyBorder="1" applyAlignment="1">
      <alignment horizontal="center" vertical="center" wrapText="1"/>
    </xf>
    <xf numFmtId="0" fontId="33" fillId="0" borderId="5" xfId="0" applyFont="1" applyBorder="1"/>
    <xf numFmtId="0" fontId="33" fillId="0" borderId="5" xfId="0"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0" fontId="30" fillId="0" borderId="0" xfId="0" applyFont="1" applyFill="1" applyBorder="1" applyAlignment="1">
      <alignment horizontal="right" vertical="center" wrapText="1"/>
    </xf>
    <xf numFmtId="3" fontId="33" fillId="8" borderId="0" xfId="0" applyNumberFormat="1" applyFont="1" applyFill="1" applyAlignment="1">
      <alignment horizontal="left" vertical="top"/>
    </xf>
    <xf numFmtId="3" fontId="33" fillId="0" borderId="0" xfId="0" applyNumberFormat="1" applyFont="1" applyAlignment="1">
      <alignment horizontal="left" vertical="top"/>
    </xf>
    <xf numFmtId="3" fontId="33" fillId="0" borderId="0" xfId="0" applyNumberFormat="1" applyFont="1" applyFill="1" applyAlignment="1">
      <alignment horizontal="left" vertical="top"/>
    </xf>
    <xf numFmtId="0" fontId="33" fillId="0" borderId="0" xfId="0" applyFont="1" applyFill="1"/>
    <xf numFmtId="0" fontId="3" fillId="0" borderId="0" xfId="0" applyFont="1" applyFill="1" applyAlignment="1">
      <alignment horizontal="right" vertical="top"/>
    </xf>
    <xf numFmtId="0" fontId="1" fillId="0" borderId="0" xfId="0" applyFont="1" applyFill="1" applyAlignment="1">
      <alignment horizontal="right" vertical="top"/>
    </xf>
    <xf numFmtId="1" fontId="1" fillId="0" borderId="20" xfId="0" applyNumberFormat="1"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3" fontId="33" fillId="0" borderId="0" xfId="0" applyNumberFormat="1" applyFont="1" applyFill="1" applyAlignment="1">
      <alignment horizontal="left" vertical="center"/>
    </xf>
    <xf numFmtId="3" fontId="33" fillId="0" borderId="0" xfId="0" applyNumberFormat="1" applyFont="1" applyFill="1" applyAlignment="1">
      <alignment horizontal="left"/>
    </xf>
    <xf numFmtId="0" fontId="3" fillId="0" borderId="0" xfId="0" applyFont="1" applyFill="1"/>
    <xf numFmtId="0" fontId="33" fillId="0" borderId="0" xfId="0" applyFont="1" applyFill="1" applyBorder="1"/>
    <xf numFmtId="0" fontId="33" fillId="0" borderId="0" xfId="0" applyFont="1" applyAlignment="1">
      <alignment vertical="center"/>
    </xf>
    <xf numFmtId="0" fontId="1" fillId="0" borderId="0" xfId="0" applyFont="1" applyFill="1"/>
    <xf numFmtId="0" fontId="33" fillId="0" borderId="0" xfId="0" applyFont="1" applyBorder="1"/>
    <xf numFmtId="0" fontId="30" fillId="0" borderId="0" xfId="0" applyFont="1"/>
    <xf numFmtId="0" fontId="42" fillId="5" borderId="5" xfId="0" applyFont="1" applyFill="1" applyBorder="1" applyAlignment="1">
      <alignment horizontal="center"/>
    </xf>
    <xf numFmtId="0" fontId="45" fillId="5" borderId="5" xfId="0" applyFont="1" applyFill="1" applyBorder="1" applyAlignment="1">
      <alignment horizontal="center"/>
    </xf>
    <xf numFmtId="3" fontId="33" fillId="5" borderId="5" xfId="0" applyNumberFormat="1" applyFont="1" applyFill="1" applyBorder="1"/>
    <xf numFmtId="3" fontId="30" fillId="5" borderId="5" xfId="0" applyNumberFormat="1" applyFont="1" applyFill="1" applyBorder="1"/>
    <xf numFmtId="0" fontId="33" fillId="5" borderId="5" xfId="0" applyFont="1" applyFill="1" applyBorder="1" applyAlignment="1">
      <alignment horizontal="left"/>
    </xf>
    <xf numFmtId="0" fontId="33" fillId="5" borderId="18" xfId="0" applyFont="1" applyFill="1" applyBorder="1" applyAlignment="1">
      <alignment horizontal="left"/>
    </xf>
    <xf numFmtId="3" fontId="30" fillId="7" borderId="5" xfId="0" applyNumberFormat="1" applyFont="1" applyFill="1" applyBorder="1"/>
    <xf numFmtId="1" fontId="42" fillId="0" borderId="0" xfId="0" applyNumberFormat="1" applyFont="1" applyAlignment="1">
      <alignment horizontal="left"/>
    </xf>
    <xf numFmtId="0" fontId="30" fillId="7" borderId="0" xfId="0" applyFont="1" applyFill="1"/>
    <xf numFmtId="0" fontId="44" fillId="0" borderId="5" xfId="0" applyFont="1" applyBorder="1" applyAlignment="1">
      <alignment horizontal="center"/>
    </xf>
    <xf numFmtId="0" fontId="42" fillId="0" borderId="5" xfId="0" applyFont="1" applyBorder="1" applyAlignment="1">
      <alignment horizontal="center"/>
    </xf>
    <xf numFmtId="0" fontId="45" fillId="0" borderId="5" xfId="0" applyFont="1" applyBorder="1" applyAlignment="1">
      <alignment horizontal="center"/>
    </xf>
    <xf numFmtId="3" fontId="33" fillId="0" borderId="5" xfId="0" applyNumberFormat="1" applyFont="1" applyBorder="1"/>
    <xf numFmtId="3" fontId="30" fillId="0" borderId="5" xfId="0" applyNumberFormat="1" applyFont="1" applyBorder="1"/>
    <xf numFmtId="0" fontId="30" fillId="7" borderId="5" xfId="0" applyFont="1" applyFill="1" applyBorder="1"/>
    <xf numFmtId="0" fontId="4" fillId="0" borderId="0" xfId="0" applyFont="1" applyAlignment="1">
      <alignment horizontal="right"/>
    </xf>
    <xf numFmtId="3" fontId="30" fillId="0" borderId="0" xfId="0" applyNumberFormat="1" applyFont="1" applyAlignment="1">
      <alignment horizontal="center"/>
    </xf>
    <xf numFmtId="0" fontId="32" fillId="0" borderId="0" xfId="0" applyFont="1" applyAlignment="1">
      <alignment vertical="top" wrapText="1"/>
    </xf>
    <xf numFmtId="0" fontId="33" fillId="0" borderId="0" xfId="0" applyFont="1" applyFill="1" applyBorder="1" applyAlignment="1"/>
    <xf numFmtId="3" fontId="42" fillId="0" borderId="0" xfId="0" applyNumberFormat="1" applyFont="1" applyFill="1" applyAlignment="1">
      <alignment vertical="top"/>
    </xf>
    <xf numFmtId="0" fontId="33" fillId="12" borderId="0" xfId="0" applyFont="1" applyFill="1" applyAlignment="1">
      <alignment horizontal="right"/>
    </xf>
    <xf numFmtId="0" fontId="1" fillId="12" borderId="0" xfId="0" applyFont="1" applyFill="1"/>
    <xf numFmtId="0" fontId="33" fillId="12" borderId="0" xfId="0" applyFont="1" applyFill="1"/>
    <xf numFmtId="0" fontId="2" fillId="12" borderId="0" xfId="0" applyFont="1" applyFill="1"/>
    <xf numFmtId="0" fontId="3" fillId="12" borderId="0" xfId="0" applyFont="1" applyFill="1"/>
    <xf numFmtId="0" fontId="3" fillId="12" borderId="0" xfId="0" applyFont="1" applyFill="1" applyAlignment="1">
      <alignment vertical="center"/>
    </xf>
    <xf numFmtId="0" fontId="3" fillId="13" borderId="0" xfId="0" applyFont="1" applyFill="1"/>
    <xf numFmtId="0" fontId="1" fillId="12" borderId="0" xfId="0" applyFont="1" applyFill="1" applyAlignment="1">
      <alignment horizontal="right"/>
    </xf>
    <xf numFmtId="0" fontId="1" fillId="13" borderId="0" xfId="0" applyFont="1" applyFill="1"/>
    <xf numFmtId="0" fontId="33" fillId="13" borderId="0" xfId="0" applyFont="1" applyFill="1"/>
    <xf numFmtId="3" fontId="39" fillId="12" borderId="0" xfId="0" applyNumberFormat="1" applyFont="1" applyFill="1" applyBorder="1" applyAlignment="1">
      <alignment horizontal="center" vertical="center" wrapText="1"/>
    </xf>
    <xf numFmtId="0" fontId="30" fillId="12" borderId="0" xfId="0" applyFont="1" applyFill="1" applyBorder="1" applyAlignment="1">
      <alignment vertical="center" wrapText="1"/>
    </xf>
    <xf numFmtId="0" fontId="33" fillId="12" borderId="0" xfId="0" applyFont="1" applyFill="1" applyBorder="1" applyAlignment="1">
      <alignment vertical="center" wrapText="1"/>
    </xf>
    <xf numFmtId="4" fontId="2" fillId="12" borderId="5" xfId="0" applyNumberFormat="1" applyFont="1" applyFill="1" applyBorder="1" applyAlignment="1">
      <alignment horizontal="right" vertical="center"/>
    </xf>
    <xf numFmtId="3" fontId="33" fillId="12" borderId="0" xfId="0" applyNumberFormat="1" applyFont="1" applyFill="1" applyBorder="1"/>
    <xf numFmtId="0" fontId="16" fillId="12" borderId="0" xfId="0" applyFont="1" applyFill="1"/>
    <xf numFmtId="0" fontId="35" fillId="12" borderId="0" xfId="0" applyFont="1" applyFill="1" applyAlignment="1">
      <alignment horizontal="right"/>
    </xf>
    <xf numFmtId="0" fontId="35" fillId="12" borderId="0" xfId="0" applyFont="1" applyFill="1" applyBorder="1" applyAlignment="1">
      <alignment horizontal="right"/>
    </xf>
    <xf numFmtId="4" fontId="35" fillId="12" borderId="0" xfId="0" applyNumberFormat="1" applyFont="1" applyFill="1" applyBorder="1" applyAlignment="1">
      <alignment horizontal="center"/>
    </xf>
    <xf numFmtId="0" fontId="33" fillId="5" borderId="5" xfId="0" applyFont="1" applyFill="1" applyBorder="1" applyAlignment="1">
      <alignment horizontal="left"/>
    </xf>
    <xf numFmtId="0" fontId="9" fillId="6" borderId="5" xfId="0" applyFont="1" applyFill="1" applyBorder="1" applyAlignment="1">
      <alignment horizontal="center" vertical="center" wrapText="1"/>
    </xf>
    <xf numFmtId="0" fontId="30" fillId="0" borderId="5" xfId="0" applyFont="1" applyFill="1" applyBorder="1" applyAlignment="1">
      <alignment horizontal="right" vertical="center" wrapText="1"/>
    </xf>
    <xf numFmtId="0" fontId="30" fillId="0" borderId="0" xfId="0" applyFont="1" applyAlignment="1">
      <alignment horizontal="right"/>
    </xf>
    <xf numFmtId="4" fontId="12" fillId="0" borderId="0" xfId="0" applyNumberFormat="1" applyFont="1"/>
    <xf numFmtId="4" fontId="48" fillId="0" borderId="5" xfId="0" applyNumberFormat="1" applyFont="1" applyBorder="1" applyAlignment="1">
      <alignment horizontal="right" vertical="center"/>
    </xf>
    <xf numFmtId="3" fontId="30" fillId="5" borderId="5"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10" fillId="0" borderId="5" xfId="0" applyFont="1" applyFill="1" applyBorder="1" applyAlignment="1">
      <alignment horizontal="center" vertical="center" wrapText="1"/>
    </xf>
    <xf numFmtId="0" fontId="33" fillId="6" borderId="5" xfId="0" applyFont="1" applyFill="1" applyBorder="1" applyAlignment="1">
      <alignment horizontal="center"/>
    </xf>
    <xf numFmtId="3" fontId="51" fillId="0" borderId="5" xfId="0" applyNumberFormat="1" applyFont="1" applyBorder="1" applyAlignment="1">
      <alignment horizontal="right"/>
    </xf>
    <xf numFmtId="0" fontId="9" fillId="0" borderId="0" xfId="0" applyFont="1"/>
    <xf numFmtId="0" fontId="9" fillId="0" borderId="5" xfId="0" applyFont="1" applyBorder="1"/>
    <xf numFmtId="3" fontId="9" fillId="0" borderId="5" xfId="0" applyNumberFormat="1" applyFont="1" applyBorder="1"/>
    <xf numFmtId="3" fontId="9" fillId="0" borderId="0" xfId="0" applyNumberFormat="1" applyFont="1"/>
    <xf numFmtId="0" fontId="4" fillId="0" borderId="0" xfId="0" applyFont="1"/>
    <xf numFmtId="0" fontId="9" fillId="0" borderId="18" xfId="0" applyFont="1" applyBorder="1" applyAlignment="1">
      <alignment horizontal="center" wrapText="1"/>
    </xf>
    <xf numFmtId="0" fontId="4" fillId="0" borderId="18" xfId="0" applyFont="1" applyBorder="1" applyAlignment="1">
      <alignment horizontal="center" wrapText="1"/>
    </xf>
    <xf numFmtId="0" fontId="4" fillId="0" borderId="0" xfId="0" applyFont="1" applyBorder="1" applyAlignment="1">
      <alignment horizontal="left"/>
    </xf>
    <xf numFmtId="0" fontId="52" fillId="0" borderId="0" xfId="0" applyFont="1" applyBorder="1" applyAlignment="1">
      <alignment horizontal="left"/>
    </xf>
    <xf numFmtId="3" fontId="47" fillId="0" borderId="0" xfId="0" applyNumberFormat="1" applyFont="1" applyAlignment="1">
      <alignment vertical="top"/>
    </xf>
    <xf numFmtId="0" fontId="9" fillId="0" borderId="0" xfId="0" applyFont="1" applyAlignment="1"/>
    <xf numFmtId="0" fontId="52" fillId="0" borderId="0" xfId="0" applyFont="1"/>
    <xf numFmtId="0" fontId="4" fillId="5" borderId="5" xfId="0" applyFont="1" applyFill="1" applyBorder="1"/>
    <xf numFmtId="3" fontId="4" fillId="5" borderId="5" xfId="0" applyNumberFormat="1" applyFont="1" applyFill="1" applyBorder="1"/>
    <xf numFmtId="0" fontId="4" fillId="5" borderId="18" xfId="0" applyFont="1" applyFill="1" applyBorder="1" applyAlignment="1">
      <alignment horizontal="center" wrapText="1"/>
    </xf>
    <xf numFmtId="3" fontId="9" fillId="5" borderId="5" xfId="0" applyNumberFormat="1" applyFont="1" applyFill="1" applyBorder="1"/>
    <xf numFmtId="3" fontId="47" fillId="5" borderId="0" xfId="0" applyNumberFormat="1" applyFont="1" applyFill="1" applyAlignment="1">
      <alignment vertical="top"/>
    </xf>
    <xf numFmtId="0" fontId="49" fillId="0" borderId="0" xfId="0" applyFont="1" applyAlignment="1">
      <alignment horizontal="right"/>
    </xf>
    <xf numFmtId="3" fontId="49" fillId="0" borderId="0" xfId="0" applyNumberFormat="1" applyFont="1" applyAlignment="1">
      <alignment horizontal="right"/>
    </xf>
    <xf numFmtId="3" fontId="4" fillId="0" borderId="0" xfId="0" applyNumberFormat="1" applyFont="1" applyAlignment="1"/>
    <xf numFmtId="0" fontId="4" fillId="0" borderId="0" xfId="0" applyFont="1" applyAlignment="1"/>
    <xf numFmtId="3" fontId="4" fillId="0" borderId="0" xfId="0" applyNumberFormat="1" applyFont="1"/>
    <xf numFmtId="0" fontId="6" fillId="0" borderId="0" xfId="0" applyFont="1" applyAlignment="1">
      <alignment horizontal="center"/>
    </xf>
    <xf numFmtId="0" fontId="9" fillId="0" borderId="5" xfId="0" applyFont="1" applyBorder="1" applyAlignment="1">
      <alignment horizontal="center"/>
    </xf>
    <xf numFmtId="3" fontId="17" fillId="0" borderId="0" xfId="0" applyNumberFormat="1" applyFont="1"/>
    <xf numFmtId="3" fontId="29" fillId="0" borderId="0" xfId="0" applyNumberFormat="1" applyFont="1"/>
    <xf numFmtId="0" fontId="29" fillId="0" borderId="0" xfId="0" applyFont="1" applyAlignment="1">
      <alignment horizontal="center"/>
    </xf>
    <xf numFmtId="0" fontId="17" fillId="0" borderId="0" xfId="0" applyFont="1" applyAlignment="1">
      <alignment horizontal="right"/>
    </xf>
    <xf numFmtId="0" fontId="17" fillId="0" borderId="0" xfId="0" applyFont="1" applyAlignment="1">
      <alignment horizontal="center"/>
    </xf>
    <xf numFmtId="2" fontId="17" fillId="0" borderId="0" xfId="0" applyNumberFormat="1" applyFont="1"/>
    <xf numFmtId="0" fontId="17" fillId="0" borderId="0" xfId="0" applyFont="1" applyAlignment="1">
      <alignment horizontal="center" vertical="top" wrapText="1"/>
    </xf>
    <xf numFmtId="0" fontId="4" fillId="0" borderId="0" xfId="0" applyFont="1" applyAlignment="1">
      <alignment horizontal="right"/>
    </xf>
    <xf numFmtId="3" fontId="0" fillId="0" borderId="0" xfId="0" applyNumberFormat="1"/>
    <xf numFmtId="49" fontId="45" fillId="0" borderId="0" xfId="0" applyNumberFormat="1" applyFont="1" applyAlignment="1">
      <alignment horizontal="center" wrapText="1"/>
    </xf>
    <xf numFmtId="49" fontId="42" fillId="0" borderId="0" xfId="0" applyNumberFormat="1" applyFont="1" applyAlignment="1">
      <alignment horizontal="center" wrapText="1"/>
    </xf>
    <xf numFmtId="3" fontId="16" fillId="0" borderId="0" xfId="0" applyNumberFormat="1" applyFont="1"/>
    <xf numFmtId="3" fontId="4" fillId="0" borderId="0" xfId="0" applyNumberFormat="1" applyFont="1" applyFill="1" applyAlignment="1"/>
    <xf numFmtId="0" fontId="4" fillId="0" borderId="0" xfId="0" applyFont="1" applyFill="1" applyAlignment="1"/>
    <xf numFmtId="3" fontId="4" fillId="0" borderId="0" xfId="0" applyNumberFormat="1" applyFont="1" applyFill="1"/>
    <xf numFmtId="0" fontId="4" fillId="0" borderId="0" xfId="0" applyFont="1" applyFill="1"/>
    <xf numFmtId="49" fontId="42" fillId="0" borderId="0" xfId="0" applyNumberFormat="1" applyFont="1" applyFill="1" applyAlignment="1">
      <alignment horizontal="center" wrapText="1"/>
    </xf>
    <xf numFmtId="3" fontId="49" fillId="0" borderId="0" xfId="0" applyNumberFormat="1" applyFont="1" applyFill="1" applyAlignment="1">
      <alignment horizontal="right"/>
    </xf>
    <xf numFmtId="49" fontId="45" fillId="0" borderId="0" xfId="0" applyNumberFormat="1" applyFont="1" applyFill="1" applyAlignment="1">
      <alignment horizontal="center" wrapText="1"/>
    </xf>
    <xf numFmtId="3" fontId="49" fillId="0" borderId="0" xfId="0" applyNumberFormat="1" applyFont="1" applyAlignment="1">
      <alignment horizontal="left"/>
    </xf>
    <xf numFmtId="49" fontId="41" fillId="0" borderId="0" xfId="0" applyNumberFormat="1" applyFont="1" applyAlignment="1">
      <alignment horizontal="center" wrapText="1"/>
    </xf>
    <xf numFmtId="0" fontId="4" fillId="0" borderId="0" xfId="0" applyFont="1" applyAlignment="1">
      <alignment horizontal="right"/>
    </xf>
    <xf numFmtId="3" fontId="9" fillId="0" borderId="0" xfId="0" applyNumberFormat="1" applyFont="1" applyAlignment="1">
      <alignment horizontal="center" wrapText="1"/>
    </xf>
    <xf numFmtId="0" fontId="25" fillId="9" borderId="5" xfId="0" applyFont="1" applyFill="1" applyBorder="1" applyAlignment="1">
      <alignment horizontal="center" vertical="center"/>
    </xf>
    <xf numFmtId="3" fontId="56" fillId="11" borderId="5" xfId="0" applyNumberFormat="1" applyFont="1" applyFill="1" applyBorder="1" applyAlignment="1">
      <alignment horizontal="right" vertical="center" wrapText="1"/>
    </xf>
    <xf numFmtId="3" fontId="25" fillId="9" borderId="27" xfId="0" applyNumberFormat="1" applyFont="1" applyFill="1" applyBorder="1" applyAlignment="1">
      <alignment horizontal="right" vertical="center" wrapText="1"/>
    </xf>
    <xf numFmtId="3" fontId="25" fillId="9" borderId="28" xfId="0" applyNumberFormat="1" applyFont="1" applyFill="1" applyBorder="1" applyAlignment="1">
      <alignment horizontal="right" vertical="center" wrapText="1"/>
    </xf>
    <xf numFmtId="3" fontId="25" fillId="9" borderId="5" xfId="0" applyNumberFormat="1" applyFont="1" applyFill="1" applyBorder="1" applyAlignment="1">
      <alignment horizontal="right" vertical="center" wrapText="1"/>
    </xf>
    <xf numFmtId="3" fontId="57" fillId="0" borderId="0" xfId="0" applyNumberFormat="1" applyFont="1"/>
    <xf numFmtId="0" fontId="9" fillId="5" borderId="5" xfId="0" applyFont="1" applyFill="1" applyBorder="1" applyAlignment="1">
      <alignment horizontal="center" wrapText="1"/>
    </xf>
    <xf numFmtId="0" fontId="4" fillId="5" borderId="5" xfId="0" applyFont="1" applyFill="1" applyBorder="1" applyAlignment="1">
      <alignment horizontal="center" wrapText="1"/>
    </xf>
    <xf numFmtId="0" fontId="9" fillId="12" borderId="5" xfId="0" applyFont="1" applyFill="1" applyBorder="1" applyAlignment="1">
      <alignment horizontal="center" wrapText="1"/>
    </xf>
    <xf numFmtId="0" fontId="47" fillId="0" borderId="5" xfId="0" applyFont="1" applyBorder="1" applyAlignment="1">
      <alignment horizontal="center" vertical="center" wrapText="1"/>
    </xf>
    <xf numFmtId="0" fontId="59" fillId="0" borderId="5" xfId="0" applyFont="1" applyBorder="1" applyAlignment="1">
      <alignment horizontal="center" vertical="center" wrapText="1"/>
    </xf>
    <xf numFmtId="0" fontId="59" fillId="5" borderId="5" xfId="0" applyFont="1" applyFill="1" applyBorder="1" applyAlignment="1">
      <alignment horizontal="center" vertical="center" wrapText="1"/>
    </xf>
    <xf numFmtId="0" fontId="60" fillId="0" borderId="5" xfId="0" applyFont="1" applyBorder="1" applyAlignment="1">
      <alignment horizontal="center" vertical="center" wrapText="1"/>
    </xf>
    <xf numFmtId="3" fontId="9" fillId="0" borderId="5"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9" fillId="5" borderId="5" xfId="0" applyNumberFormat="1" applyFont="1" applyFill="1" applyBorder="1" applyAlignment="1">
      <alignment horizontal="center" vertical="center" wrapText="1"/>
    </xf>
    <xf numFmtId="3" fontId="4" fillId="5" borderId="5" xfId="0" applyNumberFormat="1" applyFont="1" applyFill="1" applyBorder="1" applyAlignment="1">
      <alignment horizontal="center" vertical="center" wrapText="1"/>
    </xf>
    <xf numFmtId="4" fontId="9"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9" fillId="0" borderId="5" xfId="0" applyNumberFormat="1" applyFont="1" applyBorder="1" applyAlignment="1">
      <alignment horizontal="right" vertical="center" wrapText="1"/>
    </xf>
    <xf numFmtId="164" fontId="9" fillId="0" borderId="5" xfId="0" applyNumberFormat="1" applyFont="1" applyBorder="1" applyAlignment="1">
      <alignment horizontal="center" vertical="center" wrapText="1"/>
    </xf>
    <xf numFmtId="2" fontId="4" fillId="0" borderId="5"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3" fontId="9" fillId="0" borderId="5" xfId="0" applyNumberFormat="1" applyFont="1" applyBorder="1" applyAlignment="1">
      <alignment vertical="center" wrapText="1"/>
    </xf>
    <xf numFmtId="3" fontId="4" fillId="0" borderId="5" xfId="0" applyNumberFormat="1" applyFont="1" applyBorder="1" applyAlignment="1">
      <alignment horizontal="right" vertical="center" wrapText="1"/>
    </xf>
    <xf numFmtId="0" fontId="61" fillId="0" borderId="0" xfId="0" applyFont="1" applyAlignment="1">
      <alignment horizontal="center" wrapText="1"/>
    </xf>
    <xf numFmtId="0" fontId="61" fillId="5" borderId="5" xfId="0" applyFont="1" applyFill="1" applyBorder="1" applyAlignment="1">
      <alignment horizontal="right" vertical="center" wrapText="1"/>
    </xf>
    <xf numFmtId="164" fontId="61" fillId="5" borderId="5" xfId="0" applyNumberFormat="1" applyFont="1" applyFill="1" applyBorder="1" applyAlignment="1">
      <alignment horizontal="center" vertical="center" wrapText="1"/>
    </xf>
    <xf numFmtId="3" fontId="61" fillId="5" borderId="5" xfId="0" applyNumberFormat="1" applyFont="1" applyFill="1" applyBorder="1" applyAlignment="1">
      <alignment horizontal="center" vertical="center" wrapText="1"/>
    </xf>
    <xf numFmtId="4" fontId="61" fillId="5" borderId="5" xfId="0" applyNumberFormat="1" applyFont="1" applyFill="1" applyBorder="1" applyAlignment="1">
      <alignment horizontal="center" vertical="center" wrapText="1"/>
    </xf>
    <xf numFmtId="3" fontId="61" fillId="5" borderId="5" xfId="0" applyNumberFormat="1" applyFont="1" applyFill="1" applyBorder="1" applyAlignment="1">
      <alignment horizontal="right" vertical="center" wrapText="1"/>
    </xf>
    <xf numFmtId="3" fontId="61" fillId="5" borderId="5" xfId="0" applyNumberFormat="1" applyFont="1" applyFill="1" applyBorder="1" applyAlignment="1">
      <alignment vertical="center" wrapText="1"/>
    </xf>
    <xf numFmtId="3" fontId="61" fillId="0" borderId="0" xfId="0" applyNumberFormat="1" applyFont="1" applyAlignment="1">
      <alignment horizontal="center" wrapText="1"/>
    </xf>
    <xf numFmtId="0" fontId="9" fillId="0" borderId="14" xfId="0" applyFont="1" applyBorder="1" applyAlignment="1">
      <alignment vertical="center"/>
    </xf>
    <xf numFmtId="0" fontId="9" fillId="0" borderId="14" xfId="0" applyFont="1" applyBorder="1" applyAlignment="1">
      <alignment horizontal="center" vertical="center"/>
    </xf>
    <xf numFmtId="3" fontId="4" fillId="0" borderId="14" xfId="0" applyNumberFormat="1" applyFont="1" applyBorder="1" applyAlignment="1">
      <alignment horizontal="center" vertical="center" wrapText="1"/>
    </xf>
    <xf numFmtId="0" fontId="9" fillId="5" borderId="14" xfId="0" applyFont="1" applyFill="1" applyBorder="1" applyAlignment="1">
      <alignment horizontal="center" vertical="center"/>
    </xf>
    <xf numFmtId="3" fontId="4" fillId="5" borderId="14" xfId="0" applyNumberFormat="1" applyFont="1" applyFill="1" applyBorder="1" applyAlignment="1">
      <alignment horizontal="center" vertical="center" wrapText="1"/>
    </xf>
    <xf numFmtId="4" fontId="9" fillId="0" borderId="14" xfId="0" applyNumberFormat="1" applyFont="1" applyBorder="1" applyAlignment="1">
      <alignment horizontal="center" vertical="center"/>
    </xf>
    <xf numFmtId="4" fontId="4" fillId="0" borderId="14" xfId="0" applyNumberFormat="1" applyFont="1" applyBorder="1" applyAlignment="1">
      <alignment horizontal="center" vertical="center"/>
    </xf>
    <xf numFmtId="3" fontId="9" fillId="0" borderId="14" xfId="0" applyNumberFormat="1" applyFont="1" applyBorder="1" applyAlignment="1">
      <alignment horizontal="center" vertical="center" wrapText="1"/>
    </xf>
    <xf numFmtId="2" fontId="9" fillId="0" borderId="14" xfId="0" applyNumberFormat="1" applyFont="1" applyBorder="1" applyAlignment="1">
      <alignment vertical="center"/>
    </xf>
    <xf numFmtId="164" fontId="9" fillId="0" borderId="14" xfId="0" applyNumberFormat="1" applyFont="1" applyBorder="1" applyAlignment="1">
      <alignment horizontal="center" vertical="center"/>
    </xf>
    <xf numFmtId="2" fontId="4" fillId="0" borderId="14" xfId="0" applyNumberFormat="1" applyFont="1" applyBorder="1" applyAlignment="1">
      <alignment vertical="center"/>
    </xf>
    <xf numFmtId="3" fontId="9" fillId="0" borderId="14" xfId="0" applyNumberFormat="1" applyFont="1" applyBorder="1" applyAlignment="1">
      <alignment horizontal="right" vertical="center" wrapText="1"/>
    </xf>
    <xf numFmtId="3" fontId="9" fillId="0" borderId="14" xfId="0" applyNumberFormat="1" applyFont="1" applyBorder="1" applyAlignment="1">
      <alignment horizontal="center" vertical="center"/>
    </xf>
    <xf numFmtId="3" fontId="4" fillId="0" borderId="14" xfId="0" applyNumberFormat="1" applyFont="1" applyBorder="1" applyAlignment="1">
      <alignment horizontal="right" vertical="center" wrapText="1"/>
    </xf>
    <xf numFmtId="0" fontId="9" fillId="5" borderId="10" xfId="0" applyFont="1" applyFill="1" applyBorder="1" applyAlignment="1">
      <alignment vertical="center"/>
    </xf>
    <xf numFmtId="0" fontId="9" fillId="5" borderId="3" xfId="0" applyFont="1" applyFill="1" applyBorder="1" applyAlignment="1">
      <alignment horizontal="center" vertical="center"/>
    </xf>
    <xf numFmtId="3" fontId="4" fillId="5" borderId="3"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xf>
    <xf numFmtId="4" fontId="4" fillId="5" borderId="3" xfId="0" applyNumberFormat="1" applyFont="1" applyFill="1" applyBorder="1" applyAlignment="1">
      <alignment horizontal="center" vertical="center"/>
    </xf>
    <xf numFmtId="3" fontId="9" fillId="5" borderId="3" xfId="0" applyNumberFormat="1" applyFont="1" applyFill="1" applyBorder="1" applyAlignment="1">
      <alignment horizontal="center" vertical="center" wrapText="1"/>
    </xf>
    <xf numFmtId="2" fontId="9" fillId="5" borderId="3" xfId="0" applyNumberFormat="1" applyFont="1" applyFill="1" applyBorder="1" applyAlignment="1">
      <alignment vertical="center"/>
    </xf>
    <xf numFmtId="164" fontId="9" fillId="5" borderId="3" xfId="0" applyNumberFormat="1" applyFont="1" applyFill="1" applyBorder="1" applyAlignment="1">
      <alignment horizontal="center" vertical="center"/>
    </xf>
    <xf numFmtId="2" fontId="52" fillId="5" borderId="3" xfId="0" applyNumberFormat="1" applyFont="1" applyFill="1" applyBorder="1" applyAlignment="1">
      <alignment vertical="center"/>
    </xf>
    <xf numFmtId="3" fontId="9" fillId="5" borderId="3" xfId="0" applyNumberFormat="1" applyFont="1" applyFill="1" applyBorder="1" applyAlignment="1">
      <alignment horizontal="right" vertical="center" wrapText="1"/>
    </xf>
    <xf numFmtId="3" fontId="9" fillId="5" borderId="3" xfId="0" applyNumberFormat="1" applyFont="1" applyFill="1" applyBorder="1" applyAlignment="1">
      <alignment horizontal="center" vertical="center"/>
    </xf>
    <xf numFmtId="3" fontId="4" fillId="5" borderId="32" xfId="0" applyNumberFormat="1" applyFont="1" applyFill="1" applyBorder="1" applyAlignment="1">
      <alignment horizontal="right" vertical="center" wrapText="1"/>
    </xf>
    <xf numFmtId="0" fontId="9" fillId="0" borderId="4" xfId="0" applyFont="1" applyBorder="1" applyAlignment="1">
      <alignment vertical="center"/>
    </xf>
    <xf numFmtId="0" fontId="9" fillId="0" borderId="4" xfId="0" applyFont="1" applyBorder="1" applyAlignment="1">
      <alignment horizontal="center" vertical="center"/>
    </xf>
    <xf numFmtId="3" fontId="4" fillId="0" borderId="4" xfId="0" applyNumberFormat="1" applyFont="1" applyBorder="1" applyAlignment="1">
      <alignment horizontal="center" vertical="center" wrapText="1"/>
    </xf>
    <xf numFmtId="0" fontId="9" fillId="5" borderId="4" xfId="0" applyFont="1" applyFill="1" applyBorder="1" applyAlignment="1">
      <alignment horizontal="center" vertical="center"/>
    </xf>
    <xf numFmtId="3" fontId="4" fillId="5"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3" fontId="9" fillId="0" borderId="4" xfId="0" applyNumberFormat="1" applyFont="1" applyBorder="1" applyAlignment="1">
      <alignment horizontal="center" vertical="center" wrapText="1"/>
    </xf>
    <xf numFmtId="2" fontId="9" fillId="0" borderId="4" xfId="0" applyNumberFormat="1" applyFont="1" applyBorder="1" applyAlignment="1">
      <alignment vertical="center"/>
    </xf>
    <xf numFmtId="164" fontId="9" fillId="0" borderId="4" xfId="0" applyNumberFormat="1" applyFont="1" applyBorder="1" applyAlignment="1">
      <alignment horizontal="center" vertical="center"/>
    </xf>
    <xf numFmtId="2" fontId="52" fillId="0" borderId="4" xfId="0" applyNumberFormat="1" applyFont="1" applyBorder="1" applyAlignment="1">
      <alignment vertical="center"/>
    </xf>
    <xf numFmtId="3" fontId="9" fillId="0" borderId="4" xfId="0" applyNumberFormat="1" applyFont="1" applyBorder="1" applyAlignment="1">
      <alignment horizontal="right" vertical="center" wrapText="1"/>
    </xf>
    <xf numFmtId="3" fontId="9" fillId="0" borderId="4" xfId="0" applyNumberFormat="1" applyFont="1" applyBorder="1" applyAlignment="1">
      <alignment horizontal="center" vertical="center"/>
    </xf>
    <xf numFmtId="3" fontId="4" fillId="0" borderId="4" xfId="0" applyNumberFormat="1" applyFont="1" applyBorder="1" applyAlignment="1">
      <alignment horizontal="righ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5" borderId="5" xfId="0" applyFont="1" applyFill="1" applyBorder="1" applyAlignment="1">
      <alignment horizontal="center" vertical="center"/>
    </xf>
    <xf numFmtId="4" fontId="9" fillId="0" borderId="5" xfId="0" applyNumberFormat="1" applyFont="1" applyBorder="1" applyAlignment="1">
      <alignment horizontal="center" vertical="center"/>
    </xf>
    <xf numFmtId="4" fontId="4" fillId="0" borderId="5" xfId="0" applyNumberFormat="1" applyFont="1" applyBorder="1" applyAlignment="1">
      <alignment horizontal="center" vertical="center"/>
    </xf>
    <xf numFmtId="2" fontId="9" fillId="0" borderId="5" xfId="0" applyNumberFormat="1" applyFont="1" applyBorder="1" applyAlignment="1">
      <alignment vertical="center"/>
    </xf>
    <xf numFmtId="164" fontId="9" fillId="0" borderId="5" xfId="0" applyNumberFormat="1" applyFont="1" applyBorder="1" applyAlignment="1">
      <alignment horizontal="center" vertical="center"/>
    </xf>
    <xf numFmtId="2" fontId="52" fillId="0" borderId="5" xfId="0" applyNumberFormat="1" applyFont="1" applyBorder="1" applyAlignment="1">
      <alignment vertical="center"/>
    </xf>
    <xf numFmtId="3" fontId="9" fillId="0" borderId="5" xfId="0" applyNumberFormat="1" applyFont="1" applyBorder="1" applyAlignment="1">
      <alignment horizontal="center" vertical="center"/>
    </xf>
    <xf numFmtId="0" fontId="62" fillId="0" borderId="0" xfId="0" applyFont="1"/>
    <xf numFmtId="3" fontId="9" fillId="0" borderId="0" xfId="0" applyNumberFormat="1" applyFont="1" applyAlignment="1"/>
    <xf numFmtId="0" fontId="4" fillId="0" borderId="0" xfId="0" applyFont="1" applyAlignment="1">
      <alignment horizontal="center"/>
    </xf>
    <xf numFmtId="0" fontId="63" fillId="0" borderId="0" xfId="0" applyFont="1" applyAlignment="1">
      <alignment horizontal="center"/>
    </xf>
    <xf numFmtId="1" fontId="64" fillId="0" borderId="0" xfId="0" applyNumberFormat="1" applyFont="1" applyAlignment="1">
      <alignment horizontal="left"/>
    </xf>
    <xf numFmtId="4" fontId="9" fillId="0" borderId="0" xfId="0" applyNumberFormat="1" applyFont="1"/>
    <xf numFmtId="3" fontId="63" fillId="0" borderId="0" xfId="0" applyNumberFormat="1" applyFont="1" applyAlignment="1">
      <alignment horizontal="left"/>
    </xf>
    <xf numFmtId="0" fontId="64" fillId="0" borderId="0" xfId="0" applyFont="1"/>
    <xf numFmtId="0" fontId="65" fillId="0" borderId="0" xfId="0" applyFont="1"/>
    <xf numFmtId="0" fontId="4" fillId="0" borderId="30" xfId="0" applyFont="1" applyBorder="1" applyAlignment="1">
      <alignment horizontal="center"/>
    </xf>
    <xf numFmtId="3" fontId="9" fillId="0" borderId="31" xfId="0" applyNumberFormat="1" applyFont="1" applyBorder="1"/>
    <xf numFmtId="3" fontId="4" fillId="5" borderId="0" xfId="0" applyNumberFormat="1" applyFont="1" applyFill="1"/>
    <xf numFmtId="3" fontId="4" fillId="5" borderId="31" xfId="0" applyNumberFormat="1" applyFont="1" applyFill="1" applyBorder="1"/>
    <xf numFmtId="4" fontId="49" fillId="0" borderId="0" xfId="0" applyNumberFormat="1" applyFont="1"/>
    <xf numFmtId="0" fontId="42" fillId="0" borderId="0" xfId="0" applyFont="1"/>
    <xf numFmtId="0" fontId="42" fillId="0" borderId="12" xfId="0" applyFont="1" applyBorder="1" applyAlignment="1">
      <alignment horizontal="right"/>
    </xf>
    <xf numFmtId="0" fontId="42" fillId="0" borderId="1" xfId="0" applyFont="1" applyBorder="1" applyAlignment="1"/>
    <xf numFmtId="3" fontId="42" fillId="0" borderId="1" xfId="0" applyNumberFormat="1" applyFont="1" applyBorder="1"/>
    <xf numFmtId="3" fontId="42" fillId="0" borderId="0" xfId="0" applyNumberFormat="1" applyFont="1"/>
    <xf numFmtId="0" fontId="49" fillId="0" borderId="0" xfId="0" applyFont="1"/>
    <xf numFmtId="3" fontId="52" fillId="0" borderId="0" xfId="0" applyNumberFormat="1" applyFont="1"/>
    <xf numFmtId="3" fontId="52" fillId="0" borderId="22" xfId="0" applyNumberFormat="1" applyFont="1" applyBorder="1"/>
    <xf numFmtId="3" fontId="49" fillId="0" borderId="0" xfId="0" applyNumberFormat="1" applyFont="1"/>
    <xf numFmtId="0" fontId="26" fillId="0" borderId="0" xfId="0" applyFont="1"/>
    <xf numFmtId="2" fontId="4" fillId="5" borderId="3" xfId="0" applyNumberFormat="1" applyFont="1" applyFill="1" applyBorder="1" applyAlignment="1">
      <alignment vertical="center"/>
    </xf>
    <xf numFmtId="2" fontId="4" fillId="0" borderId="4" xfId="0" applyNumberFormat="1" applyFont="1" applyBorder="1" applyAlignment="1">
      <alignment vertical="center"/>
    </xf>
    <xf numFmtId="2" fontId="4" fillId="0" borderId="5" xfId="0" applyNumberFormat="1" applyFont="1" applyBorder="1" applyAlignment="1">
      <alignment vertical="center"/>
    </xf>
    <xf numFmtId="0" fontId="42" fillId="0" borderId="12" xfId="0" applyFont="1" applyBorder="1" applyAlignment="1"/>
    <xf numFmtId="0" fontId="42" fillId="0" borderId="1" xfId="0" applyFont="1" applyBorder="1"/>
    <xf numFmtId="3" fontId="42" fillId="0" borderId="19" xfId="0" applyNumberFormat="1" applyFont="1" applyBorder="1"/>
    <xf numFmtId="3" fontId="42" fillId="0" borderId="13" xfId="0" applyNumberFormat="1" applyFont="1" applyBorder="1"/>
    <xf numFmtId="0" fontId="13" fillId="0" borderId="0" xfId="0" applyFont="1" applyAlignment="1">
      <alignment horizontal="center"/>
    </xf>
    <xf numFmtId="0" fontId="0" fillId="0" borderId="5" xfId="0" applyBorder="1"/>
    <xf numFmtId="0" fontId="0" fillId="0" borderId="5" xfId="0" applyBorder="1" applyAlignment="1">
      <alignment horizontal="right"/>
    </xf>
    <xf numFmtId="0" fontId="0" fillId="0" borderId="5" xfId="0" applyBorder="1" applyAlignment="1">
      <alignment horizontal="center"/>
    </xf>
    <xf numFmtId="3" fontId="0" fillId="0" borderId="5" xfId="0" applyNumberFormat="1" applyBorder="1"/>
    <xf numFmtId="3" fontId="13" fillId="0" borderId="5" xfId="0" applyNumberFormat="1" applyFont="1" applyBorder="1"/>
    <xf numFmtId="0" fontId="0" fillId="0" borderId="4" xfId="0" applyBorder="1" applyAlignment="1">
      <alignment horizontal="right"/>
    </xf>
    <xf numFmtId="3" fontId="0" fillId="0" borderId="4" xfId="0" applyNumberFormat="1" applyBorder="1"/>
    <xf numFmtId="0" fontId="0" fillId="0" borderId="4" xfId="0" applyBorder="1"/>
    <xf numFmtId="3" fontId="13" fillId="0" borderId="4" xfId="0" applyNumberFormat="1" applyFont="1" applyBorder="1"/>
    <xf numFmtId="0" fontId="0" fillId="0" borderId="29" xfId="0" applyBorder="1" applyAlignment="1">
      <alignment horizontal="right"/>
    </xf>
    <xf numFmtId="3" fontId="0" fillId="0" borderId="29" xfId="0" applyNumberFormat="1" applyBorder="1"/>
    <xf numFmtId="0" fontId="0" fillId="0" borderId="29" xfId="0" applyBorder="1"/>
    <xf numFmtId="3" fontId="13" fillId="0" borderId="29" xfId="0" applyNumberFormat="1" applyFont="1" applyBorder="1"/>
    <xf numFmtId="0" fontId="0" fillId="5" borderId="5" xfId="0" applyFill="1" applyBorder="1" applyAlignment="1">
      <alignment horizontal="center"/>
    </xf>
    <xf numFmtId="3" fontId="0" fillId="5" borderId="5" xfId="0" applyNumberFormat="1" applyFill="1" applyBorder="1"/>
    <xf numFmtId="3" fontId="13" fillId="5" borderId="5" xfId="0" applyNumberFormat="1" applyFont="1" applyFill="1" applyBorder="1"/>
    <xf numFmtId="3" fontId="0" fillId="5" borderId="29" xfId="0" applyNumberFormat="1" applyFill="1" applyBorder="1"/>
    <xf numFmtId="3" fontId="13" fillId="5" borderId="29" xfId="0" applyNumberFormat="1" applyFont="1" applyFill="1" applyBorder="1"/>
    <xf numFmtId="0" fontId="67" fillId="0" borderId="0" xfId="0" applyFont="1" applyAlignment="1">
      <alignment horizontal="right"/>
    </xf>
    <xf numFmtId="0" fontId="0" fillId="0" borderId="0" xfId="0" applyAlignment="1">
      <alignment horizontal="right"/>
    </xf>
    <xf numFmtId="3" fontId="68" fillId="0" borderId="15" xfId="0" applyNumberFormat="1" applyFont="1" applyFill="1" applyBorder="1" applyAlignment="1">
      <alignment horizontal="center"/>
    </xf>
    <xf numFmtId="0" fontId="69" fillId="0" borderId="15" xfId="0" applyFont="1" applyFill="1" applyBorder="1" applyAlignment="1">
      <alignment horizontal="center"/>
    </xf>
    <xf numFmtId="3" fontId="0" fillId="0" borderId="0" xfId="0" applyNumberFormat="1" applyFill="1"/>
    <xf numFmtId="0" fontId="0" fillId="0" borderId="0" xfId="0" applyFill="1"/>
    <xf numFmtId="3" fontId="13" fillId="0" borderId="0" xfId="0" applyNumberFormat="1" applyFont="1" applyFill="1"/>
    <xf numFmtId="0" fontId="13" fillId="5" borderId="5" xfId="0" applyFont="1" applyFill="1" applyBorder="1" applyAlignment="1">
      <alignment horizontal="right"/>
    </xf>
    <xf numFmtId="0" fontId="70" fillId="0" borderId="0" xfId="0" applyFont="1" applyAlignment="1">
      <alignment horizontal="right"/>
    </xf>
    <xf numFmtId="0" fontId="71" fillId="0" borderId="0" xfId="0" applyFont="1" applyAlignment="1">
      <alignment horizontal="right"/>
    </xf>
    <xf numFmtId="3" fontId="71" fillId="0" borderId="0" xfId="0" applyNumberFormat="1" applyFont="1" applyFill="1"/>
    <xf numFmtId="3" fontId="71" fillId="14" borderId="0" xfId="0" applyNumberFormat="1" applyFont="1" applyFill="1"/>
    <xf numFmtId="0" fontId="73" fillId="0" borderId="7" xfId="0" applyFont="1" applyFill="1" applyBorder="1" applyAlignment="1">
      <alignment horizontal="left"/>
    </xf>
    <xf numFmtId="0" fontId="0" fillId="12" borderId="0" xfId="0" applyFill="1"/>
    <xf numFmtId="0" fontId="0" fillId="12" borderId="0" xfId="0" applyFill="1" applyBorder="1"/>
    <xf numFmtId="3" fontId="74" fillId="12" borderId="15" xfId="0" applyNumberFormat="1" applyFont="1" applyFill="1" applyBorder="1" applyAlignment="1">
      <alignment horizontal="right"/>
    </xf>
    <xf numFmtId="3" fontId="74" fillId="12" borderId="15" xfId="0" applyNumberFormat="1" applyFont="1" applyFill="1" applyBorder="1"/>
    <xf numFmtId="3" fontId="0" fillId="12" borderId="0" xfId="0" applyNumberFormat="1" applyFill="1"/>
    <xf numFmtId="0" fontId="4" fillId="0" borderId="5" xfId="0" applyFont="1" applyBorder="1" applyAlignment="1">
      <alignment horizontal="center" wrapText="1"/>
    </xf>
    <xf numFmtId="0" fontId="76" fillId="0" borderId="0" xfId="0" applyFont="1"/>
    <xf numFmtId="3" fontId="77" fillId="0" borderId="0" xfId="0" applyNumberFormat="1" applyFont="1" applyFill="1"/>
    <xf numFmtId="0" fontId="77" fillId="0" borderId="0" xfId="0" applyFont="1" applyFill="1"/>
    <xf numFmtId="3" fontId="76" fillId="0" borderId="0" xfId="0" applyNumberFormat="1" applyFont="1" applyFill="1"/>
    <xf numFmtId="0" fontId="51" fillId="0" borderId="0" xfId="0" applyFont="1" applyAlignment="1">
      <alignment horizontal="right"/>
    </xf>
    <xf numFmtId="3" fontId="35" fillId="0" borderId="0" xfId="0" applyNumberFormat="1" applyFont="1" applyAlignment="1">
      <alignment horizontal="right"/>
    </xf>
    <xf numFmtId="3" fontId="77" fillId="0" borderId="0" xfId="0" applyNumberFormat="1" applyFont="1"/>
    <xf numFmtId="0" fontId="13" fillId="0" borderId="12" xfId="0" applyFont="1" applyBorder="1"/>
    <xf numFmtId="3" fontId="13" fillId="0" borderId="1" xfId="0" applyNumberFormat="1" applyFont="1" applyBorder="1"/>
    <xf numFmtId="3" fontId="13" fillId="0" borderId="0" xfId="0" applyNumberFormat="1" applyFont="1"/>
    <xf numFmtId="0" fontId="77" fillId="0" borderId="0" xfId="0" applyFont="1"/>
    <xf numFmtId="3" fontId="76" fillId="0" borderId="0" xfId="0" applyNumberFormat="1" applyFont="1"/>
    <xf numFmtId="3" fontId="78" fillId="0" borderId="0" xfId="0" applyNumberFormat="1" applyFont="1"/>
    <xf numFmtId="3" fontId="81" fillId="2" borderId="0" xfId="0" applyNumberFormat="1" applyFont="1" applyFill="1"/>
    <xf numFmtId="3" fontId="71" fillId="0" borderId="0" xfId="0" applyNumberFormat="1" applyFont="1"/>
    <xf numFmtId="0" fontId="82" fillId="0" borderId="0" xfId="0" applyFont="1" applyAlignment="1">
      <alignment horizontal="center"/>
    </xf>
    <xf numFmtId="3" fontId="82" fillId="0" borderId="0" xfId="0" applyNumberFormat="1" applyFont="1" applyAlignment="1">
      <alignment horizontal="center"/>
    </xf>
    <xf numFmtId="3" fontId="82" fillId="5" borderId="0" xfId="0" applyNumberFormat="1" applyFont="1" applyFill="1" applyBorder="1" applyAlignment="1">
      <alignment horizontal="center"/>
    </xf>
    <xf numFmtId="3" fontId="82" fillId="0" borderId="0" xfId="0" applyNumberFormat="1" applyFont="1" applyBorder="1" applyAlignment="1">
      <alignment horizontal="center"/>
    </xf>
    <xf numFmtId="0" fontId="68" fillId="0" borderId="0" xfId="0" applyFont="1" applyAlignment="1">
      <alignment horizontal="right"/>
    </xf>
    <xf numFmtId="0" fontId="35" fillId="5" borderId="12" xfId="0" applyFont="1" applyFill="1" applyBorder="1" applyAlignment="1">
      <alignment horizontal="right"/>
    </xf>
    <xf numFmtId="3" fontId="35" fillId="5" borderId="1" xfId="0" applyNumberFormat="1" applyFont="1" applyFill="1" applyBorder="1" applyAlignment="1">
      <alignment horizontal="right"/>
    </xf>
    <xf numFmtId="3" fontId="35" fillId="5" borderId="13" xfId="0" applyNumberFormat="1" applyFont="1" applyFill="1" applyBorder="1" applyAlignment="1">
      <alignment horizontal="right"/>
    </xf>
    <xf numFmtId="3" fontId="82" fillId="0" borderId="0" xfId="0" applyNumberFormat="1" applyFont="1" applyAlignment="1">
      <alignment vertical="top"/>
    </xf>
    <xf numFmtId="3" fontId="84" fillId="0" borderId="0" xfId="0" applyNumberFormat="1" applyFont="1"/>
    <xf numFmtId="0" fontId="33" fillId="0" borderId="0" xfId="0" applyFont="1" applyAlignment="1">
      <alignment horizontal="right"/>
    </xf>
    <xf numFmtId="0" fontId="4" fillId="0" borderId="0" xfId="0" applyFont="1" applyAlignment="1">
      <alignment horizontal="right"/>
    </xf>
    <xf numFmtId="0" fontId="33" fillId="5" borderId="5" xfId="0" applyFont="1" applyFill="1" applyBorder="1" applyAlignment="1">
      <alignment horizontal="left"/>
    </xf>
    <xf numFmtId="0" fontId="85" fillId="0" borderId="0" xfId="0" applyFont="1" applyAlignment="1">
      <alignment horizontal="right"/>
    </xf>
    <xf numFmtId="0" fontId="40" fillId="0" borderId="0" xfId="0" applyFont="1" applyFill="1" applyAlignment="1">
      <alignment horizontal="right"/>
    </xf>
    <xf numFmtId="0" fontId="5" fillId="0" borderId="0" xfId="0" applyFont="1" applyAlignment="1">
      <alignment horizontal="right"/>
    </xf>
    <xf numFmtId="0" fontId="33" fillId="0" borderId="0" xfId="0" applyFont="1" applyAlignment="1">
      <alignment horizontal="right" vertical="center"/>
    </xf>
    <xf numFmtId="0" fontId="72" fillId="0" borderId="0" xfId="0" applyFont="1" applyAlignment="1">
      <alignment horizontal="center" vertical="center"/>
    </xf>
    <xf numFmtId="0" fontId="0" fillId="0" borderId="0" xfId="0" applyAlignment="1">
      <alignment horizontal="left" wrapText="1"/>
    </xf>
    <xf numFmtId="0" fontId="13" fillId="5" borderId="16" xfId="0" applyFont="1" applyFill="1" applyBorder="1" applyAlignment="1">
      <alignment horizontal="right"/>
    </xf>
    <xf numFmtId="0" fontId="13" fillId="5" borderId="17" xfId="0" applyFont="1" applyFill="1" applyBorder="1" applyAlignment="1">
      <alignment horizontal="right"/>
    </xf>
    <xf numFmtId="0" fontId="13" fillId="5" borderId="18" xfId="0" applyFont="1" applyFill="1" applyBorder="1" applyAlignment="1">
      <alignment horizontal="right"/>
    </xf>
    <xf numFmtId="0" fontId="13" fillId="5" borderId="16" xfId="0" applyFont="1" applyFill="1" applyBorder="1" applyAlignment="1">
      <alignment horizontal="center"/>
    </xf>
    <xf numFmtId="0" fontId="13" fillId="5" borderId="18" xfId="0" applyFont="1" applyFill="1" applyBorder="1" applyAlignment="1">
      <alignment horizontal="center"/>
    </xf>
    <xf numFmtId="0" fontId="13" fillId="5" borderId="14" xfId="0" applyFont="1" applyFill="1" applyBorder="1" applyAlignment="1">
      <alignment horizontal="center"/>
    </xf>
    <xf numFmtId="0" fontId="13" fillId="5" borderId="4" xfId="0" applyFont="1" applyFill="1" applyBorder="1" applyAlignment="1">
      <alignment horizontal="center"/>
    </xf>
    <xf numFmtId="0" fontId="66" fillId="0" borderId="23" xfId="0" applyFont="1" applyBorder="1" applyAlignment="1">
      <alignment horizontal="right"/>
    </xf>
    <xf numFmtId="0" fontId="66" fillId="0" borderId="15" xfId="0" applyFont="1" applyBorder="1" applyAlignment="1">
      <alignment horizontal="right"/>
    </xf>
    <xf numFmtId="0" fontId="66" fillId="0" borderId="24" xfId="0" applyFont="1" applyBorder="1" applyAlignment="1">
      <alignment horizontal="right"/>
    </xf>
    <xf numFmtId="0" fontId="66" fillId="0" borderId="25" xfId="0" applyFont="1" applyBorder="1" applyAlignment="1">
      <alignment horizontal="right"/>
    </xf>
    <xf numFmtId="0" fontId="66" fillId="0" borderId="8" xfId="0" applyFont="1" applyBorder="1" applyAlignment="1">
      <alignment horizontal="right"/>
    </xf>
    <xf numFmtId="0" fontId="66" fillId="0" borderId="26" xfId="0" applyFont="1" applyBorder="1" applyAlignment="1">
      <alignment horizontal="right"/>
    </xf>
    <xf numFmtId="0" fontId="13" fillId="0" borderId="16" xfId="0" applyFont="1" applyBorder="1" applyAlignment="1">
      <alignment horizontal="center"/>
    </xf>
    <xf numFmtId="0" fontId="13" fillId="0" borderId="18" xfId="0" applyFont="1" applyBorder="1" applyAlignment="1">
      <alignment horizontal="center"/>
    </xf>
    <xf numFmtId="0" fontId="13" fillId="0" borderId="14" xfId="0" applyFont="1" applyBorder="1" applyAlignment="1">
      <alignment horizontal="center"/>
    </xf>
    <xf numFmtId="0" fontId="13" fillId="0" borderId="4" xfId="0" applyFont="1" applyBorder="1" applyAlignment="1">
      <alignment horizontal="center"/>
    </xf>
    <xf numFmtId="0" fontId="72" fillId="0" borderId="0" xfId="0" applyFont="1" applyAlignment="1">
      <alignment horizontal="center"/>
    </xf>
    <xf numFmtId="0" fontId="66" fillId="0" borderId="5" xfId="0" applyFont="1" applyBorder="1" applyAlignment="1">
      <alignment horizontal="center"/>
    </xf>
    <xf numFmtId="0" fontId="40" fillId="0" borderId="0" xfId="0" applyFont="1" applyAlignment="1">
      <alignment horizontal="left"/>
    </xf>
    <xf numFmtId="0" fontId="3" fillId="0" borderId="0" xfId="0" applyFont="1" applyAlignment="1">
      <alignment horizontal="center"/>
    </xf>
    <xf numFmtId="0" fontId="2" fillId="0" borderId="0" xfId="0" applyFont="1" applyAlignment="1">
      <alignment horizontal="center" vertical="center"/>
    </xf>
    <xf numFmtId="0" fontId="33" fillId="0" borderId="0" xfId="0" applyFont="1" applyAlignment="1">
      <alignment horizontal="center" vertical="top"/>
    </xf>
    <xf numFmtId="0" fontId="30" fillId="7" borderId="0" xfId="0" applyFont="1" applyFill="1" applyAlignment="1">
      <alignment horizontal="center"/>
    </xf>
    <xf numFmtId="0" fontId="44" fillId="5" borderId="5" xfId="0" applyFont="1" applyFill="1" applyBorder="1" applyAlignment="1">
      <alignment horizontal="center"/>
    </xf>
    <xf numFmtId="0" fontId="33" fillId="5" borderId="5" xfId="0" applyFont="1" applyFill="1" applyBorder="1" applyAlignment="1">
      <alignment horizontal="left"/>
    </xf>
    <xf numFmtId="0" fontId="30" fillId="7" borderId="5" xfId="0" applyFont="1" applyFill="1" applyBorder="1" applyAlignment="1">
      <alignment horizontal="left"/>
    </xf>
    <xf numFmtId="0" fontId="30" fillId="0" borderId="0" xfId="0" applyFont="1" applyAlignment="1">
      <alignment horizontal="left"/>
    </xf>
    <xf numFmtId="0" fontId="40" fillId="0" borderId="0" xfId="0" applyFont="1" applyAlignment="1">
      <alignment horizontal="left" wrapText="1"/>
    </xf>
    <xf numFmtId="0" fontId="33" fillId="0" borderId="0" xfId="0" applyFont="1" applyFill="1" applyAlignment="1">
      <alignment horizontal="left" vertical="top" wrapText="1"/>
    </xf>
    <xf numFmtId="0" fontId="40" fillId="0" borderId="0" xfId="0" applyFont="1" applyFill="1" applyAlignment="1">
      <alignment horizontal="left" vertical="top" wrapText="1"/>
    </xf>
    <xf numFmtId="0" fontId="40" fillId="0" borderId="0" xfId="0" applyFont="1" applyAlignment="1">
      <alignment horizontal="left" vertical="top" wrapText="1"/>
    </xf>
    <xf numFmtId="0" fontId="34" fillId="0" borderId="0" xfId="0" applyFont="1" applyAlignment="1">
      <alignment horizontal="center" vertical="center" wrapText="1"/>
    </xf>
    <xf numFmtId="0" fontId="33" fillId="0" borderId="0" xfId="0" applyFont="1" applyAlignment="1">
      <alignment horizontal="right"/>
    </xf>
    <xf numFmtId="0" fontId="30" fillId="0" borderId="0" xfId="0" applyFont="1" applyAlignment="1">
      <alignment horizontal="right"/>
    </xf>
    <xf numFmtId="0" fontId="33" fillId="0" borderId="0" xfId="0" applyFont="1" applyAlignment="1">
      <alignment horizontal="right" vertical="top" wrapText="1"/>
    </xf>
    <xf numFmtId="0" fontId="3" fillId="0" borderId="0" xfId="0" applyFont="1" applyAlignment="1">
      <alignment horizontal="center" vertical="center" wrapText="1"/>
    </xf>
    <xf numFmtId="0" fontId="33" fillId="6" borderId="14" xfId="0" applyFont="1" applyFill="1" applyBorder="1" applyAlignment="1">
      <alignment horizontal="left" vertical="center" wrapText="1"/>
    </xf>
    <xf numFmtId="0" fontId="33" fillId="6" borderId="7"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0" fillId="5" borderId="5" xfId="0" applyFont="1" applyFill="1" applyBorder="1" applyAlignment="1">
      <alignment horizontal="right" vertical="center" wrapText="1"/>
    </xf>
    <xf numFmtId="0" fontId="33" fillId="5" borderId="5" xfId="0" applyFont="1" applyFill="1" applyBorder="1" applyAlignment="1">
      <alignment horizontal="right" vertical="center" wrapText="1"/>
    </xf>
    <xf numFmtId="49" fontId="33" fillId="6" borderId="7" xfId="0" applyNumberFormat="1" applyFont="1" applyFill="1" applyBorder="1" applyAlignment="1">
      <alignment horizontal="center" wrapText="1"/>
    </xf>
    <xf numFmtId="49" fontId="33" fillId="6" borderId="4" xfId="0" applyNumberFormat="1" applyFont="1" applyFill="1" applyBorder="1" applyAlignment="1">
      <alignment horizontal="center" wrapText="1"/>
    </xf>
    <xf numFmtId="0" fontId="30" fillId="6" borderId="16"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30" fillId="6" borderId="1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3" fillId="5" borderId="16" xfId="0" applyFont="1" applyFill="1" applyBorder="1" applyAlignment="1">
      <alignment horizontal="right" vertical="center" wrapText="1"/>
    </xf>
    <xf numFmtId="0" fontId="33" fillId="5" borderId="17" xfId="0" applyFont="1" applyFill="1" applyBorder="1" applyAlignment="1">
      <alignment horizontal="right" vertical="center" wrapText="1"/>
    </xf>
    <xf numFmtId="0" fontId="33" fillId="5" borderId="18" xfId="0" applyFont="1" applyFill="1" applyBorder="1" applyAlignment="1">
      <alignment horizontal="right" vertical="center" wrapText="1"/>
    </xf>
    <xf numFmtId="3" fontId="39" fillId="0" borderId="5" xfId="0" applyNumberFormat="1" applyFont="1" applyFill="1" applyBorder="1" applyAlignment="1">
      <alignment horizontal="center" vertical="center" wrapText="1"/>
    </xf>
    <xf numFmtId="0" fontId="33" fillId="0" borderId="5" xfId="0" applyFont="1" applyFill="1" applyBorder="1" applyAlignment="1">
      <alignment horizontal="right" vertical="center" wrapText="1"/>
    </xf>
    <xf numFmtId="0" fontId="6" fillId="0" borderId="0" xfId="0" applyFont="1" applyAlignment="1">
      <alignment horizontal="center" vertical="center"/>
    </xf>
    <xf numFmtId="0" fontId="10" fillId="6" borderId="16"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9" fillId="6" borderId="14" xfId="0" applyFont="1" applyFill="1" applyBorder="1" applyAlignment="1">
      <alignment horizontal="center" vertical="center" textRotation="90" wrapText="1"/>
    </xf>
    <xf numFmtId="0" fontId="9" fillId="6" borderId="7"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2" fillId="0" borderId="0" xfId="0" applyFont="1" applyAlignment="1">
      <alignment horizontal="center" vertical="top"/>
    </xf>
    <xf numFmtId="3" fontId="3" fillId="7" borderId="5" xfId="0" applyNumberFormat="1" applyFont="1" applyFill="1" applyBorder="1" applyAlignment="1">
      <alignment horizontal="center" vertical="center" wrapText="1"/>
    </xf>
    <xf numFmtId="0" fontId="30" fillId="0" borderId="5" xfId="0" applyFont="1" applyFill="1" applyBorder="1" applyAlignment="1">
      <alignment horizontal="right" vertical="center" wrapText="1"/>
    </xf>
    <xf numFmtId="0" fontId="30" fillId="6" borderId="5"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0" fillId="6" borderId="5" xfId="0" applyFont="1" applyFill="1" applyBorder="1" applyAlignment="1">
      <alignment horizontal="center"/>
    </xf>
    <xf numFmtId="0" fontId="33" fillId="6" borderId="5" xfId="0" applyFont="1" applyFill="1" applyBorder="1" applyAlignment="1">
      <alignment vertical="center" wrapText="1"/>
    </xf>
    <xf numFmtId="0" fontId="5" fillId="0" borderId="0" xfId="0" applyFont="1" applyAlignment="1">
      <alignment horizontal="right"/>
    </xf>
    <xf numFmtId="0" fontId="4" fillId="0" borderId="5" xfId="0" applyFont="1" applyFill="1" applyBorder="1" applyAlignment="1">
      <alignment horizontal="center" wrapText="1"/>
    </xf>
    <xf numFmtId="0" fontId="4" fillId="0" borderId="14" xfId="0" applyFont="1" applyFill="1" applyBorder="1" applyAlignment="1">
      <alignment horizontal="center" wrapText="1"/>
    </xf>
    <xf numFmtId="0" fontId="2" fillId="0" borderId="0" xfId="0" applyFont="1" applyBorder="1" applyAlignment="1">
      <alignment horizontal="left" wrapText="1"/>
    </xf>
    <xf numFmtId="0" fontId="7" fillId="0" borderId="15" xfId="0" applyFont="1" applyBorder="1" applyAlignment="1">
      <alignment horizontal="left" vertical="top" wrapText="1"/>
    </xf>
    <xf numFmtId="0" fontId="3" fillId="3" borderId="5" xfId="0" applyFont="1" applyFill="1" applyBorder="1" applyAlignment="1">
      <alignment horizontal="right" vertical="center" wrapText="1"/>
    </xf>
    <xf numFmtId="0" fontId="10" fillId="0" borderId="5" xfId="0" applyFont="1" applyFill="1" applyBorder="1" applyAlignment="1">
      <alignment horizont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2" fillId="4" borderId="12" xfId="0" applyFont="1" applyFill="1" applyBorder="1" applyAlignment="1">
      <alignment horizontal="right" vertical="center" wrapText="1"/>
    </xf>
    <xf numFmtId="0" fontId="2" fillId="4" borderId="1" xfId="0" applyFont="1" applyFill="1" applyBorder="1" applyAlignment="1">
      <alignment horizontal="right" vertical="center" wrapText="1"/>
    </xf>
    <xf numFmtId="0" fontId="2" fillId="4" borderId="9" xfId="0" applyFont="1" applyFill="1" applyBorder="1" applyAlignment="1">
      <alignment horizontal="right" vertical="center" wrapText="1"/>
    </xf>
    <xf numFmtId="0" fontId="14" fillId="4" borderId="11"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7" fillId="0" borderId="6" xfId="0" applyFont="1" applyBorder="1" applyAlignment="1">
      <alignment horizontal="left" vertical="center" wrapText="1"/>
    </xf>
    <xf numFmtId="0" fontId="2" fillId="0" borderId="8" xfId="0" applyFont="1" applyBorder="1" applyAlignment="1">
      <alignment horizontal="left" wrapText="1"/>
    </xf>
    <xf numFmtId="0" fontId="2" fillId="0" borderId="0" xfId="0" applyFont="1" applyAlignment="1">
      <alignment horizontal="center" vertical="center" wrapText="1"/>
    </xf>
    <xf numFmtId="0" fontId="3" fillId="5" borderId="5" xfId="0" applyFont="1" applyFill="1" applyBorder="1" applyAlignment="1">
      <alignment horizontal="right" vertical="center" wrapText="1"/>
    </xf>
    <xf numFmtId="0" fontId="1" fillId="0" borderId="5" xfId="0" applyFont="1" applyBorder="1" applyAlignment="1">
      <alignment horizontal="center" vertical="center" wrapText="1"/>
    </xf>
    <xf numFmtId="0" fontId="4" fillId="0" borderId="5" xfId="0" applyFont="1" applyBorder="1" applyAlignment="1">
      <alignment horizontal="center" wrapText="1"/>
    </xf>
    <xf numFmtId="0" fontId="3" fillId="5" borderId="4" xfId="0" applyFont="1" applyFill="1" applyBorder="1" applyAlignment="1">
      <alignment horizontal="right" vertical="center" wrapText="1"/>
    </xf>
    <xf numFmtId="0" fontId="1" fillId="0" borderId="14" xfId="0" applyFont="1" applyBorder="1" applyAlignment="1">
      <alignment horizontal="center" vertical="center" wrapText="1"/>
    </xf>
    <xf numFmtId="0" fontId="4" fillId="0" borderId="14" xfId="0" applyFont="1" applyBorder="1" applyAlignment="1">
      <alignment horizontal="center" wrapText="1"/>
    </xf>
    <xf numFmtId="0" fontId="4" fillId="0" borderId="2" xfId="0" applyFont="1" applyBorder="1" applyAlignment="1">
      <alignment horizontal="center" wrapText="1"/>
    </xf>
    <xf numFmtId="0" fontId="52" fillId="0" borderId="5" xfId="0" applyFont="1" applyFill="1" applyBorder="1" applyAlignment="1">
      <alignment horizontal="center" wrapText="1"/>
    </xf>
    <xf numFmtId="0" fontId="52" fillId="0" borderId="14" xfId="0" applyFont="1" applyFill="1" applyBorder="1" applyAlignment="1">
      <alignment horizontal="center" wrapText="1"/>
    </xf>
    <xf numFmtId="0" fontId="32" fillId="0" borderId="0" xfId="0" applyFont="1" applyAlignment="1">
      <alignment horizontal="right"/>
    </xf>
    <xf numFmtId="0" fontId="17" fillId="0" borderId="0" xfId="0" applyFont="1" applyAlignment="1">
      <alignment horizontal="left" vertical="top" wrapText="1"/>
    </xf>
    <xf numFmtId="0" fontId="17" fillId="0" borderId="0" xfId="0" applyFont="1" applyAlignment="1">
      <alignment horizontal="left" wrapText="1"/>
    </xf>
    <xf numFmtId="0" fontId="53" fillId="0" borderId="0" xfId="0" applyFont="1" applyAlignment="1">
      <alignment horizontal="center" vertical="center"/>
    </xf>
    <xf numFmtId="0" fontId="4" fillId="0" borderId="0" xfId="0" applyFont="1" applyAlignment="1">
      <alignment horizontal="right"/>
    </xf>
    <xf numFmtId="0" fontId="49" fillId="0" borderId="0" xfId="0" applyFont="1" applyAlignment="1">
      <alignment horizontal="right"/>
    </xf>
    <xf numFmtId="0" fontId="4" fillId="0" borderId="8" xfId="0" applyFont="1" applyBorder="1" applyAlignment="1">
      <alignment horizontal="left"/>
    </xf>
    <xf numFmtId="0" fontId="4" fillId="5" borderId="8" xfId="0" applyFont="1" applyFill="1" applyBorder="1" applyAlignment="1">
      <alignment horizontal="center"/>
    </xf>
    <xf numFmtId="0" fontId="4" fillId="0" borderId="8" xfId="0" applyFont="1" applyBorder="1" applyAlignment="1">
      <alignment horizontal="center"/>
    </xf>
    <xf numFmtId="0" fontId="6" fillId="0" borderId="0" xfId="0" applyFont="1" applyAlignment="1">
      <alignment horizontal="center"/>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4" fillId="0" borderId="0" xfId="0" applyFont="1" applyAlignment="1">
      <alignment horizontal="left" vertical="top"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17" fillId="0" borderId="8" xfId="0" applyFont="1" applyBorder="1" applyAlignment="1">
      <alignment horizontal="left"/>
    </xf>
    <xf numFmtId="0" fontId="23" fillId="9" borderId="5" xfId="0" applyFont="1" applyFill="1" applyBorder="1" applyAlignment="1">
      <alignment horizontal="left" vertical="center" wrapText="1"/>
    </xf>
    <xf numFmtId="0" fontId="24" fillId="11" borderId="5" xfId="0" applyFont="1" applyFill="1" applyBorder="1" applyAlignment="1">
      <alignment horizontal="right" vertical="center" wrapText="1"/>
    </xf>
    <xf numFmtId="0" fontId="23" fillId="9" borderId="5" xfId="0" applyFont="1" applyFill="1" applyBorder="1" applyAlignment="1">
      <alignment vertical="center" wrapText="1"/>
    </xf>
    <xf numFmtId="0" fontId="23" fillId="9" borderId="27" xfId="0" applyFont="1" applyFill="1" applyBorder="1" applyAlignment="1">
      <alignment vertical="center" wrapText="1"/>
    </xf>
    <xf numFmtId="0" fontId="23" fillId="9" borderId="28" xfId="0" applyFont="1" applyFill="1" applyBorder="1" applyAlignment="1">
      <alignment vertical="center" wrapText="1"/>
    </xf>
    <xf numFmtId="0" fontId="22" fillId="10" borderId="5" xfId="0" applyFont="1" applyFill="1" applyBorder="1" applyAlignment="1">
      <alignment horizontal="center" vertical="center" wrapText="1"/>
    </xf>
    <xf numFmtId="0" fontId="47" fillId="9" borderId="5" xfId="0" applyFont="1" applyFill="1" applyBorder="1" applyAlignment="1">
      <alignment horizontal="center" vertical="center" wrapText="1"/>
    </xf>
    <xf numFmtId="0" fontId="13" fillId="0" borderId="0" xfId="0" applyFont="1" applyAlignment="1">
      <alignment horizontal="center" vertical="center"/>
    </xf>
    <xf numFmtId="3" fontId="71" fillId="12" borderId="15" xfId="0" applyNumberFormat="1" applyFont="1" applyFill="1" applyBorder="1" applyAlignment="1">
      <alignment horizontal="center"/>
    </xf>
    <xf numFmtId="0" fontId="71" fillId="12" borderId="15" xfId="0" applyFont="1" applyFill="1" applyBorder="1" applyAlignment="1">
      <alignment horizontal="center"/>
    </xf>
    <xf numFmtId="0" fontId="75" fillId="12" borderId="0" xfId="0" applyFont="1" applyFill="1" applyAlignment="1">
      <alignment horizontal="left" vertical="top" wrapText="1"/>
    </xf>
    <xf numFmtId="3" fontId="35" fillId="0" borderId="0" xfId="0" applyNumberFormat="1" applyFont="1"/>
    <xf numFmtId="0" fontId="37" fillId="0" borderId="5" xfId="0" applyFont="1" applyBorder="1" applyAlignment="1">
      <alignment horizontal="center" wrapText="1"/>
    </xf>
  </cellXfs>
  <cellStyles count="4">
    <cellStyle name="Normal" xfId="0" builtinId="0"/>
    <cellStyle name="Normal 2" xfId="2" xr:uid="{00000000-0005-0000-0000-000031000000}"/>
    <cellStyle name="Normal 3" xfId="1" xr:uid="{00000000-0005-0000-0000-000001000000}"/>
    <cellStyle name="Parastais 2" xfId="3" xr:uid="{00000000-0005-0000-0000-000032000000}"/>
  </cellStyles>
  <dxfs count="0"/>
  <tableStyles count="0" defaultTableStyle="TableStyleMedium2" defaultPivotStyle="PivotStyleMedium9"/>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804335</xdr:colOff>
      <xdr:row>24</xdr:row>
      <xdr:rowOff>518160</xdr:rowOff>
    </xdr:from>
    <xdr:to>
      <xdr:col>6</xdr:col>
      <xdr:colOff>243840</xdr:colOff>
      <xdr:row>26</xdr:row>
      <xdr:rowOff>10583</xdr:rowOff>
    </xdr:to>
    <xdr:cxnSp macro="">
      <xdr:nvCxnSpPr>
        <xdr:cNvPr id="3" name="Straight Arrow Connector 2">
          <a:extLst>
            <a:ext uri="{FF2B5EF4-FFF2-40B4-BE49-F238E27FC236}">
              <a16:creationId xmlns:a16="http://schemas.microsoft.com/office/drawing/2014/main" id="{93AC8A99-CCCD-4FD3-839B-96DF519BCA08}"/>
            </a:ext>
          </a:extLst>
        </xdr:cNvPr>
        <xdr:cNvCxnSpPr/>
      </xdr:nvCxnSpPr>
      <xdr:spPr>
        <a:xfrm flipH="1">
          <a:off x="2023535" y="8564880"/>
          <a:ext cx="3584785" cy="6201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396240</xdr:colOff>
      <xdr:row>24</xdr:row>
      <xdr:rowOff>609600</xdr:rowOff>
    </xdr:from>
    <xdr:to>
      <xdr:col>6</xdr:col>
      <xdr:colOff>497418</xdr:colOff>
      <xdr:row>26</xdr:row>
      <xdr:rowOff>95250</xdr:rowOff>
    </xdr:to>
    <xdr:cxnSp macro="">
      <xdr:nvCxnSpPr>
        <xdr:cNvPr id="5" name="Straight Arrow Connector 4">
          <a:extLst>
            <a:ext uri="{FF2B5EF4-FFF2-40B4-BE49-F238E27FC236}">
              <a16:creationId xmlns:a16="http://schemas.microsoft.com/office/drawing/2014/main" id="{623AC946-7915-4C01-B5F0-7B876A09A90A}"/>
            </a:ext>
          </a:extLst>
        </xdr:cNvPr>
        <xdr:cNvCxnSpPr/>
      </xdr:nvCxnSpPr>
      <xdr:spPr>
        <a:xfrm>
          <a:off x="5760720" y="8656320"/>
          <a:ext cx="101178" cy="6134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697654</xdr:colOff>
      <xdr:row>24</xdr:row>
      <xdr:rowOff>611778</xdr:rowOff>
    </xdr:from>
    <xdr:to>
      <xdr:col>16</xdr:col>
      <xdr:colOff>396785</xdr:colOff>
      <xdr:row>26</xdr:row>
      <xdr:rowOff>132503</xdr:rowOff>
    </xdr:to>
    <xdr:cxnSp macro="">
      <xdr:nvCxnSpPr>
        <xdr:cNvPr id="6" name="Straight Arrow Connector 5">
          <a:extLst>
            <a:ext uri="{FF2B5EF4-FFF2-40B4-BE49-F238E27FC236}">
              <a16:creationId xmlns:a16="http://schemas.microsoft.com/office/drawing/2014/main" id="{EA84CFF6-1434-47AA-BA59-4662E3EA94BE}"/>
            </a:ext>
          </a:extLst>
        </xdr:cNvPr>
        <xdr:cNvCxnSpPr/>
      </xdr:nvCxnSpPr>
      <xdr:spPr>
        <a:xfrm flipH="1">
          <a:off x="8332894" y="8658498"/>
          <a:ext cx="3844411" cy="6484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482178</xdr:colOff>
      <xdr:row>24</xdr:row>
      <xdr:rowOff>640080</xdr:rowOff>
    </xdr:from>
    <xdr:to>
      <xdr:col>16</xdr:col>
      <xdr:colOff>624840</xdr:colOff>
      <xdr:row>26</xdr:row>
      <xdr:rowOff>125730</xdr:rowOff>
    </xdr:to>
    <xdr:cxnSp macro="">
      <xdr:nvCxnSpPr>
        <xdr:cNvPr id="7" name="Straight Arrow Connector 6">
          <a:extLst>
            <a:ext uri="{FF2B5EF4-FFF2-40B4-BE49-F238E27FC236}">
              <a16:creationId xmlns:a16="http://schemas.microsoft.com/office/drawing/2014/main" id="{F8D67E50-B3C3-4FB8-AC0A-0DEB8704D7C2}"/>
            </a:ext>
          </a:extLst>
        </xdr:cNvPr>
        <xdr:cNvCxnSpPr/>
      </xdr:nvCxnSpPr>
      <xdr:spPr>
        <a:xfrm flipH="1">
          <a:off x="12262698" y="8686800"/>
          <a:ext cx="142662" cy="6134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590974</xdr:colOff>
      <xdr:row>24</xdr:row>
      <xdr:rowOff>514895</xdr:rowOff>
    </xdr:from>
    <xdr:to>
      <xdr:col>25</xdr:col>
      <xdr:colOff>249283</xdr:colOff>
      <xdr:row>26</xdr:row>
      <xdr:rowOff>117263</xdr:rowOff>
    </xdr:to>
    <xdr:cxnSp macro="">
      <xdr:nvCxnSpPr>
        <xdr:cNvPr id="8" name="Straight Arrow Connector 7">
          <a:extLst>
            <a:ext uri="{FF2B5EF4-FFF2-40B4-BE49-F238E27FC236}">
              <a16:creationId xmlns:a16="http://schemas.microsoft.com/office/drawing/2014/main" id="{A4A517D2-CBB4-4C85-AB11-2FA1A0B29054}"/>
            </a:ext>
          </a:extLst>
        </xdr:cNvPr>
        <xdr:cNvCxnSpPr/>
      </xdr:nvCxnSpPr>
      <xdr:spPr>
        <a:xfrm flipH="1">
          <a:off x="14642254" y="8561615"/>
          <a:ext cx="3803589" cy="7301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405978</xdr:colOff>
      <xdr:row>24</xdr:row>
      <xdr:rowOff>548640</xdr:rowOff>
    </xdr:from>
    <xdr:to>
      <xdr:col>25</xdr:col>
      <xdr:colOff>502920</xdr:colOff>
      <xdr:row>26</xdr:row>
      <xdr:rowOff>19050</xdr:rowOff>
    </xdr:to>
    <xdr:cxnSp macro="">
      <xdr:nvCxnSpPr>
        <xdr:cNvPr id="9" name="Straight Arrow Connector 8">
          <a:extLst>
            <a:ext uri="{FF2B5EF4-FFF2-40B4-BE49-F238E27FC236}">
              <a16:creationId xmlns:a16="http://schemas.microsoft.com/office/drawing/2014/main" id="{9350DB2E-0937-49F9-8E48-C860B70D3F30}"/>
            </a:ext>
          </a:extLst>
        </xdr:cNvPr>
        <xdr:cNvCxnSpPr/>
      </xdr:nvCxnSpPr>
      <xdr:spPr>
        <a:xfrm flipH="1">
          <a:off x="18602538" y="8595360"/>
          <a:ext cx="96942" cy="5981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804334</xdr:colOff>
      <xdr:row>55</xdr:row>
      <xdr:rowOff>421822</xdr:rowOff>
    </xdr:from>
    <xdr:to>
      <xdr:col>6</xdr:col>
      <xdr:colOff>408215</xdr:colOff>
      <xdr:row>57</xdr:row>
      <xdr:rowOff>10583</xdr:rowOff>
    </xdr:to>
    <xdr:cxnSp macro="">
      <xdr:nvCxnSpPr>
        <xdr:cNvPr id="10" name="Straight Arrow Connector 9">
          <a:extLst>
            <a:ext uri="{FF2B5EF4-FFF2-40B4-BE49-F238E27FC236}">
              <a16:creationId xmlns:a16="http://schemas.microsoft.com/office/drawing/2014/main" id="{08E39261-D8BC-437D-9A79-A89040F6491B}"/>
            </a:ext>
          </a:extLst>
        </xdr:cNvPr>
        <xdr:cNvCxnSpPr/>
      </xdr:nvCxnSpPr>
      <xdr:spPr>
        <a:xfrm flipH="1">
          <a:off x="2389294" y="6837862"/>
          <a:ext cx="4968361" cy="5488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497417</xdr:colOff>
      <xdr:row>55</xdr:row>
      <xdr:rowOff>462643</xdr:rowOff>
    </xdr:from>
    <xdr:to>
      <xdr:col>6</xdr:col>
      <xdr:colOff>544286</xdr:colOff>
      <xdr:row>57</xdr:row>
      <xdr:rowOff>95250</xdr:rowOff>
    </xdr:to>
    <xdr:cxnSp macro="">
      <xdr:nvCxnSpPr>
        <xdr:cNvPr id="11" name="Straight Arrow Connector 10">
          <a:extLst>
            <a:ext uri="{FF2B5EF4-FFF2-40B4-BE49-F238E27FC236}">
              <a16:creationId xmlns:a16="http://schemas.microsoft.com/office/drawing/2014/main" id="{EE2FEF8D-12E4-40AA-AC14-1EA7815DE25F}"/>
            </a:ext>
          </a:extLst>
        </xdr:cNvPr>
        <xdr:cNvCxnSpPr/>
      </xdr:nvCxnSpPr>
      <xdr:spPr>
        <a:xfrm flipH="1">
          <a:off x="7446857" y="6878683"/>
          <a:ext cx="46869" cy="592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804334</xdr:colOff>
      <xdr:row>55</xdr:row>
      <xdr:rowOff>489858</xdr:rowOff>
    </xdr:from>
    <xdr:to>
      <xdr:col>16</xdr:col>
      <xdr:colOff>503465</xdr:colOff>
      <xdr:row>57</xdr:row>
      <xdr:rowOff>10583</xdr:rowOff>
    </xdr:to>
    <xdr:cxnSp macro="">
      <xdr:nvCxnSpPr>
        <xdr:cNvPr id="12" name="Straight Arrow Connector 11">
          <a:extLst>
            <a:ext uri="{FF2B5EF4-FFF2-40B4-BE49-F238E27FC236}">
              <a16:creationId xmlns:a16="http://schemas.microsoft.com/office/drawing/2014/main" id="{244E5C45-F7B5-499E-9C77-C5FCAB564DBD}"/>
            </a:ext>
          </a:extLst>
        </xdr:cNvPr>
        <xdr:cNvCxnSpPr/>
      </xdr:nvCxnSpPr>
      <xdr:spPr>
        <a:xfrm flipH="1">
          <a:off x="10695094" y="6905898"/>
          <a:ext cx="5063611" cy="4808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497417</xdr:colOff>
      <xdr:row>55</xdr:row>
      <xdr:rowOff>503465</xdr:rowOff>
    </xdr:from>
    <xdr:to>
      <xdr:col>16</xdr:col>
      <xdr:colOff>585108</xdr:colOff>
      <xdr:row>57</xdr:row>
      <xdr:rowOff>95250</xdr:rowOff>
    </xdr:to>
    <xdr:cxnSp macro="">
      <xdr:nvCxnSpPr>
        <xdr:cNvPr id="13" name="Straight Arrow Connector 12">
          <a:extLst>
            <a:ext uri="{FF2B5EF4-FFF2-40B4-BE49-F238E27FC236}">
              <a16:creationId xmlns:a16="http://schemas.microsoft.com/office/drawing/2014/main" id="{46D210CE-D660-4B4F-B32A-CB9FAADFACCD}"/>
            </a:ext>
          </a:extLst>
        </xdr:cNvPr>
        <xdr:cNvCxnSpPr/>
      </xdr:nvCxnSpPr>
      <xdr:spPr>
        <a:xfrm flipH="1">
          <a:off x="15752657" y="6919505"/>
          <a:ext cx="87691" cy="5519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804334</xdr:colOff>
      <xdr:row>55</xdr:row>
      <xdr:rowOff>408215</xdr:rowOff>
    </xdr:from>
    <xdr:to>
      <xdr:col>25</xdr:col>
      <xdr:colOff>462643</xdr:colOff>
      <xdr:row>57</xdr:row>
      <xdr:rowOff>10583</xdr:rowOff>
    </xdr:to>
    <xdr:cxnSp macro="">
      <xdr:nvCxnSpPr>
        <xdr:cNvPr id="14" name="Straight Arrow Connector 13">
          <a:extLst>
            <a:ext uri="{FF2B5EF4-FFF2-40B4-BE49-F238E27FC236}">
              <a16:creationId xmlns:a16="http://schemas.microsoft.com/office/drawing/2014/main" id="{E8C36C77-6671-4ED8-8E33-137E647C1CCB}"/>
            </a:ext>
          </a:extLst>
        </xdr:cNvPr>
        <xdr:cNvCxnSpPr/>
      </xdr:nvCxnSpPr>
      <xdr:spPr>
        <a:xfrm flipH="1">
          <a:off x="19000894" y="6824255"/>
          <a:ext cx="5022789" cy="5624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497417</xdr:colOff>
      <xdr:row>55</xdr:row>
      <xdr:rowOff>435429</xdr:rowOff>
    </xdr:from>
    <xdr:to>
      <xdr:col>25</xdr:col>
      <xdr:colOff>585108</xdr:colOff>
      <xdr:row>57</xdr:row>
      <xdr:rowOff>95250</xdr:rowOff>
    </xdr:to>
    <xdr:cxnSp macro="">
      <xdr:nvCxnSpPr>
        <xdr:cNvPr id="15" name="Straight Arrow Connector 14">
          <a:extLst>
            <a:ext uri="{FF2B5EF4-FFF2-40B4-BE49-F238E27FC236}">
              <a16:creationId xmlns:a16="http://schemas.microsoft.com/office/drawing/2014/main" id="{D06BEAE0-BF5D-468B-98CA-6DC1E0080813}"/>
            </a:ext>
          </a:extLst>
        </xdr:cNvPr>
        <xdr:cNvCxnSpPr/>
      </xdr:nvCxnSpPr>
      <xdr:spPr>
        <a:xfrm flipH="1">
          <a:off x="24058457" y="6851469"/>
          <a:ext cx="87691" cy="6199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804334</xdr:colOff>
      <xdr:row>88</xdr:row>
      <xdr:rowOff>421822</xdr:rowOff>
    </xdr:from>
    <xdr:to>
      <xdr:col>6</xdr:col>
      <xdr:colOff>408215</xdr:colOff>
      <xdr:row>90</xdr:row>
      <xdr:rowOff>10583</xdr:rowOff>
    </xdr:to>
    <xdr:cxnSp macro="">
      <xdr:nvCxnSpPr>
        <xdr:cNvPr id="16" name="Straight Arrow Connector 15">
          <a:extLst>
            <a:ext uri="{FF2B5EF4-FFF2-40B4-BE49-F238E27FC236}">
              <a16:creationId xmlns:a16="http://schemas.microsoft.com/office/drawing/2014/main" id="{BD5286FD-308F-433D-83B5-0D21F48D6595}"/>
            </a:ext>
          </a:extLst>
        </xdr:cNvPr>
        <xdr:cNvCxnSpPr/>
      </xdr:nvCxnSpPr>
      <xdr:spPr>
        <a:xfrm flipH="1">
          <a:off x="2389294" y="17353462"/>
          <a:ext cx="4968361" cy="5488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497417</xdr:colOff>
      <xdr:row>88</xdr:row>
      <xdr:rowOff>462643</xdr:rowOff>
    </xdr:from>
    <xdr:to>
      <xdr:col>6</xdr:col>
      <xdr:colOff>544286</xdr:colOff>
      <xdr:row>90</xdr:row>
      <xdr:rowOff>95250</xdr:rowOff>
    </xdr:to>
    <xdr:cxnSp macro="">
      <xdr:nvCxnSpPr>
        <xdr:cNvPr id="17" name="Straight Arrow Connector 16">
          <a:extLst>
            <a:ext uri="{FF2B5EF4-FFF2-40B4-BE49-F238E27FC236}">
              <a16:creationId xmlns:a16="http://schemas.microsoft.com/office/drawing/2014/main" id="{D5A738DA-2AE1-4B47-B9D4-349FD06EE45C}"/>
            </a:ext>
          </a:extLst>
        </xdr:cNvPr>
        <xdr:cNvCxnSpPr/>
      </xdr:nvCxnSpPr>
      <xdr:spPr>
        <a:xfrm flipH="1">
          <a:off x="7446857" y="17394283"/>
          <a:ext cx="46869" cy="5927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804334</xdr:colOff>
      <xdr:row>88</xdr:row>
      <xdr:rowOff>489858</xdr:rowOff>
    </xdr:from>
    <xdr:to>
      <xdr:col>16</xdr:col>
      <xdr:colOff>503465</xdr:colOff>
      <xdr:row>90</xdr:row>
      <xdr:rowOff>10583</xdr:rowOff>
    </xdr:to>
    <xdr:cxnSp macro="">
      <xdr:nvCxnSpPr>
        <xdr:cNvPr id="18" name="Straight Arrow Connector 17">
          <a:extLst>
            <a:ext uri="{FF2B5EF4-FFF2-40B4-BE49-F238E27FC236}">
              <a16:creationId xmlns:a16="http://schemas.microsoft.com/office/drawing/2014/main" id="{2B6D0F9F-EABF-4B96-8CDD-00EEC0B89FE4}"/>
            </a:ext>
          </a:extLst>
        </xdr:cNvPr>
        <xdr:cNvCxnSpPr/>
      </xdr:nvCxnSpPr>
      <xdr:spPr>
        <a:xfrm flipH="1">
          <a:off x="10695094" y="17421498"/>
          <a:ext cx="5063611" cy="4808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497417</xdr:colOff>
      <xdr:row>88</xdr:row>
      <xdr:rowOff>503465</xdr:rowOff>
    </xdr:from>
    <xdr:to>
      <xdr:col>16</xdr:col>
      <xdr:colOff>585108</xdr:colOff>
      <xdr:row>90</xdr:row>
      <xdr:rowOff>95250</xdr:rowOff>
    </xdr:to>
    <xdr:cxnSp macro="">
      <xdr:nvCxnSpPr>
        <xdr:cNvPr id="19" name="Straight Arrow Connector 18">
          <a:extLst>
            <a:ext uri="{FF2B5EF4-FFF2-40B4-BE49-F238E27FC236}">
              <a16:creationId xmlns:a16="http://schemas.microsoft.com/office/drawing/2014/main" id="{284B55F5-6534-4A67-ACCC-5232DD373735}"/>
            </a:ext>
          </a:extLst>
        </xdr:cNvPr>
        <xdr:cNvCxnSpPr/>
      </xdr:nvCxnSpPr>
      <xdr:spPr>
        <a:xfrm flipH="1">
          <a:off x="15752657" y="17435105"/>
          <a:ext cx="87691" cy="5519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804334</xdr:colOff>
      <xdr:row>88</xdr:row>
      <xdr:rowOff>408215</xdr:rowOff>
    </xdr:from>
    <xdr:to>
      <xdr:col>25</xdr:col>
      <xdr:colOff>462643</xdr:colOff>
      <xdr:row>90</xdr:row>
      <xdr:rowOff>10583</xdr:rowOff>
    </xdr:to>
    <xdr:cxnSp macro="">
      <xdr:nvCxnSpPr>
        <xdr:cNvPr id="20" name="Straight Arrow Connector 19">
          <a:extLst>
            <a:ext uri="{FF2B5EF4-FFF2-40B4-BE49-F238E27FC236}">
              <a16:creationId xmlns:a16="http://schemas.microsoft.com/office/drawing/2014/main" id="{08DD5D3E-F1C1-4C15-9FB4-A5F59CB69589}"/>
            </a:ext>
          </a:extLst>
        </xdr:cNvPr>
        <xdr:cNvCxnSpPr/>
      </xdr:nvCxnSpPr>
      <xdr:spPr>
        <a:xfrm flipH="1">
          <a:off x="19000894" y="17339855"/>
          <a:ext cx="5022789" cy="5624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497417</xdr:colOff>
      <xdr:row>88</xdr:row>
      <xdr:rowOff>435429</xdr:rowOff>
    </xdr:from>
    <xdr:to>
      <xdr:col>25</xdr:col>
      <xdr:colOff>585108</xdr:colOff>
      <xdr:row>90</xdr:row>
      <xdr:rowOff>95250</xdr:rowOff>
    </xdr:to>
    <xdr:cxnSp macro="">
      <xdr:nvCxnSpPr>
        <xdr:cNvPr id="21" name="Straight Arrow Connector 20">
          <a:extLst>
            <a:ext uri="{FF2B5EF4-FFF2-40B4-BE49-F238E27FC236}">
              <a16:creationId xmlns:a16="http://schemas.microsoft.com/office/drawing/2014/main" id="{B2ECA634-5C9B-429D-952C-8B40EB815988}"/>
            </a:ext>
          </a:extLst>
        </xdr:cNvPr>
        <xdr:cNvCxnSpPr/>
      </xdr:nvCxnSpPr>
      <xdr:spPr>
        <a:xfrm flipH="1">
          <a:off x="24058457" y="17367069"/>
          <a:ext cx="87691" cy="6199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xdr:colOff>
      <xdr:row>2</xdr:row>
      <xdr:rowOff>158115</xdr:rowOff>
    </xdr:from>
    <xdr:to>
      <xdr:col>3</xdr:col>
      <xdr:colOff>80010</xdr:colOff>
      <xdr:row>10</xdr:row>
      <xdr:rowOff>5715</xdr:rowOff>
    </xdr:to>
    <xdr:sp macro="" textlink="">
      <xdr:nvSpPr>
        <xdr:cNvPr id="3" name="Rectangle: Rounded Corners 2">
          <a:extLst>
            <a:ext uri="{FF2B5EF4-FFF2-40B4-BE49-F238E27FC236}">
              <a16:creationId xmlns:a16="http://schemas.microsoft.com/office/drawing/2014/main" id="{F8433D8F-8CAD-4E68-A0C7-252C32E52B1D}"/>
            </a:ext>
          </a:extLst>
        </xdr:cNvPr>
        <xdr:cNvSpPr/>
      </xdr:nvSpPr>
      <xdr:spPr>
        <a:xfrm>
          <a:off x="1565910" y="539115"/>
          <a:ext cx="752475" cy="1371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4</xdr:col>
      <xdr:colOff>213360</xdr:colOff>
      <xdr:row>0</xdr:row>
      <xdr:rowOff>129540</xdr:rowOff>
    </xdr:from>
    <xdr:to>
      <xdr:col>6</xdr:col>
      <xdr:colOff>198120</xdr:colOff>
      <xdr:row>2</xdr:row>
      <xdr:rowOff>144780</xdr:rowOff>
    </xdr:to>
    <xdr:sp macro="" textlink="">
      <xdr:nvSpPr>
        <xdr:cNvPr id="4" name="Speech Bubble: Rectangle with Corners Rounded 3">
          <a:extLst>
            <a:ext uri="{FF2B5EF4-FFF2-40B4-BE49-F238E27FC236}">
              <a16:creationId xmlns:a16="http://schemas.microsoft.com/office/drawing/2014/main" id="{3571D805-3DE5-421C-94E6-9A5D116EAE11}"/>
            </a:ext>
          </a:extLst>
        </xdr:cNvPr>
        <xdr:cNvSpPr/>
      </xdr:nvSpPr>
      <xdr:spPr>
        <a:xfrm>
          <a:off x="3246120" y="495300"/>
          <a:ext cx="1203960" cy="381000"/>
        </a:xfrm>
        <a:prstGeom prst="wedgeRoundRectCallout">
          <a:avLst>
            <a:gd name="adj1" fmla="val -122349"/>
            <a:gd name="adj2" fmla="val 122575"/>
            <a:gd name="adj3" fmla="val 16667"/>
          </a:avLst>
        </a:prstGeom>
        <a:solidFill>
          <a:srgbClr val="FF99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b="1">
              <a:solidFill>
                <a:sysClr val="windowText" lastClr="000000"/>
              </a:solidFill>
            </a:rPr>
            <a:t>sum: 1 484</a:t>
          </a:r>
          <a:r>
            <a:rPr lang="lv-LV" sz="1100" b="1" baseline="0">
              <a:solidFill>
                <a:sysClr val="windowText" lastClr="000000"/>
              </a:solidFill>
            </a:rPr>
            <a:t> 835</a:t>
          </a:r>
          <a:r>
            <a:rPr lang="lv-LV" sz="1100" b="1">
              <a:solidFill>
                <a:sysClr val="windowText" lastClr="000000"/>
              </a:solidFill>
            </a:rPr>
            <a:t>*</a:t>
          </a:r>
        </a:p>
      </xdr:txBody>
    </xdr:sp>
    <xdr:clientData/>
  </xdr:twoCellAnchor>
  <xdr:twoCellAnchor>
    <xdr:from>
      <xdr:col>2</xdr:col>
      <xdr:colOff>137160</xdr:colOff>
      <xdr:row>10</xdr:row>
      <xdr:rowOff>30480</xdr:rowOff>
    </xdr:from>
    <xdr:to>
      <xdr:col>4</xdr:col>
      <xdr:colOff>76200</xdr:colOff>
      <xdr:row>16</xdr:row>
      <xdr:rowOff>175260</xdr:rowOff>
    </xdr:to>
    <xdr:sp macro="" textlink="">
      <xdr:nvSpPr>
        <xdr:cNvPr id="5" name="Rectangle: Rounded Corners 4">
          <a:extLst>
            <a:ext uri="{FF2B5EF4-FFF2-40B4-BE49-F238E27FC236}">
              <a16:creationId xmlns:a16="http://schemas.microsoft.com/office/drawing/2014/main" id="{EE39C1AA-1443-4441-8B2A-914BF9582808}"/>
            </a:ext>
          </a:extLst>
        </xdr:cNvPr>
        <xdr:cNvSpPr/>
      </xdr:nvSpPr>
      <xdr:spPr>
        <a:xfrm>
          <a:off x="1691640" y="2232660"/>
          <a:ext cx="1417320" cy="124206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5</xdr:col>
      <xdr:colOff>0</xdr:colOff>
      <xdr:row>9</xdr:row>
      <xdr:rowOff>106680</xdr:rowOff>
    </xdr:from>
    <xdr:to>
      <xdr:col>6</xdr:col>
      <xdr:colOff>510540</xdr:colOff>
      <xdr:row>12</xdr:row>
      <xdr:rowOff>15240</xdr:rowOff>
    </xdr:to>
    <xdr:sp macro="" textlink="">
      <xdr:nvSpPr>
        <xdr:cNvPr id="6" name="Speech Bubble: Rectangle with Corners Rounded 5">
          <a:extLst>
            <a:ext uri="{FF2B5EF4-FFF2-40B4-BE49-F238E27FC236}">
              <a16:creationId xmlns:a16="http://schemas.microsoft.com/office/drawing/2014/main" id="{268DA579-EBF6-4C8E-8FC3-25FA9A92F984}"/>
            </a:ext>
          </a:extLst>
        </xdr:cNvPr>
        <xdr:cNvSpPr/>
      </xdr:nvSpPr>
      <xdr:spPr>
        <a:xfrm>
          <a:off x="3642360" y="2125980"/>
          <a:ext cx="1120140" cy="457200"/>
        </a:xfrm>
        <a:prstGeom prst="wedgeRoundRectCallout">
          <a:avLst>
            <a:gd name="adj1" fmla="val -97891"/>
            <a:gd name="adj2" fmla="val 57500"/>
            <a:gd name="adj3" fmla="val 16667"/>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lv-LV" sz="1100" b="0" cap="none" spc="0">
              <a:ln w="0"/>
              <a:solidFill>
                <a:sysClr val="windowText" lastClr="000000"/>
              </a:solidFill>
              <a:effectLst>
                <a:outerShdw blurRad="38100" dist="19050" dir="2700000" algn="tl" rotWithShape="0">
                  <a:schemeClr val="dk1">
                    <a:alpha val="40000"/>
                  </a:schemeClr>
                </a:outerShdw>
              </a:effectLst>
            </a:rPr>
            <a:t>sum:</a:t>
          </a:r>
          <a:r>
            <a:rPr lang="lv-LV" sz="1100" b="0" cap="none" spc="0" baseline="0">
              <a:ln w="0"/>
              <a:solidFill>
                <a:sysClr val="windowText" lastClr="000000"/>
              </a:solidFill>
              <a:effectLst>
                <a:outerShdw blurRad="38100" dist="19050" dir="2700000" algn="tl" rotWithShape="0">
                  <a:schemeClr val="dk1">
                    <a:alpha val="40000"/>
                  </a:schemeClr>
                </a:outerShdw>
              </a:effectLst>
            </a:rPr>
            <a:t> 8 001 285</a:t>
          </a:r>
          <a:endParaRPr lang="lv-LV" sz="1100" b="0" cap="none" spc="0">
            <a:ln w="0"/>
            <a:solidFill>
              <a:sysClr val="windowText" lastClr="000000"/>
            </a:solidFill>
            <a:effectLst>
              <a:outerShdw blurRad="38100" dist="19050" dir="2700000" algn="tl" rotWithShape="0">
                <a:schemeClr val="dk1">
                  <a:alpha val="40000"/>
                </a:schemeClr>
              </a:outerShdw>
            </a:effectLst>
          </a:endParaRPr>
        </a:p>
        <a:p>
          <a:pPr algn="l"/>
          <a:r>
            <a:rPr lang="lv-LV" sz="800" b="0" i="1" cap="none" spc="0">
              <a:ln w="0"/>
              <a:solidFill>
                <a:sysClr val="windowText" lastClr="000000"/>
              </a:solidFill>
              <a:effectLst>
                <a:outerShdw blurRad="38100" dist="19050" dir="2700000" algn="tl" rotWithShape="0">
                  <a:schemeClr val="dk1">
                    <a:alpha val="40000"/>
                  </a:schemeClr>
                </a:outerShdw>
              </a:effectLst>
            </a:rPr>
            <a:t>t.s. 136 600 IT</a:t>
          </a:r>
        </a:p>
      </xdr:txBody>
    </xdr:sp>
    <xdr:clientData/>
  </xdr:twoCellAnchor>
  <xdr:twoCellAnchor>
    <xdr:from>
      <xdr:col>2</xdr:col>
      <xdr:colOff>30480</xdr:colOff>
      <xdr:row>10</xdr:row>
      <xdr:rowOff>30480</xdr:rowOff>
    </xdr:from>
    <xdr:to>
      <xdr:col>3</xdr:col>
      <xdr:colOff>121920</xdr:colOff>
      <xdr:row>15</xdr:row>
      <xdr:rowOff>22860</xdr:rowOff>
    </xdr:to>
    <xdr:sp macro="" textlink="">
      <xdr:nvSpPr>
        <xdr:cNvPr id="7" name="Rectangle: Rounded Corners 6">
          <a:extLst>
            <a:ext uri="{FF2B5EF4-FFF2-40B4-BE49-F238E27FC236}">
              <a16:creationId xmlns:a16="http://schemas.microsoft.com/office/drawing/2014/main" id="{4AEFEAF7-17A0-43FF-BA2A-D9802137A416}"/>
            </a:ext>
          </a:extLst>
        </xdr:cNvPr>
        <xdr:cNvSpPr/>
      </xdr:nvSpPr>
      <xdr:spPr>
        <a:xfrm>
          <a:off x="1584960" y="2232660"/>
          <a:ext cx="830580" cy="90678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0</xdr:col>
      <xdr:colOff>205740</xdr:colOff>
      <xdr:row>16</xdr:row>
      <xdr:rowOff>53340</xdr:rowOff>
    </xdr:from>
    <xdr:to>
      <xdr:col>1</xdr:col>
      <xdr:colOff>716280</xdr:colOff>
      <xdr:row>18</xdr:row>
      <xdr:rowOff>30480</xdr:rowOff>
    </xdr:to>
    <xdr:sp macro="" textlink="">
      <xdr:nvSpPr>
        <xdr:cNvPr id="8" name="Speech Bubble: Rectangle with Corners Rounded 7">
          <a:extLst>
            <a:ext uri="{FF2B5EF4-FFF2-40B4-BE49-F238E27FC236}">
              <a16:creationId xmlns:a16="http://schemas.microsoft.com/office/drawing/2014/main" id="{05249283-31FE-4978-82A7-B65D8CAD85E9}"/>
            </a:ext>
          </a:extLst>
        </xdr:cNvPr>
        <xdr:cNvSpPr/>
      </xdr:nvSpPr>
      <xdr:spPr>
        <a:xfrm>
          <a:off x="205740" y="3352800"/>
          <a:ext cx="1120140" cy="342900"/>
        </a:xfrm>
        <a:prstGeom prst="wedgeRoundRectCallout">
          <a:avLst>
            <a:gd name="adj1" fmla="val 73197"/>
            <a:gd name="adj2" fmla="val -235278"/>
            <a:gd name="adj3" fmla="val 16667"/>
          </a:avLst>
        </a:prstGeom>
        <a:solidFill>
          <a:schemeClr val="tx2">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b="1">
              <a:solidFill>
                <a:sysClr val="windowText" lastClr="000000"/>
              </a:solidFill>
            </a:rPr>
            <a:t>sum: 1 255</a:t>
          </a:r>
          <a:r>
            <a:rPr lang="lv-LV" sz="1100" b="1" baseline="0">
              <a:solidFill>
                <a:sysClr val="windowText" lastClr="000000"/>
              </a:solidFill>
            </a:rPr>
            <a:t> 120</a:t>
          </a:r>
          <a:endParaRPr lang="lv-LV"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0/LM_Asistenti_baze_2021-2023_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āze 2021-2023_23.59%"/>
      <sheetName val="3.74 euro_23.59%"/>
      <sheetName val="bāze 2021-2023_24.09%"/>
      <sheetName val="3.75 euro_24.09%"/>
    </sheetNames>
    <sheetDataSet>
      <sheetData sheetId="0"/>
      <sheetData sheetId="1">
        <row r="17">
          <cell r="E17">
            <v>3.737377164692036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3EF74-D784-4FB4-A52E-6EFBF4F897E7}">
  <sheetPr>
    <tabColor theme="9" tint="0.79998168889431442"/>
  </sheetPr>
  <dimension ref="B1:Z44"/>
  <sheetViews>
    <sheetView tabSelected="1" zoomScale="70" zoomScaleNormal="70" workbookViewId="0">
      <selection activeCell="AC39" sqref="AC39"/>
    </sheetView>
  </sheetViews>
  <sheetFormatPr defaultRowHeight="15" x14ac:dyDescent="0.25"/>
  <cols>
    <col min="1" max="1" width="2" customWidth="1"/>
    <col min="2" max="2" width="16.5703125" customWidth="1"/>
    <col min="3" max="4" width="11.28515625" customWidth="1"/>
    <col min="5" max="5" width="11.28515625" style="31" customWidth="1"/>
    <col min="6" max="7" width="13.140625" customWidth="1"/>
    <col min="8" max="8" width="13.140625" style="31" customWidth="1"/>
    <col min="9" max="10" width="13.140625" customWidth="1"/>
    <col min="11" max="11" width="13.140625" style="31" customWidth="1"/>
    <col min="12" max="13" width="13.140625" customWidth="1"/>
    <col min="14" max="14" width="13.140625" style="31" customWidth="1"/>
    <col min="15" max="15" width="10.28515625" hidden="1" customWidth="1"/>
    <col min="16" max="22" width="0" hidden="1" customWidth="1"/>
  </cols>
  <sheetData>
    <row r="1" spans="2:26" ht="15.75" x14ac:dyDescent="0.25">
      <c r="N1" s="419" t="s">
        <v>302</v>
      </c>
    </row>
    <row r="2" spans="2:26" ht="15.75" x14ac:dyDescent="0.25">
      <c r="N2" s="419" t="s">
        <v>303</v>
      </c>
    </row>
    <row r="3" spans="2:26" ht="26.25" customHeight="1" x14ac:dyDescent="0.25">
      <c r="B3" s="423" t="s">
        <v>304</v>
      </c>
      <c r="C3" s="423"/>
      <c r="D3" s="423"/>
      <c r="E3" s="423"/>
      <c r="F3" s="423"/>
      <c r="G3" s="423"/>
      <c r="H3" s="423"/>
      <c r="I3" s="423"/>
      <c r="J3" s="423"/>
      <c r="K3" s="423"/>
      <c r="L3" s="423"/>
      <c r="M3" s="423"/>
      <c r="N3" s="423"/>
    </row>
    <row r="4" spans="2:26" ht="18.75" x14ac:dyDescent="0.3">
      <c r="B4" s="442" t="s">
        <v>283</v>
      </c>
      <c r="C4" s="442"/>
      <c r="D4" s="442"/>
      <c r="E4" s="442"/>
      <c r="F4" s="442"/>
      <c r="G4" s="442"/>
      <c r="H4" s="442"/>
      <c r="I4" s="442"/>
      <c r="J4" s="442"/>
      <c r="K4" s="442"/>
      <c r="L4" s="442"/>
      <c r="M4" s="442"/>
      <c r="N4" s="442"/>
    </row>
    <row r="5" spans="2:26" x14ac:dyDescent="0.25">
      <c r="B5" s="353">
        <v>2021</v>
      </c>
    </row>
    <row r="6" spans="2:26" x14ac:dyDescent="0.25">
      <c r="B6" s="443" t="s">
        <v>265</v>
      </c>
      <c r="C6" s="438">
        <v>430</v>
      </c>
      <c r="D6" s="439"/>
      <c r="E6" s="440" t="s">
        <v>12</v>
      </c>
      <c r="F6" s="438">
        <v>500</v>
      </c>
      <c r="G6" s="439"/>
      <c r="H6" s="440" t="s">
        <v>12</v>
      </c>
      <c r="I6" s="438" t="s">
        <v>270</v>
      </c>
      <c r="J6" s="439"/>
      <c r="K6" s="440" t="s">
        <v>12</v>
      </c>
      <c r="L6" s="428" t="s">
        <v>41</v>
      </c>
      <c r="M6" s="429"/>
      <c r="N6" s="430" t="s">
        <v>12</v>
      </c>
      <c r="Q6" s="401" t="s">
        <v>298</v>
      </c>
      <c r="R6" s="401"/>
      <c r="S6" s="401"/>
      <c r="T6" s="401"/>
      <c r="U6" s="401"/>
      <c r="V6" s="401"/>
      <c r="W6" s="401"/>
      <c r="X6" s="401"/>
      <c r="Y6" s="401"/>
      <c r="Z6" s="401"/>
    </row>
    <row r="7" spans="2:26" x14ac:dyDescent="0.25">
      <c r="B7" s="443"/>
      <c r="C7" s="356" t="s">
        <v>42</v>
      </c>
      <c r="D7" s="356" t="s">
        <v>47</v>
      </c>
      <c r="E7" s="441"/>
      <c r="F7" s="356" t="s">
        <v>42</v>
      </c>
      <c r="G7" s="356" t="s">
        <v>47</v>
      </c>
      <c r="H7" s="441"/>
      <c r="I7" s="356" t="s">
        <v>42</v>
      </c>
      <c r="J7" s="356" t="s">
        <v>47</v>
      </c>
      <c r="K7" s="441"/>
      <c r="L7" s="367" t="s">
        <v>42</v>
      </c>
      <c r="M7" s="367" t="s">
        <v>47</v>
      </c>
      <c r="N7" s="431"/>
      <c r="Q7" s="401"/>
      <c r="R7" s="401"/>
      <c r="S7" s="401"/>
      <c r="T7" s="401"/>
      <c r="U7" s="401"/>
      <c r="V7" s="401"/>
      <c r="W7" s="401"/>
      <c r="X7" s="401"/>
      <c r="Y7" s="401"/>
      <c r="Z7" s="401"/>
    </row>
    <row r="8" spans="2:26" x14ac:dyDescent="0.25">
      <c r="B8" s="355" t="s">
        <v>166</v>
      </c>
      <c r="C8" s="357">
        <f>Sheet3!H31</f>
        <v>1523679.6519426394</v>
      </c>
      <c r="D8" s="354">
        <v>0</v>
      </c>
      <c r="E8" s="358">
        <f>C8+D8</f>
        <v>1523679.6519426394</v>
      </c>
      <c r="F8" s="357">
        <f>Sheet4!H31</f>
        <v>1523679.6519426394</v>
      </c>
      <c r="G8" s="354">
        <v>0</v>
      </c>
      <c r="H8" s="358">
        <f>F8+G8</f>
        <v>1523679.6519426394</v>
      </c>
      <c r="I8" s="357"/>
      <c r="J8" s="357"/>
      <c r="K8" s="358"/>
      <c r="L8" s="368">
        <f>F8+I8</f>
        <v>1523679.6519426394</v>
      </c>
      <c r="M8" s="368">
        <f>G8+J8</f>
        <v>0</v>
      </c>
      <c r="N8" s="369">
        <f>L8+M8</f>
        <v>1523679.6519426394</v>
      </c>
      <c r="O8" s="225">
        <f>L8-E8</f>
        <v>0</v>
      </c>
      <c r="Q8" s="397">
        <f>F8-C8</f>
        <v>0</v>
      </c>
      <c r="R8" s="401"/>
      <c r="S8" s="397">
        <f>Q8-R8</f>
        <v>0</v>
      </c>
      <c r="T8" s="401"/>
      <c r="U8" s="401"/>
      <c r="V8" s="401"/>
      <c r="W8" s="401"/>
      <c r="X8" s="401"/>
      <c r="Y8" s="401"/>
      <c r="Z8" s="401"/>
    </row>
    <row r="9" spans="2:26" x14ac:dyDescent="0.25">
      <c r="B9" s="355" t="s">
        <v>167</v>
      </c>
      <c r="C9" s="357">
        <f>Sheet3!H32</f>
        <v>1501702.5115484577</v>
      </c>
      <c r="D9" s="354">
        <v>0</v>
      </c>
      <c r="E9" s="358">
        <f t="shared" ref="E9:E19" si="0">C9+D9</f>
        <v>1501702.5115484577</v>
      </c>
      <c r="F9" s="357">
        <f>Sheet4!H32</f>
        <v>1746502.0150163302</v>
      </c>
      <c r="G9" s="354">
        <v>0</v>
      </c>
      <c r="H9" s="358">
        <f t="shared" ref="H9:H14" si="1">F9+G9</f>
        <v>1746502.0150163302</v>
      </c>
      <c r="I9" s="357"/>
      <c r="J9" s="357"/>
      <c r="K9" s="358"/>
      <c r="L9" s="368">
        <f t="shared" ref="L9:L19" si="2">F9+I9</f>
        <v>1746502.0150163302</v>
      </c>
      <c r="M9" s="368">
        <f t="shared" ref="M9:M19" si="3">G9+J9</f>
        <v>0</v>
      </c>
      <c r="N9" s="369">
        <f t="shared" ref="N9:N14" si="4">L9+M9</f>
        <v>1746502.0150163302</v>
      </c>
      <c r="O9" s="225">
        <f t="shared" ref="O9:O19" si="5">L9-E9</f>
        <v>244799.50346787251</v>
      </c>
      <c r="Q9" s="397">
        <f t="shared" ref="Q9:Q14" si="6">F9-C9</f>
        <v>244799.50346787251</v>
      </c>
      <c r="R9" s="397">
        <f>Sheet3!H45</f>
        <v>67129.371480751783</v>
      </c>
      <c r="S9" s="397">
        <f t="shared" ref="S9:S14" si="7">Q9-R9</f>
        <v>177670.13198712072</v>
      </c>
      <c r="T9" s="401"/>
      <c r="U9" s="401"/>
      <c r="V9" s="401"/>
      <c r="W9" s="401"/>
      <c r="X9" s="401"/>
      <c r="Y9" s="401"/>
      <c r="Z9" s="401"/>
    </row>
    <row r="10" spans="2:26" x14ac:dyDescent="0.25">
      <c r="B10" s="355" t="s">
        <v>168</v>
      </c>
      <c r="C10" s="357">
        <f>Sheet3!H33</f>
        <v>1554437.7503036375</v>
      </c>
      <c r="D10" s="354">
        <v>0</v>
      </c>
      <c r="E10" s="358">
        <f t="shared" si="0"/>
        <v>1554437.7503036375</v>
      </c>
      <c r="F10" s="357">
        <f>Sheet4!H33</f>
        <v>1807833.8700541959</v>
      </c>
      <c r="G10" s="354">
        <v>0</v>
      </c>
      <c r="H10" s="358">
        <f t="shared" si="1"/>
        <v>1807833.8700541959</v>
      </c>
      <c r="I10" s="357"/>
      <c r="J10" s="357"/>
      <c r="K10" s="358"/>
      <c r="L10" s="368">
        <f t="shared" si="2"/>
        <v>1807833.8700541959</v>
      </c>
      <c r="M10" s="368">
        <f t="shared" si="3"/>
        <v>0</v>
      </c>
      <c r="N10" s="369">
        <f t="shared" si="4"/>
        <v>1807833.8700541959</v>
      </c>
      <c r="O10" s="225">
        <f t="shared" si="5"/>
        <v>253396.1197505584</v>
      </c>
      <c r="Q10" s="397">
        <f t="shared" si="6"/>
        <v>253396.1197505584</v>
      </c>
      <c r="R10" s="401"/>
      <c r="S10" s="397">
        <f t="shared" si="7"/>
        <v>253396.1197505584</v>
      </c>
      <c r="T10" s="401"/>
      <c r="U10" s="401"/>
      <c r="V10" s="401"/>
      <c r="W10" s="401"/>
      <c r="X10" s="401"/>
      <c r="Y10" s="401"/>
      <c r="Z10" s="401"/>
    </row>
    <row r="11" spans="2:26" x14ac:dyDescent="0.25">
      <c r="B11" s="355" t="s">
        <v>169</v>
      </c>
      <c r="C11" s="357">
        <f>Sheet3!H34</f>
        <v>1570453.5051980284</v>
      </c>
      <c r="D11" s="354">
        <v>0</v>
      </c>
      <c r="E11" s="358">
        <f t="shared" si="0"/>
        <v>1570453.5051980284</v>
      </c>
      <c r="F11" s="357">
        <f>Sheet4!H34</f>
        <v>1826460.4275647234</v>
      </c>
      <c r="G11" s="354">
        <v>0</v>
      </c>
      <c r="H11" s="358">
        <f t="shared" si="1"/>
        <v>1826460.4275647234</v>
      </c>
      <c r="I11" s="357"/>
      <c r="J11" s="357"/>
      <c r="K11" s="358"/>
      <c r="L11" s="368">
        <f t="shared" si="2"/>
        <v>1826460.4275647234</v>
      </c>
      <c r="M11" s="368">
        <f t="shared" si="3"/>
        <v>0</v>
      </c>
      <c r="N11" s="369">
        <f t="shared" si="4"/>
        <v>1826460.4275647234</v>
      </c>
      <c r="O11" s="225">
        <f t="shared" si="5"/>
        <v>256006.92236669501</v>
      </c>
      <c r="Q11" s="397">
        <f t="shared" si="6"/>
        <v>256006.92236669501</v>
      </c>
      <c r="R11" s="401"/>
      <c r="S11" s="397">
        <f t="shared" si="7"/>
        <v>256006.92236669501</v>
      </c>
      <c r="T11" s="401"/>
      <c r="U11" s="401"/>
      <c r="V11" s="401"/>
      <c r="W11" s="401"/>
      <c r="X11" s="401"/>
      <c r="Y11" s="401"/>
      <c r="Z11" s="401"/>
    </row>
    <row r="12" spans="2:26" x14ac:dyDescent="0.25">
      <c r="B12" s="355" t="s">
        <v>170</v>
      </c>
      <c r="C12" s="357">
        <f>Sheet3!H35</f>
        <v>1680761.4385607166</v>
      </c>
      <c r="D12" s="354">
        <v>0</v>
      </c>
      <c r="E12" s="358">
        <f t="shared" si="0"/>
        <v>1680761.4385607166</v>
      </c>
      <c r="F12" s="357">
        <f>Sheet4!H35</f>
        <v>1954750.169646576</v>
      </c>
      <c r="G12" s="354">
        <v>0</v>
      </c>
      <c r="H12" s="358">
        <f t="shared" si="1"/>
        <v>1954750.169646576</v>
      </c>
      <c r="I12" s="357"/>
      <c r="J12" s="357"/>
      <c r="K12" s="358"/>
      <c r="L12" s="368">
        <f t="shared" si="2"/>
        <v>1954750.169646576</v>
      </c>
      <c r="M12" s="368">
        <f t="shared" si="3"/>
        <v>0</v>
      </c>
      <c r="N12" s="369">
        <f t="shared" si="4"/>
        <v>1954750.169646576</v>
      </c>
      <c r="O12" s="225">
        <f t="shared" si="5"/>
        <v>273988.73108585947</v>
      </c>
      <c r="Q12" s="397">
        <f t="shared" si="6"/>
        <v>273988.73108585947</v>
      </c>
      <c r="R12" s="401"/>
      <c r="S12" s="397">
        <f t="shared" si="7"/>
        <v>273988.73108585947</v>
      </c>
      <c r="T12" s="401"/>
      <c r="U12" s="401"/>
      <c r="V12" s="401"/>
      <c r="W12" s="401"/>
      <c r="X12" s="401"/>
      <c r="Y12" s="401"/>
      <c r="Z12" s="401"/>
    </row>
    <row r="13" spans="2:26" ht="15.75" thickBot="1" x14ac:dyDescent="0.3">
      <c r="B13" s="363" t="s">
        <v>171</v>
      </c>
      <c r="C13" s="364">
        <f>Sheet3!H36</f>
        <v>1645279.2476064747</v>
      </c>
      <c r="D13" s="365">
        <v>0</v>
      </c>
      <c r="E13" s="366">
        <f t="shared" si="0"/>
        <v>1645279.2476064747</v>
      </c>
      <c r="F13" s="364">
        <f>Sheet4!H36</f>
        <v>1913483.8618910685</v>
      </c>
      <c r="G13" s="365">
        <v>0</v>
      </c>
      <c r="H13" s="366">
        <f t="shared" si="1"/>
        <v>1913483.8618910685</v>
      </c>
      <c r="I13" s="364"/>
      <c r="J13" s="364"/>
      <c r="K13" s="366"/>
      <c r="L13" s="370">
        <f t="shared" si="2"/>
        <v>1913483.8618910685</v>
      </c>
      <c r="M13" s="370">
        <f t="shared" si="3"/>
        <v>0</v>
      </c>
      <c r="N13" s="371">
        <f t="shared" si="4"/>
        <v>1913483.8618910685</v>
      </c>
      <c r="O13" s="225">
        <f t="shared" si="5"/>
        <v>268204.61428459384</v>
      </c>
      <c r="Q13" s="397">
        <f t="shared" si="6"/>
        <v>268204.61428459384</v>
      </c>
      <c r="R13" s="401"/>
      <c r="S13" s="397">
        <f t="shared" si="7"/>
        <v>268204.61428459384</v>
      </c>
      <c r="T13" s="401"/>
      <c r="U13" s="401"/>
      <c r="V13" s="401"/>
      <c r="W13" s="401"/>
      <c r="X13" s="401"/>
      <c r="Y13" s="401"/>
      <c r="Z13" s="401"/>
    </row>
    <row r="14" spans="2:26" x14ac:dyDescent="0.25">
      <c r="B14" s="359" t="s">
        <v>284</v>
      </c>
      <c r="C14" s="360">
        <f>Sheet3!H37</f>
        <v>1567764.5770870913</v>
      </c>
      <c r="D14" s="361">
        <v>0</v>
      </c>
      <c r="E14" s="362">
        <f t="shared" si="0"/>
        <v>1567764.5770870913</v>
      </c>
      <c r="F14" s="360">
        <f>Sheet4!H37</f>
        <v>1823333.1647893933</v>
      </c>
      <c r="G14" s="361">
        <v>0</v>
      </c>
      <c r="H14" s="362">
        <f t="shared" si="1"/>
        <v>1823333.1647893933</v>
      </c>
      <c r="I14" s="360"/>
      <c r="J14" s="360"/>
      <c r="K14" s="362"/>
      <c r="L14" s="368">
        <f t="shared" si="2"/>
        <v>1823333.1647893933</v>
      </c>
      <c r="M14" s="368">
        <f t="shared" si="3"/>
        <v>0</v>
      </c>
      <c r="N14" s="369">
        <f t="shared" si="4"/>
        <v>1823333.1647893933</v>
      </c>
      <c r="O14" s="225">
        <f t="shared" si="5"/>
        <v>255568.58770230203</v>
      </c>
      <c r="Q14" s="397">
        <f t="shared" si="6"/>
        <v>255568.58770230203</v>
      </c>
      <c r="R14" s="401"/>
      <c r="S14" s="397">
        <f t="shared" si="7"/>
        <v>255568.58770230203</v>
      </c>
      <c r="T14" s="401"/>
      <c r="U14" s="401"/>
      <c r="V14" s="401"/>
      <c r="W14" s="401"/>
      <c r="X14" s="401"/>
      <c r="Y14" s="401"/>
      <c r="Z14" s="401"/>
    </row>
    <row r="15" spans="2:26" x14ac:dyDescent="0.25">
      <c r="B15" s="355" t="s">
        <v>173</v>
      </c>
      <c r="C15" s="357">
        <f>Sheet3!H38</f>
        <v>1380562.4213393361</v>
      </c>
      <c r="D15" s="354">
        <v>0</v>
      </c>
      <c r="E15" s="358">
        <f t="shared" si="0"/>
        <v>1380562.4213393361</v>
      </c>
      <c r="F15" s="357"/>
      <c r="G15" s="354"/>
      <c r="H15" s="358"/>
      <c r="I15" s="357">
        <f>Sheet5!K31</f>
        <v>2790756.0203975327</v>
      </c>
      <c r="J15" s="357">
        <f>Sheet5!O31</f>
        <v>329725.96970867272</v>
      </c>
      <c r="K15" s="358">
        <f t="shared" ref="K15:K19" si="8">I15+J15</f>
        <v>3120481.9901062055</v>
      </c>
      <c r="L15" s="368">
        <f>F15+I15</f>
        <v>2790756.0203975327</v>
      </c>
      <c r="M15" s="368">
        <f t="shared" si="3"/>
        <v>329725.96970867272</v>
      </c>
      <c r="N15" s="369">
        <f t="shared" ref="N15:N19" si="9">L15+M15</f>
        <v>3120481.9901062055</v>
      </c>
      <c r="O15" s="225">
        <f t="shared" si="5"/>
        <v>1410193.5990581966</v>
      </c>
      <c r="Q15" s="397"/>
      <c r="R15" s="401"/>
      <c r="S15" s="401"/>
      <c r="T15" s="401"/>
      <c r="U15" s="401"/>
      <c r="V15" s="401"/>
      <c r="W15" s="401"/>
      <c r="X15" s="401"/>
      <c r="Y15" s="401"/>
      <c r="Z15" s="401"/>
    </row>
    <row r="16" spans="2:26" x14ac:dyDescent="0.25">
      <c r="B16" s="355" t="s">
        <v>174</v>
      </c>
      <c r="C16" s="357">
        <f>Sheet3!H39</f>
        <v>1449344.4477899361</v>
      </c>
      <c r="D16" s="354">
        <v>0</v>
      </c>
      <c r="E16" s="358">
        <f t="shared" si="0"/>
        <v>1449344.4477899361</v>
      </c>
      <c r="F16" s="357"/>
      <c r="G16" s="354"/>
      <c r="H16" s="358"/>
      <c r="I16" s="357">
        <f>Sheet5!K32</f>
        <v>2929796.3502262509</v>
      </c>
      <c r="J16" s="357">
        <f>Sheet5!O32</f>
        <v>346153.49230337748</v>
      </c>
      <c r="K16" s="358">
        <f t="shared" si="8"/>
        <v>3275949.8425296284</v>
      </c>
      <c r="L16" s="368">
        <f t="shared" si="2"/>
        <v>2929796.3502262509</v>
      </c>
      <c r="M16" s="368">
        <f t="shared" si="3"/>
        <v>346153.49230337748</v>
      </c>
      <c r="N16" s="369">
        <f t="shared" si="9"/>
        <v>3275949.8425296284</v>
      </c>
      <c r="O16" s="225">
        <f t="shared" si="5"/>
        <v>1480451.9024363148</v>
      </c>
      <c r="Q16" s="397"/>
      <c r="R16" s="401"/>
      <c r="S16" s="401"/>
      <c r="T16" s="401"/>
      <c r="U16" s="401"/>
      <c r="V16" s="401"/>
      <c r="W16" s="401"/>
      <c r="X16" s="401"/>
      <c r="Y16" s="401"/>
      <c r="Z16" s="401"/>
    </row>
    <row r="17" spans="2:26" x14ac:dyDescent="0.25">
      <c r="B17" s="355" t="s">
        <v>175</v>
      </c>
      <c r="C17" s="357">
        <f>Sheet3!H40</f>
        <v>1600344.6641055346</v>
      </c>
      <c r="D17" s="354">
        <v>0</v>
      </c>
      <c r="E17" s="358">
        <f t="shared" si="0"/>
        <v>1600344.6641055346</v>
      </c>
      <c r="F17" s="357"/>
      <c r="G17" s="354"/>
      <c r="H17" s="358"/>
      <c r="I17" s="357">
        <f>Sheet5!K33</f>
        <v>3235037.7187079922</v>
      </c>
      <c r="J17" s="357">
        <f>Sheet5!O33</f>
        <v>382217.55719555262</v>
      </c>
      <c r="K17" s="358">
        <f t="shared" si="8"/>
        <v>3617255.2759035449</v>
      </c>
      <c r="L17" s="368">
        <f t="shared" si="2"/>
        <v>3235037.7187079922</v>
      </c>
      <c r="M17" s="368">
        <f t="shared" si="3"/>
        <v>382217.55719555262</v>
      </c>
      <c r="N17" s="369">
        <f t="shared" si="9"/>
        <v>3617255.2759035449</v>
      </c>
      <c r="O17" s="225">
        <f t="shared" si="5"/>
        <v>1634693.0546024577</v>
      </c>
      <c r="Q17" s="397"/>
      <c r="R17" s="401"/>
      <c r="S17" s="401"/>
      <c r="T17" s="401"/>
      <c r="U17" s="401"/>
      <c r="V17" s="401"/>
      <c r="W17" s="401"/>
      <c r="X17" s="401"/>
      <c r="Y17" s="401"/>
      <c r="Z17" s="401"/>
    </row>
    <row r="18" spans="2:26" x14ac:dyDescent="0.25">
      <c r="B18" s="355" t="s">
        <v>176</v>
      </c>
      <c r="C18" s="357">
        <f>Sheet3!H41</f>
        <v>1568626.4042841224</v>
      </c>
      <c r="D18" s="354">
        <v>0</v>
      </c>
      <c r="E18" s="358">
        <f t="shared" si="0"/>
        <v>1568626.4042841224</v>
      </c>
      <c r="F18" s="357"/>
      <c r="G18" s="354"/>
      <c r="H18" s="358"/>
      <c r="I18" s="357">
        <f>Sheet5!K34</f>
        <v>3169085.4025244457</v>
      </c>
      <c r="J18" s="357">
        <f>Sheet5!O34</f>
        <v>374425.33485536557</v>
      </c>
      <c r="K18" s="358">
        <f t="shared" si="8"/>
        <v>3543510.7373798112</v>
      </c>
      <c r="L18" s="368">
        <f t="shared" si="2"/>
        <v>3169085.4025244457</v>
      </c>
      <c r="M18" s="368">
        <f t="shared" si="3"/>
        <v>374425.33485536557</v>
      </c>
      <c r="N18" s="369">
        <f t="shared" si="9"/>
        <v>3543510.7373798112</v>
      </c>
      <c r="O18" s="225">
        <f t="shared" si="5"/>
        <v>1600458.9982403233</v>
      </c>
      <c r="Q18" s="397"/>
      <c r="R18" s="401"/>
      <c r="S18" s="401"/>
      <c r="T18" s="401"/>
      <c r="U18" s="401"/>
      <c r="V18" s="401"/>
      <c r="W18" s="401"/>
      <c r="X18" s="401"/>
      <c r="Y18" s="401"/>
      <c r="Z18" s="401"/>
    </row>
    <row r="19" spans="2:26" x14ac:dyDescent="0.25">
      <c r="B19" s="355" t="s">
        <v>177</v>
      </c>
      <c r="C19" s="357">
        <f>Sheet3!H42</f>
        <v>1700553.0087532739</v>
      </c>
      <c r="D19" s="354">
        <v>0</v>
      </c>
      <c r="E19" s="358">
        <f t="shared" si="0"/>
        <v>1700553.0087532739</v>
      </c>
      <c r="F19" s="357"/>
      <c r="G19" s="354"/>
      <c r="H19" s="358"/>
      <c r="I19" s="357">
        <f>Sheet5!K35</f>
        <v>3439440.2154934243</v>
      </c>
      <c r="J19" s="357">
        <f>Sheet5!O35</f>
        <v>406367.57639137283</v>
      </c>
      <c r="K19" s="358">
        <f t="shared" si="8"/>
        <v>3845807.7918847972</v>
      </c>
      <c r="L19" s="368">
        <f t="shared" si="2"/>
        <v>3439440.2154934243</v>
      </c>
      <c r="M19" s="368">
        <f t="shared" si="3"/>
        <v>406367.57639137283</v>
      </c>
      <c r="N19" s="369">
        <f t="shared" si="9"/>
        <v>3845807.7918847972</v>
      </c>
      <c r="O19" s="225">
        <f t="shared" si="5"/>
        <v>1738887.2067401505</v>
      </c>
      <c r="Q19" s="397"/>
      <c r="R19" s="401"/>
      <c r="S19" s="401"/>
      <c r="T19" s="401"/>
      <c r="U19" s="401"/>
      <c r="V19" s="401"/>
      <c r="W19" s="401"/>
      <c r="X19" s="401"/>
      <c r="Y19" s="401"/>
      <c r="Z19" s="401"/>
    </row>
    <row r="20" spans="2:26" s="31" customFormat="1" x14ac:dyDescent="0.25">
      <c r="B20" s="379" t="s">
        <v>276</v>
      </c>
      <c r="C20" s="369">
        <f>SUM(C8:C19)</f>
        <v>18743509.628519248</v>
      </c>
      <c r="D20" s="369">
        <f t="shared" ref="D20:E20" si="10">SUM(D8:D19)</f>
        <v>0</v>
      </c>
      <c r="E20" s="369">
        <f t="shared" si="10"/>
        <v>18743509.628519248</v>
      </c>
      <c r="F20" s="369">
        <f>SUM(F8:F19)</f>
        <v>12596043.160904927</v>
      </c>
      <c r="G20" s="369">
        <f t="shared" ref="G20" si="11">SUM(G8:G19)</f>
        <v>0</v>
      </c>
      <c r="H20" s="369">
        <f>SUM(H8:H19)</f>
        <v>12596043.160904927</v>
      </c>
      <c r="I20" s="369">
        <f>SUM(I8:I19)</f>
        <v>15564115.707349645</v>
      </c>
      <c r="J20" s="369">
        <f t="shared" ref="J20" si="12">SUM(J8:J19)</f>
        <v>1838889.9304543412</v>
      </c>
      <c r="K20" s="369">
        <f t="shared" ref="K20" si="13">SUM(K8:K19)</f>
        <v>17403005.637803987</v>
      </c>
      <c r="L20" s="369">
        <f>SUM(L8:L19)</f>
        <v>28160158.868254576</v>
      </c>
      <c r="M20" s="369">
        <f t="shared" ref="M20" si="14">SUM(M8:M19)</f>
        <v>1838889.9304543412</v>
      </c>
      <c r="N20" s="369">
        <f t="shared" ref="N20" si="15">SUM(N8:N19)</f>
        <v>29999048.798708916</v>
      </c>
      <c r="O20" s="225">
        <f>L20-E20</f>
        <v>9416649.2397353277</v>
      </c>
      <c r="Q20" s="402">
        <f>SUM(Q8:Q19)</f>
        <v>1551964.4786578813</v>
      </c>
      <c r="R20" s="402">
        <f t="shared" ref="R20:S20" si="16">SUM(R8:R19)</f>
        <v>67129.371480751783</v>
      </c>
      <c r="S20" s="404">
        <f t="shared" si="16"/>
        <v>1484835.1071771295</v>
      </c>
      <c r="T20" s="391"/>
      <c r="U20" s="391"/>
      <c r="V20" s="391"/>
      <c r="W20" s="391"/>
      <c r="X20" s="391"/>
      <c r="Y20" s="391"/>
      <c r="Z20" s="391"/>
    </row>
    <row r="21" spans="2:26" x14ac:dyDescent="0.25">
      <c r="B21" s="384" t="s">
        <v>285</v>
      </c>
      <c r="C21" s="225"/>
      <c r="L21" s="374" t="str">
        <f>L7</f>
        <v>valsts</v>
      </c>
      <c r="M21" s="374" t="str">
        <f>M7</f>
        <v>pašvaldība</v>
      </c>
      <c r="N21" s="375" t="str">
        <f>N6</f>
        <v>KOPĀ</v>
      </c>
      <c r="Q21" s="397"/>
      <c r="R21" s="401"/>
      <c r="S21" s="401"/>
      <c r="T21" s="401"/>
      <c r="U21" s="401"/>
      <c r="V21" s="401"/>
      <c r="W21" s="401"/>
      <c r="X21" s="401"/>
      <c r="Y21" s="401"/>
      <c r="Z21" s="401"/>
    </row>
    <row r="22" spans="2:26" x14ac:dyDescent="0.25">
      <c r="K22" s="391" t="s">
        <v>274</v>
      </c>
      <c r="L22" s="392">
        <f>Sheet2!E8</f>
        <v>18810639</v>
      </c>
      <c r="M22" s="393">
        <v>0</v>
      </c>
      <c r="N22" s="394">
        <f>L22+M22</f>
        <v>18810639</v>
      </c>
      <c r="Q22" s="403"/>
      <c r="R22" s="401"/>
      <c r="S22" s="401"/>
      <c r="T22" s="401"/>
      <c r="U22" s="401"/>
      <c r="V22" s="401"/>
      <c r="W22" s="401"/>
      <c r="X22" s="401"/>
      <c r="Y22" s="401"/>
      <c r="Z22" s="401"/>
    </row>
    <row r="23" spans="2:26" x14ac:dyDescent="0.25">
      <c r="J23" s="373" t="s">
        <v>272</v>
      </c>
      <c r="K23" s="372" t="s">
        <v>271</v>
      </c>
      <c r="L23" s="376">
        <f>F20+I20-E20-R20</f>
        <v>9349519.8682545722</v>
      </c>
      <c r="M23" s="376">
        <f>M20-M22</f>
        <v>1838889.9304543412</v>
      </c>
      <c r="N23" s="378">
        <f>L23+M23</f>
        <v>11188409.798708914</v>
      </c>
      <c r="Q23" s="401"/>
      <c r="R23" s="401"/>
      <c r="S23" s="401"/>
      <c r="T23" s="401"/>
      <c r="U23" s="401"/>
      <c r="V23" s="401"/>
      <c r="W23" s="401"/>
      <c r="X23" s="401"/>
      <c r="Y23" s="401"/>
      <c r="Z23" s="401"/>
    </row>
    <row r="24" spans="2:26" x14ac:dyDescent="0.25">
      <c r="J24" s="373" t="s">
        <v>272</v>
      </c>
      <c r="K24" s="372" t="s">
        <v>273</v>
      </c>
      <c r="L24" s="376">
        <f>'2'!B10</f>
        <v>136600</v>
      </c>
      <c r="M24" s="377">
        <v>0</v>
      </c>
      <c r="N24" s="378">
        <f t="shared" ref="N24:N25" si="17">L24+M24</f>
        <v>136600</v>
      </c>
      <c r="P24" s="225"/>
      <c r="Q24" s="401"/>
      <c r="R24" s="401"/>
      <c r="S24" s="401"/>
      <c r="T24" s="401"/>
      <c r="U24" s="401"/>
      <c r="V24" s="401"/>
      <c r="W24" s="401"/>
      <c r="X24" s="401"/>
      <c r="Y24" s="401"/>
      <c r="Z24" s="401"/>
    </row>
    <row r="25" spans="2:26" x14ac:dyDescent="0.25">
      <c r="J25" s="380" t="s">
        <v>277</v>
      </c>
      <c r="K25" s="381" t="s">
        <v>12</v>
      </c>
      <c r="L25" s="383">
        <f>L20+L24-L22</f>
        <v>9486119.8682545759</v>
      </c>
      <c r="M25" s="382">
        <f>M23+M24</f>
        <v>1838889.9304543412</v>
      </c>
      <c r="N25" s="382">
        <f t="shared" si="17"/>
        <v>11325009.798708918</v>
      </c>
    </row>
    <row r="26" spans="2:26" x14ac:dyDescent="0.25">
      <c r="B26" s="353">
        <v>2022</v>
      </c>
    </row>
    <row r="27" spans="2:26" x14ac:dyDescent="0.25">
      <c r="B27" s="432" t="s">
        <v>265</v>
      </c>
      <c r="C27" s="433"/>
      <c r="D27" s="433"/>
      <c r="E27" s="433"/>
      <c r="F27" s="433"/>
      <c r="G27" s="433"/>
      <c r="H27" s="434"/>
      <c r="I27" s="438" t="s">
        <v>270</v>
      </c>
      <c r="J27" s="439"/>
      <c r="K27" s="440" t="s">
        <v>12</v>
      </c>
      <c r="L27" s="428" t="s">
        <v>44</v>
      </c>
      <c r="M27" s="429"/>
      <c r="N27" s="430" t="s">
        <v>12</v>
      </c>
    </row>
    <row r="28" spans="2:26" x14ac:dyDescent="0.25">
      <c r="B28" s="435"/>
      <c r="C28" s="436"/>
      <c r="D28" s="436"/>
      <c r="E28" s="436"/>
      <c r="F28" s="436"/>
      <c r="G28" s="436"/>
      <c r="H28" s="437"/>
      <c r="I28" s="356" t="s">
        <v>42</v>
      </c>
      <c r="J28" s="356" t="s">
        <v>47</v>
      </c>
      <c r="K28" s="441"/>
      <c r="L28" s="367" t="s">
        <v>42</v>
      </c>
      <c r="M28" s="367" t="s">
        <v>47</v>
      </c>
      <c r="N28" s="431"/>
    </row>
    <row r="29" spans="2:26" s="31" customFormat="1" x14ac:dyDescent="0.25">
      <c r="B29" s="425" t="s">
        <v>278</v>
      </c>
      <c r="C29" s="426"/>
      <c r="D29" s="426"/>
      <c r="E29" s="426"/>
      <c r="F29" s="426"/>
      <c r="G29" s="426"/>
      <c r="H29" s="427"/>
      <c r="I29" s="369">
        <f>Sheet5!L36</f>
        <v>40174863.249533251</v>
      </c>
      <c r="J29" s="369">
        <f>Sheet5!P36</f>
        <v>4746633.4018617384</v>
      </c>
      <c r="K29" s="369">
        <f>I29+J29</f>
        <v>44921496.651394993</v>
      </c>
      <c r="L29" s="369">
        <f>I29</f>
        <v>40174863.249533251</v>
      </c>
      <c r="M29" s="369">
        <f>J29</f>
        <v>4746633.4018617384</v>
      </c>
      <c r="N29" s="369">
        <f>L29+M29</f>
        <v>44921496.651394993</v>
      </c>
    </row>
    <row r="30" spans="2:26" x14ac:dyDescent="0.25">
      <c r="C30" s="225"/>
      <c r="L30" s="374" t="str">
        <f>L28</f>
        <v>valsts</v>
      </c>
      <c r="M30" s="374" t="str">
        <f>M28</f>
        <v>pašvaldība</v>
      </c>
      <c r="N30" s="375" t="str">
        <f>N27</f>
        <v>KOPĀ</v>
      </c>
    </row>
    <row r="31" spans="2:26" x14ac:dyDescent="0.25">
      <c r="K31" s="391" t="s">
        <v>275</v>
      </c>
      <c r="L31" s="392">
        <f>L22</f>
        <v>18810639</v>
      </c>
      <c r="M31" s="393">
        <f>M22</f>
        <v>0</v>
      </c>
      <c r="N31" s="394">
        <f>L31+M31</f>
        <v>18810639</v>
      </c>
    </row>
    <row r="32" spans="2:26" x14ac:dyDescent="0.25">
      <c r="J32" s="373" t="s">
        <v>272</v>
      </c>
      <c r="K32" s="372" t="s">
        <v>271</v>
      </c>
      <c r="L32" s="376">
        <f>L29-L31</f>
        <v>21364224.249533251</v>
      </c>
      <c r="M32" s="376">
        <f>M29-M31</f>
        <v>4746633.4018617384</v>
      </c>
      <c r="N32" s="378">
        <f>L32+M32</f>
        <v>26110857.651394989</v>
      </c>
    </row>
    <row r="33" spans="2:14" x14ac:dyDescent="0.25">
      <c r="J33" s="373" t="s">
        <v>272</v>
      </c>
      <c r="K33" s="372" t="s">
        <v>273</v>
      </c>
      <c r="L33" s="376">
        <v>0</v>
      </c>
      <c r="M33" s="377">
        <v>0</v>
      </c>
      <c r="N33" s="378">
        <f t="shared" ref="N33:N34" si="18">L33+M33</f>
        <v>0</v>
      </c>
    </row>
    <row r="34" spans="2:14" x14ac:dyDescent="0.25">
      <c r="J34" s="380" t="s">
        <v>279</v>
      </c>
      <c r="K34" s="381" t="s">
        <v>12</v>
      </c>
      <c r="L34" s="383">
        <f>L32+L33</f>
        <v>21364224.249533251</v>
      </c>
      <c r="M34" s="382">
        <f>M32+M33</f>
        <v>4746633.4018617384</v>
      </c>
      <c r="N34" s="382">
        <f t="shared" si="18"/>
        <v>26110857.651394989</v>
      </c>
    </row>
    <row r="35" spans="2:14" x14ac:dyDescent="0.25">
      <c r="B35" s="353">
        <v>2023</v>
      </c>
    </row>
    <row r="36" spans="2:14" x14ac:dyDescent="0.25">
      <c r="B36" s="432" t="s">
        <v>265</v>
      </c>
      <c r="C36" s="433"/>
      <c r="D36" s="433"/>
      <c r="E36" s="433"/>
      <c r="F36" s="433"/>
      <c r="G36" s="433"/>
      <c r="H36" s="434"/>
      <c r="I36" s="438" t="s">
        <v>270</v>
      </c>
      <c r="J36" s="439"/>
      <c r="K36" s="440" t="s">
        <v>12</v>
      </c>
      <c r="L36" s="428" t="s">
        <v>72</v>
      </c>
      <c r="M36" s="429"/>
      <c r="N36" s="430" t="s">
        <v>12</v>
      </c>
    </row>
    <row r="37" spans="2:14" x14ac:dyDescent="0.25">
      <c r="B37" s="435"/>
      <c r="C37" s="436"/>
      <c r="D37" s="436"/>
      <c r="E37" s="436"/>
      <c r="F37" s="436"/>
      <c r="G37" s="436"/>
      <c r="H37" s="437"/>
      <c r="I37" s="356" t="s">
        <v>42</v>
      </c>
      <c r="J37" s="356" t="s">
        <v>47</v>
      </c>
      <c r="K37" s="441"/>
      <c r="L37" s="367" t="s">
        <v>42</v>
      </c>
      <c r="M37" s="367" t="s">
        <v>47</v>
      </c>
      <c r="N37" s="431"/>
    </row>
    <row r="38" spans="2:14" s="31" customFormat="1" x14ac:dyDescent="0.25">
      <c r="B38" s="425" t="s">
        <v>280</v>
      </c>
      <c r="C38" s="426"/>
      <c r="D38" s="426"/>
      <c r="E38" s="426"/>
      <c r="F38" s="426"/>
      <c r="G38" s="426"/>
      <c r="H38" s="427"/>
      <c r="I38" s="369">
        <f>Sheet5!M36</f>
        <v>42183606.412009902</v>
      </c>
      <c r="J38" s="369">
        <f>Sheet5!Q36</f>
        <v>4983965.0719548259</v>
      </c>
      <c r="K38" s="369">
        <f>I38+J38</f>
        <v>47167571.483964726</v>
      </c>
      <c r="L38" s="369">
        <f>I38</f>
        <v>42183606.412009902</v>
      </c>
      <c r="M38" s="369">
        <f>J38</f>
        <v>4983965.0719548259</v>
      </c>
      <c r="N38" s="369">
        <f>L38+M38</f>
        <v>47167571.483964726</v>
      </c>
    </row>
    <row r="39" spans="2:14" x14ac:dyDescent="0.25">
      <c r="C39" s="225"/>
      <c r="L39" s="374" t="str">
        <f>L37</f>
        <v>valsts</v>
      </c>
      <c r="M39" s="374" t="str">
        <f>M37</f>
        <v>pašvaldība</v>
      </c>
      <c r="N39" s="375" t="str">
        <f>N36</f>
        <v>KOPĀ</v>
      </c>
    </row>
    <row r="40" spans="2:14" x14ac:dyDescent="0.25">
      <c r="B40" s="424" t="s">
        <v>306</v>
      </c>
      <c r="C40" s="424"/>
      <c r="D40" s="424"/>
      <c r="K40" s="391" t="s">
        <v>281</v>
      </c>
      <c r="L40" s="392">
        <f>L31</f>
        <v>18810639</v>
      </c>
      <c r="M40" s="393">
        <f>M31</f>
        <v>0</v>
      </c>
      <c r="N40" s="394">
        <f>L40+M40</f>
        <v>18810639</v>
      </c>
    </row>
    <row r="41" spans="2:14" x14ac:dyDescent="0.25">
      <c r="B41" s="424"/>
      <c r="C41" s="424"/>
      <c r="D41" s="424"/>
      <c r="J41" s="373" t="s">
        <v>272</v>
      </c>
      <c r="K41" s="372" t="s">
        <v>271</v>
      </c>
      <c r="L41" s="376">
        <f>L38-L40</f>
        <v>23372967.412009902</v>
      </c>
      <c r="M41" s="376">
        <f>M38-M40</f>
        <v>4983965.0719548259</v>
      </c>
      <c r="N41" s="378">
        <f>L41+M41</f>
        <v>28356932.483964726</v>
      </c>
    </row>
    <row r="42" spans="2:14" ht="15.75" customHeight="1" x14ac:dyDescent="0.25">
      <c r="B42" s="424"/>
      <c r="C42" s="424"/>
      <c r="D42" s="424"/>
      <c r="J42" s="373" t="s">
        <v>272</v>
      </c>
      <c r="K42" s="372" t="s">
        <v>273</v>
      </c>
      <c r="L42" s="376">
        <v>0</v>
      </c>
      <c r="M42" s="377">
        <v>0</v>
      </c>
      <c r="N42" s="378">
        <f t="shared" ref="N42:N43" si="19">L42+M42</f>
        <v>0</v>
      </c>
    </row>
    <row r="43" spans="2:14" x14ac:dyDescent="0.25">
      <c r="B43" s="424"/>
      <c r="C43" s="424"/>
      <c r="D43" s="424"/>
      <c r="J43" s="380" t="s">
        <v>282</v>
      </c>
      <c r="K43" s="381" t="s">
        <v>12</v>
      </c>
      <c r="L43" s="383">
        <f>L41+L42</f>
        <v>23372967.412009902</v>
      </c>
      <c r="M43" s="382">
        <f>M41+M42</f>
        <v>4983965.0719548259</v>
      </c>
      <c r="N43" s="382">
        <f t="shared" si="19"/>
        <v>28356932.483964726</v>
      </c>
    </row>
    <row r="44" spans="2:14" x14ac:dyDescent="0.25">
      <c r="B44" s="424"/>
      <c r="C44" s="424"/>
      <c r="D44" s="424"/>
    </row>
  </sheetData>
  <mergeCells count="24">
    <mergeCell ref="L6:M6"/>
    <mergeCell ref="N6:N7"/>
    <mergeCell ref="B6:B7"/>
    <mergeCell ref="C6:D6"/>
    <mergeCell ref="E6:E7"/>
    <mergeCell ref="F6:G6"/>
    <mergeCell ref="H6:H7"/>
    <mergeCell ref="I6:J6"/>
    <mergeCell ref="B3:N3"/>
    <mergeCell ref="B40:D44"/>
    <mergeCell ref="B38:H38"/>
    <mergeCell ref="L27:M27"/>
    <mergeCell ref="N27:N28"/>
    <mergeCell ref="B27:H28"/>
    <mergeCell ref="B29:H29"/>
    <mergeCell ref="I27:J27"/>
    <mergeCell ref="K27:K28"/>
    <mergeCell ref="B4:N4"/>
    <mergeCell ref="B36:H37"/>
    <mergeCell ref="I36:J36"/>
    <mergeCell ref="K36:K37"/>
    <mergeCell ref="L36:M36"/>
    <mergeCell ref="N36:N37"/>
    <mergeCell ref="K6:K7"/>
  </mergeCells>
  <pageMargins left="0.70866141732283472" right="0.70866141732283472" top="0.94488188976377963" bottom="0.35433070866141736" header="0.31496062992125984" footer="0.31496062992125984"/>
  <pageSetup paperSize="9" scale="75" orientation="landscape"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E5E13-305E-413E-85EE-E1F826F55992}">
  <dimension ref="B1:Z50"/>
  <sheetViews>
    <sheetView zoomScale="80" zoomScaleNormal="80" workbookViewId="0">
      <selection activeCell="T39" sqref="T39"/>
    </sheetView>
  </sheetViews>
  <sheetFormatPr defaultRowHeight="12.75" x14ac:dyDescent="0.2"/>
  <cols>
    <col min="1" max="1" width="3" style="193" customWidth="1"/>
    <col min="2" max="2" width="19" style="193" customWidth="1"/>
    <col min="3" max="4" width="14.28515625" style="193" customWidth="1"/>
    <col min="5" max="5" width="9.5703125" style="193" customWidth="1"/>
    <col min="6" max="6" width="10.7109375" style="193" customWidth="1"/>
    <col min="7" max="7" width="9.5703125" style="193" customWidth="1"/>
    <col min="8" max="10" width="11.42578125" style="193" customWidth="1"/>
    <col min="11" max="18" width="9.5703125" style="193" customWidth="1"/>
    <col min="19" max="19" width="12.85546875" style="193" customWidth="1"/>
    <col min="20" max="21" width="9.5703125" style="193" customWidth="1"/>
    <col min="22" max="22" width="12.5703125" style="193" customWidth="1"/>
    <col min="23" max="23" width="12.42578125" style="196" customWidth="1"/>
    <col min="24" max="256" width="9.140625" style="193"/>
    <col min="257" max="257" width="3" style="193" customWidth="1"/>
    <col min="258" max="258" width="19" style="193" customWidth="1"/>
    <col min="259" max="278" width="9.5703125" style="193" customWidth="1"/>
    <col min="279" max="279" width="12.42578125" style="193" customWidth="1"/>
    <col min="280" max="512" width="9.140625" style="193"/>
    <col min="513" max="513" width="3" style="193" customWidth="1"/>
    <col min="514" max="514" width="19" style="193" customWidth="1"/>
    <col min="515" max="534" width="9.5703125" style="193" customWidth="1"/>
    <col min="535" max="535" width="12.42578125" style="193" customWidth="1"/>
    <col min="536" max="768" width="9.140625" style="193"/>
    <col min="769" max="769" width="3" style="193" customWidth="1"/>
    <col min="770" max="770" width="19" style="193" customWidth="1"/>
    <col min="771" max="790" width="9.5703125" style="193" customWidth="1"/>
    <col min="791" max="791" width="12.42578125" style="193" customWidth="1"/>
    <col min="792" max="1024" width="9.140625" style="193"/>
    <col min="1025" max="1025" width="3" style="193" customWidth="1"/>
    <col min="1026" max="1026" width="19" style="193" customWidth="1"/>
    <col min="1027" max="1046" width="9.5703125" style="193" customWidth="1"/>
    <col min="1047" max="1047" width="12.42578125" style="193" customWidth="1"/>
    <col min="1048" max="1280" width="9.140625" style="193"/>
    <col min="1281" max="1281" width="3" style="193" customWidth="1"/>
    <col min="1282" max="1282" width="19" style="193" customWidth="1"/>
    <col min="1283" max="1302" width="9.5703125" style="193" customWidth="1"/>
    <col min="1303" max="1303" width="12.42578125" style="193" customWidth="1"/>
    <col min="1304" max="1536" width="9.140625" style="193"/>
    <col min="1537" max="1537" width="3" style="193" customWidth="1"/>
    <col min="1538" max="1538" width="19" style="193" customWidth="1"/>
    <col min="1539" max="1558" width="9.5703125" style="193" customWidth="1"/>
    <col min="1559" max="1559" width="12.42578125" style="193" customWidth="1"/>
    <col min="1560" max="1792" width="9.140625" style="193"/>
    <col min="1793" max="1793" width="3" style="193" customWidth="1"/>
    <col min="1794" max="1794" width="19" style="193" customWidth="1"/>
    <col min="1795" max="1814" width="9.5703125" style="193" customWidth="1"/>
    <col min="1815" max="1815" width="12.42578125" style="193" customWidth="1"/>
    <col min="1816" max="2048" width="9.140625" style="193"/>
    <col min="2049" max="2049" width="3" style="193" customWidth="1"/>
    <col min="2050" max="2050" width="19" style="193" customWidth="1"/>
    <col min="2051" max="2070" width="9.5703125" style="193" customWidth="1"/>
    <col min="2071" max="2071" width="12.42578125" style="193" customWidth="1"/>
    <col min="2072" max="2304" width="9.140625" style="193"/>
    <col min="2305" max="2305" width="3" style="193" customWidth="1"/>
    <col min="2306" max="2306" width="19" style="193" customWidth="1"/>
    <col min="2307" max="2326" width="9.5703125" style="193" customWidth="1"/>
    <col min="2327" max="2327" width="12.42578125" style="193" customWidth="1"/>
    <col min="2328" max="2560" width="9.140625" style="193"/>
    <col min="2561" max="2561" width="3" style="193" customWidth="1"/>
    <col min="2562" max="2562" width="19" style="193" customWidth="1"/>
    <col min="2563" max="2582" width="9.5703125" style="193" customWidth="1"/>
    <col min="2583" max="2583" width="12.42578125" style="193" customWidth="1"/>
    <col min="2584" max="2816" width="9.140625" style="193"/>
    <col min="2817" max="2817" width="3" style="193" customWidth="1"/>
    <col min="2818" max="2818" width="19" style="193" customWidth="1"/>
    <col min="2819" max="2838" width="9.5703125" style="193" customWidth="1"/>
    <col min="2839" max="2839" width="12.42578125" style="193" customWidth="1"/>
    <col min="2840" max="3072" width="9.140625" style="193"/>
    <col min="3073" max="3073" width="3" style="193" customWidth="1"/>
    <col min="3074" max="3074" width="19" style="193" customWidth="1"/>
    <col min="3075" max="3094" width="9.5703125" style="193" customWidth="1"/>
    <col min="3095" max="3095" width="12.42578125" style="193" customWidth="1"/>
    <col min="3096" max="3328" width="9.140625" style="193"/>
    <col min="3329" max="3329" width="3" style="193" customWidth="1"/>
    <col min="3330" max="3330" width="19" style="193" customWidth="1"/>
    <col min="3331" max="3350" width="9.5703125" style="193" customWidth="1"/>
    <col min="3351" max="3351" width="12.42578125" style="193" customWidth="1"/>
    <col min="3352" max="3584" width="9.140625" style="193"/>
    <col min="3585" max="3585" width="3" style="193" customWidth="1"/>
    <col min="3586" max="3586" width="19" style="193" customWidth="1"/>
    <col min="3587" max="3606" width="9.5703125" style="193" customWidth="1"/>
    <col min="3607" max="3607" width="12.42578125" style="193" customWidth="1"/>
    <col min="3608" max="3840" width="9.140625" style="193"/>
    <col min="3841" max="3841" width="3" style="193" customWidth="1"/>
    <col min="3842" max="3842" width="19" style="193" customWidth="1"/>
    <col min="3843" max="3862" width="9.5703125" style="193" customWidth="1"/>
    <col min="3863" max="3863" width="12.42578125" style="193" customWidth="1"/>
    <col min="3864" max="4096" width="9.140625" style="193"/>
    <col min="4097" max="4097" width="3" style="193" customWidth="1"/>
    <col min="4098" max="4098" width="19" style="193" customWidth="1"/>
    <col min="4099" max="4118" width="9.5703125" style="193" customWidth="1"/>
    <col min="4119" max="4119" width="12.42578125" style="193" customWidth="1"/>
    <col min="4120" max="4352" width="9.140625" style="193"/>
    <col min="4353" max="4353" width="3" style="193" customWidth="1"/>
    <col min="4354" max="4354" width="19" style="193" customWidth="1"/>
    <col min="4355" max="4374" width="9.5703125" style="193" customWidth="1"/>
    <col min="4375" max="4375" width="12.42578125" style="193" customWidth="1"/>
    <col min="4376" max="4608" width="9.140625" style="193"/>
    <col min="4609" max="4609" width="3" style="193" customWidth="1"/>
    <col min="4610" max="4610" width="19" style="193" customWidth="1"/>
    <col min="4611" max="4630" width="9.5703125" style="193" customWidth="1"/>
    <col min="4631" max="4631" width="12.42578125" style="193" customWidth="1"/>
    <col min="4632" max="4864" width="9.140625" style="193"/>
    <col min="4865" max="4865" width="3" style="193" customWidth="1"/>
    <col min="4866" max="4866" width="19" style="193" customWidth="1"/>
    <col min="4867" max="4886" width="9.5703125" style="193" customWidth="1"/>
    <col min="4887" max="4887" width="12.42578125" style="193" customWidth="1"/>
    <col min="4888" max="5120" width="9.140625" style="193"/>
    <col min="5121" max="5121" width="3" style="193" customWidth="1"/>
    <col min="5122" max="5122" width="19" style="193" customWidth="1"/>
    <col min="5123" max="5142" width="9.5703125" style="193" customWidth="1"/>
    <col min="5143" max="5143" width="12.42578125" style="193" customWidth="1"/>
    <col min="5144" max="5376" width="9.140625" style="193"/>
    <col min="5377" max="5377" width="3" style="193" customWidth="1"/>
    <col min="5378" max="5378" width="19" style="193" customWidth="1"/>
    <col min="5379" max="5398" width="9.5703125" style="193" customWidth="1"/>
    <col min="5399" max="5399" width="12.42578125" style="193" customWidth="1"/>
    <col min="5400" max="5632" width="9.140625" style="193"/>
    <col min="5633" max="5633" width="3" style="193" customWidth="1"/>
    <col min="5634" max="5634" width="19" style="193" customWidth="1"/>
    <col min="5635" max="5654" width="9.5703125" style="193" customWidth="1"/>
    <col min="5655" max="5655" width="12.42578125" style="193" customWidth="1"/>
    <col min="5656" max="5888" width="9.140625" style="193"/>
    <col min="5889" max="5889" width="3" style="193" customWidth="1"/>
    <col min="5890" max="5890" width="19" style="193" customWidth="1"/>
    <col min="5891" max="5910" width="9.5703125" style="193" customWidth="1"/>
    <col min="5911" max="5911" width="12.42578125" style="193" customWidth="1"/>
    <col min="5912" max="6144" width="9.140625" style="193"/>
    <col min="6145" max="6145" width="3" style="193" customWidth="1"/>
    <col min="6146" max="6146" width="19" style="193" customWidth="1"/>
    <col min="6147" max="6166" width="9.5703125" style="193" customWidth="1"/>
    <col min="6167" max="6167" width="12.42578125" style="193" customWidth="1"/>
    <col min="6168" max="6400" width="9.140625" style="193"/>
    <col min="6401" max="6401" width="3" style="193" customWidth="1"/>
    <col min="6402" max="6402" width="19" style="193" customWidth="1"/>
    <col min="6403" max="6422" width="9.5703125" style="193" customWidth="1"/>
    <col min="6423" max="6423" width="12.42578125" style="193" customWidth="1"/>
    <col min="6424" max="6656" width="9.140625" style="193"/>
    <col min="6657" max="6657" width="3" style="193" customWidth="1"/>
    <col min="6658" max="6658" width="19" style="193" customWidth="1"/>
    <col min="6659" max="6678" width="9.5703125" style="193" customWidth="1"/>
    <col min="6679" max="6679" width="12.42578125" style="193" customWidth="1"/>
    <col min="6680" max="6912" width="9.140625" style="193"/>
    <col min="6913" max="6913" width="3" style="193" customWidth="1"/>
    <col min="6914" max="6914" width="19" style="193" customWidth="1"/>
    <col min="6915" max="6934" width="9.5703125" style="193" customWidth="1"/>
    <col min="6935" max="6935" width="12.42578125" style="193" customWidth="1"/>
    <col min="6936" max="7168" width="9.140625" style="193"/>
    <col min="7169" max="7169" width="3" style="193" customWidth="1"/>
    <col min="7170" max="7170" width="19" style="193" customWidth="1"/>
    <col min="7171" max="7190" width="9.5703125" style="193" customWidth="1"/>
    <col min="7191" max="7191" width="12.42578125" style="193" customWidth="1"/>
    <col min="7192" max="7424" width="9.140625" style="193"/>
    <col min="7425" max="7425" width="3" style="193" customWidth="1"/>
    <col min="7426" max="7426" width="19" style="193" customWidth="1"/>
    <col min="7427" max="7446" width="9.5703125" style="193" customWidth="1"/>
    <col min="7447" max="7447" width="12.42578125" style="193" customWidth="1"/>
    <col min="7448" max="7680" width="9.140625" style="193"/>
    <col min="7681" max="7681" width="3" style="193" customWidth="1"/>
    <col min="7682" max="7682" width="19" style="193" customWidth="1"/>
    <col min="7683" max="7702" width="9.5703125" style="193" customWidth="1"/>
    <col min="7703" max="7703" width="12.42578125" style="193" customWidth="1"/>
    <col min="7704" max="7936" width="9.140625" style="193"/>
    <col min="7937" max="7937" width="3" style="193" customWidth="1"/>
    <col min="7938" max="7938" width="19" style="193" customWidth="1"/>
    <col min="7939" max="7958" width="9.5703125" style="193" customWidth="1"/>
    <col min="7959" max="7959" width="12.42578125" style="193" customWidth="1"/>
    <col min="7960" max="8192" width="9.140625" style="193"/>
    <col min="8193" max="8193" width="3" style="193" customWidth="1"/>
    <col min="8194" max="8194" width="19" style="193" customWidth="1"/>
    <col min="8195" max="8214" width="9.5703125" style="193" customWidth="1"/>
    <col min="8215" max="8215" width="12.42578125" style="193" customWidth="1"/>
    <col min="8216" max="8448" width="9.140625" style="193"/>
    <col min="8449" max="8449" width="3" style="193" customWidth="1"/>
    <col min="8450" max="8450" width="19" style="193" customWidth="1"/>
    <col min="8451" max="8470" width="9.5703125" style="193" customWidth="1"/>
    <col min="8471" max="8471" width="12.42578125" style="193" customWidth="1"/>
    <col min="8472" max="8704" width="9.140625" style="193"/>
    <col min="8705" max="8705" width="3" style="193" customWidth="1"/>
    <col min="8706" max="8706" width="19" style="193" customWidth="1"/>
    <col min="8707" max="8726" width="9.5703125" style="193" customWidth="1"/>
    <col min="8727" max="8727" width="12.42578125" style="193" customWidth="1"/>
    <col min="8728" max="8960" width="9.140625" style="193"/>
    <col min="8961" max="8961" width="3" style="193" customWidth="1"/>
    <col min="8962" max="8962" width="19" style="193" customWidth="1"/>
    <col min="8963" max="8982" width="9.5703125" style="193" customWidth="1"/>
    <col min="8983" max="8983" width="12.42578125" style="193" customWidth="1"/>
    <col min="8984" max="9216" width="9.140625" style="193"/>
    <col min="9217" max="9217" width="3" style="193" customWidth="1"/>
    <col min="9218" max="9218" width="19" style="193" customWidth="1"/>
    <col min="9219" max="9238" width="9.5703125" style="193" customWidth="1"/>
    <col min="9239" max="9239" width="12.42578125" style="193" customWidth="1"/>
    <col min="9240" max="9472" width="9.140625" style="193"/>
    <col min="9473" max="9473" width="3" style="193" customWidth="1"/>
    <col min="9474" max="9474" width="19" style="193" customWidth="1"/>
    <col min="9475" max="9494" width="9.5703125" style="193" customWidth="1"/>
    <col min="9495" max="9495" width="12.42578125" style="193" customWidth="1"/>
    <col min="9496" max="9728" width="9.140625" style="193"/>
    <col min="9729" max="9729" width="3" style="193" customWidth="1"/>
    <col min="9730" max="9730" width="19" style="193" customWidth="1"/>
    <col min="9731" max="9750" width="9.5703125" style="193" customWidth="1"/>
    <col min="9751" max="9751" width="12.42578125" style="193" customWidth="1"/>
    <col min="9752" max="9984" width="9.140625" style="193"/>
    <col min="9985" max="9985" width="3" style="193" customWidth="1"/>
    <col min="9986" max="9986" width="19" style="193" customWidth="1"/>
    <col min="9987" max="10006" width="9.5703125" style="193" customWidth="1"/>
    <col min="10007" max="10007" width="12.42578125" style="193" customWidth="1"/>
    <col min="10008" max="10240" width="9.140625" style="193"/>
    <col min="10241" max="10241" width="3" style="193" customWidth="1"/>
    <col min="10242" max="10242" width="19" style="193" customWidth="1"/>
    <col min="10243" max="10262" width="9.5703125" style="193" customWidth="1"/>
    <col min="10263" max="10263" width="12.42578125" style="193" customWidth="1"/>
    <col min="10264" max="10496" width="9.140625" style="193"/>
    <col min="10497" max="10497" width="3" style="193" customWidth="1"/>
    <col min="10498" max="10498" width="19" style="193" customWidth="1"/>
    <col min="10499" max="10518" width="9.5703125" style="193" customWidth="1"/>
    <col min="10519" max="10519" width="12.42578125" style="193" customWidth="1"/>
    <col min="10520" max="10752" width="9.140625" style="193"/>
    <col min="10753" max="10753" width="3" style="193" customWidth="1"/>
    <col min="10754" max="10754" width="19" style="193" customWidth="1"/>
    <col min="10755" max="10774" width="9.5703125" style="193" customWidth="1"/>
    <col min="10775" max="10775" width="12.42578125" style="193" customWidth="1"/>
    <col min="10776" max="11008" width="9.140625" style="193"/>
    <col min="11009" max="11009" width="3" style="193" customWidth="1"/>
    <col min="11010" max="11010" width="19" style="193" customWidth="1"/>
    <col min="11011" max="11030" width="9.5703125" style="193" customWidth="1"/>
    <col min="11031" max="11031" width="12.42578125" style="193" customWidth="1"/>
    <col min="11032" max="11264" width="9.140625" style="193"/>
    <col min="11265" max="11265" width="3" style="193" customWidth="1"/>
    <col min="11266" max="11266" width="19" style="193" customWidth="1"/>
    <col min="11267" max="11286" width="9.5703125" style="193" customWidth="1"/>
    <col min="11287" max="11287" width="12.42578125" style="193" customWidth="1"/>
    <col min="11288" max="11520" width="9.140625" style="193"/>
    <col min="11521" max="11521" width="3" style="193" customWidth="1"/>
    <col min="11522" max="11522" width="19" style="193" customWidth="1"/>
    <col min="11523" max="11542" width="9.5703125" style="193" customWidth="1"/>
    <col min="11543" max="11543" width="12.42578125" style="193" customWidth="1"/>
    <col min="11544" max="11776" width="9.140625" style="193"/>
    <col min="11777" max="11777" width="3" style="193" customWidth="1"/>
    <col min="11778" max="11778" width="19" style="193" customWidth="1"/>
    <col min="11779" max="11798" width="9.5703125" style="193" customWidth="1"/>
    <col min="11799" max="11799" width="12.42578125" style="193" customWidth="1"/>
    <col min="11800" max="12032" width="9.140625" style="193"/>
    <col min="12033" max="12033" width="3" style="193" customWidth="1"/>
    <col min="12034" max="12034" width="19" style="193" customWidth="1"/>
    <col min="12035" max="12054" width="9.5703125" style="193" customWidth="1"/>
    <col min="12055" max="12055" width="12.42578125" style="193" customWidth="1"/>
    <col min="12056" max="12288" width="9.140625" style="193"/>
    <col min="12289" max="12289" width="3" style="193" customWidth="1"/>
    <col min="12290" max="12290" width="19" style="193" customWidth="1"/>
    <col min="12291" max="12310" width="9.5703125" style="193" customWidth="1"/>
    <col min="12311" max="12311" width="12.42578125" style="193" customWidth="1"/>
    <col min="12312" max="12544" width="9.140625" style="193"/>
    <col min="12545" max="12545" width="3" style="193" customWidth="1"/>
    <col min="12546" max="12546" width="19" style="193" customWidth="1"/>
    <col min="12547" max="12566" width="9.5703125" style="193" customWidth="1"/>
    <col min="12567" max="12567" width="12.42578125" style="193" customWidth="1"/>
    <col min="12568" max="12800" width="9.140625" style="193"/>
    <col min="12801" max="12801" width="3" style="193" customWidth="1"/>
    <col min="12802" max="12802" width="19" style="193" customWidth="1"/>
    <col min="12803" max="12822" width="9.5703125" style="193" customWidth="1"/>
    <col min="12823" max="12823" width="12.42578125" style="193" customWidth="1"/>
    <col min="12824" max="13056" width="9.140625" style="193"/>
    <col min="13057" max="13057" width="3" style="193" customWidth="1"/>
    <col min="13058" max="13058" width="19" style="193" customWidth="1"/>
    <col min="13059" max="13078" width="9.5703125" style="193" customWidth="1"/>
    <col min="13079" max="13079" width="12.42578125" style="193" customWidth="1"/>
    <col min="13080" max="13312" width="9.140625" style="193"/>
    <col min="13313" max="13313" width="3" style="193" customWidth="1"/>
    <col min="13314" max="13314" width="19" style="193" customWidth="1"/>
    <col min="13315" max="13334" width="9.5703125" style="193" customWidth="1"/>
    <col min="13335" max="13335" width="12.42578125" style="193" customWidth="1"/>
    <col min="13336" max="13568" width="9.140625" style="193"/>
    <col min="13569" max="13569" width="3" style="193" customWidth="1"/>
    <col min="13570" max="13570" width="19" style="193" customWidth="1"/>
    <col min="13571" max="13590" width="9.5703125" style="193" customWidth="1"/>
    <col min="13591" max="13591" width="12.42578125" style="193" customWidth="1"/>
    <col min="13592" max="13824" width="9.140625" style="193"/>
    <col min="13825" max="13825" width="3" style="193" customWidth="1"/>
    <col min="13826" max="13826" width="19" style="193" customWidth="1"/>
    <col min="13827" max="13846" width="9.5703125" style="193" customWidth="1"/>
    <col min="13847" max="13847" width="12.42578125" style="193" customWidth="1"/>
    <col min="13848" max="14080" width="9.140625" style="193"/>
    <col min="14081" max="14081" width="3" style="193" customWidth="1"/>
    <col min="14082" max="14082" width="19" style="193" customWidth="1"/>
    <col min="14083" max="14102" width="9.5703125" style="193" customWidth="1"/>
    <col min="14103" max="14103" width="12.42578125" style="193" customWidth="1"/>
    <col min="14104" max="14336" width="9.140625" style="193"/>
    <col min="14337" max="14337" width="3" style="193" customWidth="1"/>
    <col min="14338" max="14338" width="19" style="193" customWidth="1"/>
    <col min="14339" max="14358" width="9.5703125" style="193" customWidth="1"/>
    <col min="14359" max="14359" width="12.42578125" style="193" customWidth="1"/>
    <col min="14360" max="14592" width="9.140625" style="193"/>
    <col min="14593" max="14593" width="3" style="193" customWidth="1"/>
    <col min="14594" max="14594" width="19" style="193" customWidth="1"/>
    <col min="14595" max="14614" width="9.5703125" style="193" customWidth="1"/>
    <col min="14615" max="14615" width="12.42578125" style="193" customWidth="1"/>
    <col min="14616" max="14848" width="9.140625" style="193"/>
    <col min="14849" max="14849" width="3" style="193" customWidth="1"/>
    <col min="14850" max="14850" width="19" style="193" customWidth="1"/>
    <col min="14851" max="14870" width="9.5703125" style="193" customWidth="1"/>
    <col min="14871" max="14871" width="12.42578125" style="193" customWidth="1"/>
    <col min="14872" max="15104" width="9.140625" style="193"/>
    <col min="15105" max="15105" width="3" style="193" customWidth="1"/>
    <col min="15106" max="15106" width="19" style="193" customWidth="1"/>
    <col min="15107" max="15126" width="9.5703125" style="193" customWidth="1"/>
    <col min="15127" max="15127" width="12.42578125" style="193" customWidth="1"/>
    <col min="15128" max="15360" width="9.140625" style="193"/>
    <col min="15361" max="15361" width="3" style="193" customWidth="1"/>
    <col min="15362" max="15362" width="19" style="193" customWidth="1"/>
    <col min="15363" max="15382" width="9.5703125" style="193" customWidth="1"/>
    <col min="15383" max="15383" width="12.42578125" style="193" customWidth="1"/>
    <col min="15384" max="15616" width="9.140625" style="193"/>
    <col min="15617" max="15617" width="3" style="193" customWidth="1"/>
    <col min="15618" max="15618" width="19" style="193" customWidth="1"/>
    <col min="15619" max="15638" width="9.5703125" style="193" customWidth="1"/>
    <col min="15639" max="15639" width="12.42578125" style="193" customWidth="1"/>
    <col min="15640" max="15872" width="9.140625" style="193"/>
    <col min="15873" max="15873" width="3" style="193" customWidth="1"/>
    <col min="15874" max="15874" width="19" style="193" customWidth="1"/>
    <col min="15875" max="15894" width="9.5703125" style="193" customWidth="1"/>
    <col min="15895" max="15895" width="12.42578125" style="193" customWidth="1"/>
    <col min="15896" max="16128" width="9.140625" style="193"/>
    <col min="16129" max="16129" width="3" style="193" customWidth="1"/>
    <col min="16130" max="16130" width="19" style="193" customWidth="1"/>
    <col min="16131" max="16150" width="9.5703125" style="193" customWidth="1"/>
    <col min="16151" max="16151" width="12.42578125" style="193" customWidth="1"/>
    <col min="16152" max="16384" width="9.140625" style="193"/>
  </cols>
  <sheetData>
    <row r="1" spans="2:26" ht="31.9" customHeight="1" x14ac:dyDescent="0.2">
      <c r="B1" s="446" t="s">
        <v>307</v>
      </c>
      <c r="C1" s="446"/>
      <c r="D1" s="446"/>
      <c r="E1" s="446"/>
      <c r="F1" s="446"/>
      <c r="G1" s="446"/>
      <c r="H1" s="446"/>
      <c r="I1" s="446"/>
      <c r="J1" s="446"/>
      <c r="K1" s="446"/>
      <c r="L1" s="446"/>
      <c r="M1" s="446"/>
      <c r="N1" s="446"/>
      <c r="O1" s="446"/>
      <c r="P1" s="446"/>
      <c r="Q1" s="446"/>
      <c r="R1" s="446"/>
      <c r="S1" s="446"/>
      <c r="T1" s="446"/>
      <c r="U1" s="446"/>
      <c r="V1" s="446"/>
    </row>
    <row r="2" spans="2:26" s="36" customFormat="1" ht="25.5" customHeight="1" x14ac:dyDescent="0.2">
      <c r="B2" s="537" t="s">
        <v>238</v>
      </c>
      <c r="C2" s="538" t="s">
        <v>239</v>
      </c>
      <c r="D2" s="539"/>
      <c r="E2" s="539"/>
      <c r="F2" s="540"/>
      <c r="G2" s="541" t="s">
        <v>240</v>
      </c>
      <c r="H2" s="542"/>
      <c r="I2" s="542"/>
      <c r="J2" s="543"/>
      <c r="K2" s="538" t="s">
        <v>241</v>
      </c>
      <c r="L2" s="539"/>
      <c r="M2" s="539"/>
      <c r="N2" s="540"/>
      <c r="O2" s="532" t="s">
        <v>242</v>
      </c>
      <c r="P2" s="532" t="s">
        <v>300</v>
      </c>
      <c r="Q2" s="532" t="s">
        <v>243</v>
      </c>
      <c r="R2" s="534" t="s">
        <v>301</v>
      </c>
      <c r="S2" s="532" t="s">
        <v>244</v>
      </c>
      <c r="T2" s="532" t="s">
        <v>56</v>
      </c>
      <c r="U2" s="532" t="s">
        <v>245</v>
      </c>
      <c r="V2" s="534" t="s">
        <v>246</v>
      </c>
      <c r="W2" s="239"/>
    </row>
    <row r="3" spans="2:26" s="36" customFormat="1" ht="64.150000000000006" customHeight="1" x14ac:dyDescent="0.2">
      <c r="B3" s="537"/>
      <c r="C3" s="34" t="s">
        <v>247</v>
      </c>
      <c r="D3" s="34" t="s">
        <v>248</v>
      </c>
      <c r="E3" s="34" t="s">
        <v>249</v>
      </c>
      <c r="F3" s="390" t="s">
        <v>250</v>
      </c>
      <c r="G3" s="246" t="s">
        <v>247</v>
      </c>
      <c r="H3" s="246" t="s">
        <v>248</v>
      </c>
      <c r="I3" s="246" t="s">
        <v>249</v>
      </c>
      <c r="J3" s="247" t="s">
        <v>250</v>
      </c>
      <c r="K3" s="248" t="s">
        <v>247</v>
      </c>
      <c r="L3" s="248" t="s">
        <v>248</v>
      </c>
      <c r="M3" s="248" t="s">
        <v>249</v>
      </c>
      <c r="N3" s="390" t="s">
        <v>251</v>
      </c>
      <c r="O3" s="533"/>
      <c r="P3" s="533"/>
      <c r="Q3" s="533"/>
      <c r="R3" s="535"/>
      <c r="S3" s="533"/>
      <c r="T3" s="533"/>
      <c r="U3" s="533"/>
      <c r="V3" s="535"/>
      <c r="W3" s="239"/>
    </row>
    <row r="4" spans="2:26" s="36" customFormat="1" ht="21" customHeight="1" x14ac:dyDescent="0.2">
      <c r="B4" s="537"/>
      <c r="C4" s="249">
        <v>1</v>
      </c>
      <c r="D4" s="249">
        <v>2</v>
      </c>
      <c r="E4" s="250">
        <v>3</v>
      </c>
      <c r="F4" s="250" t="s">
        <v>252</v>
      </c>
      <c r="G4" s="251">
        <v>5</v>
      </c>
      <c r="H4" s="251">
        <v>6</v>
      </c>
      <c r="I4" s="251">
        <v>7</v>
      </c>
      <c r="J4" s="251" t="s">
        <v>253</v>
      </c>
      <c r="K4" s="250">
        <v>9</v>
      </c>
      <c r="L4" s="250">
        <v>10</v>
      </c>
      <c r="M4" s="250">
        <v>11</v>
      </c>
      <c r="N4" s="252" t="s">
        <v>254</v>
      </c>
      <c r="O4" s="250">
        <v>13</v>
      </c>
      <c r="P4" s="250">
        <v>14</v>
      </c>
      <c r="Q4" s="250" t="s">
        <v>255</v>
      </c>
      <c r="R4" s="252">
        <v>16</v>
      </c>
      <c r="S4" s="250" t="s">
        <v>256</v>
      </c>
      <c r="T4" s="250">
        <v>18</v>
      </c>
      <c r="U4" s="250" t="s">
        <v>257</v>
      </c>
      <c r="V4" s="252" t="s">
        <v>258</v>
      </c>
      <c r="W4" s="239"/>
      <c r="Z4" s="196"/>
    </row>
    <row r="5" spans="2:26" s="36" customFormat="1" ht="16.5" customHeight="1" x14ac:dyDescent="0.2">
      <c r="B5" s="35" t="s">
        <v>259</v>
      </c>
      <c r="C5" s="253">
        <v>958</v>
      </c>
      <c r="D5" s="253">
        <v>4712</v>
      </c>
      <c r="E5" s="253">
        <v>4403</v>
      </c>
      <c r="F5" s="254">
        <f>C5+D5+E5</f>
        <v>10073</v>
      </c>
      <c r="G5" s="255">
        <v>837.83333333333337</v>
      </c>
      <c r="H5" s="255">
        <v>3660.8333333333335</v>
      </c>
      <c r="I5" s="255">
        <v>3667.6666666666665</v>
      </c>
      <c r="J5" s="256">
        <f>G5+H5+I5</f>
        <v>8166.3333333333339</v>
      </c>
      <c r="K5" s="257">
        <f>610976.5/G5/12</f>
        <v>60.769494728466277</v>
      </c>
      <c r="L5" s="257">
        <f>2038496.69/H5/12</f>
        <v>46.403293648987024</v>
      </c>
      <c r="M5" s="257">
        <f>1777837.64/I5/12</f>
        <v>40.3943842588385</v>
      </c>
      <c r="N5" s="258">
        <f>4427310.83/J5/12</f>
        <v>45.1784851422507</v>
      </c>
      <c r="O5" s="253">
        <f>(K5*G5*12)+(L5*12*H5)+(M5*I5*12)</f>
        <v>4427310.83</v>
      </c>
      <c r="P5" s="259">
        <v>3.2411592382212597</v>
      </c>
      <c r="Q5" s="260">
        <f>R5*100/P5</f>
        <v>96.107249037955697</v>
      </c>
      <c r="R5" s="261">
        <f>S5/O5</f>
        <v>3.1149889807940139</v>
      </c>
      <c r="S5" s="262">
        <v>13791024.449999999</v>
      </c>
      <c r="T5" s="263">
        <v>401579.17</v>
      </c>
      <c r="U5" s="262">
        <v>1135408.4000000001</v>
      </c>
      <c r="V5" s="264">
        <f>S5+T5+U5</f>
        <v>15328012.02</v>
      </c>
      <c r="W5" s="239"/>
    </row>
    <row r="6" spans="2:26" s="36" customFormat="1" ht="16.5" customHeight="1" x14ac:dyDescent="0.2">
      <c r="B6" s="35" t="s">
        <v>260</v>
      </c>
      <c r="C6" s="253">
        <v>1001</v>
      </c>
      <c r="D6" s="253">
        <v>4969</v>
      </c>
      <c r="E6" s="253">
        <v>4652</v>
      </c>
      <c r="F6" s="254">
        <f t="shared" ref="F6:F11" si="0">C6+D6+E6</f>
        <v>10622</v>
      </c>
      <c r="G6" s="255">
        <v>877.58333333333337</v>
      </c>
      <c r="H6" s="255">
        <v>3845.75</v>
      </c>
      <c r="I6" s="255">
        <v>3911.8333333333335</v>
      </c>
      <c r="J6" s="256">
        <f t="shared" ref="J6:J11" si="1">G6+H6+I6</f>
        <v>8635.1666666666661</v>
      </c>
      <c r="K6" s="257">
        <f>648912.53/G6/12</f>
        <v>61.619269774950148</v>
      </c>
      <c r="L6" s="257">
        <f>2149103.11/H6/12</f>
        <v>46.568790439662827</v>
      </c>
      <c r="M6" s="257">
        <f>1954915.98/I6/12</f>
        <v>41.645349154275486</v>
      </c>
      <c r="N6" s="258">
        <f>4752931.62/J6/12</f>
        <v>45.867978035552305</v>
      </c>
      <c r="O6" s="253">
        <f>(K6*G6*12)+(L6*12*H6)+(M6*I6*12)</f>
        <v>4752931.6199999992</v>
      </c>
      <c r="P6" s="259">
        <v>3.2271476157885419</v>
      </c>
      <c r="Q6" s="260">
        <f>R6*100/P6</f>
        <v>96.322173589457691</v>
      </c>
      <c r="R6" s="261">
        <f>S6/O6</f>
        <v>3.1084587284678844</v>
      </c>
      <c r="S6" s="262">
        <v>14774291.779999999</v>
      </c>
      <c r="T6" s="263">
        <v>469239.67</v>
      </c>
      <c r="U6" s="262">
        <v>1219165.3799999999</v>
      </c>
      <c r="V6" s="264">
        <f>S6+T6+U6</f>
        <v>16462696.829999998</v>
      </c>
      <c r="W6" s="239"/>
      <c r="X6" s="239"/>
    </row>
    <row r="7" spans="2:26" s="265" customFormat="1" ht="16.5" customHeight="1" x14ac:dyDescent="0.2">
      <c r="B7" s="266" t="s">
        <v>261</v>
      </c>
      <c r="C7" s="267">
        <f t="shared" ref="C7:N7" si="2">(C6*100/C5)-100</f>
        <v>4.4885177453027154</v>
      </c>
      <c r="D7" s="267">
        <f t="shared" si="2"/>
        <v>5.4541595925297059</v>
      </c>
      <c r="E7" s="267">
        <f t="shared" si="2"/>
        <v>5.6552350669997793</v>
      </c>
      <c r="F7" s="267">
        <f t="shared" si="2"/>
        <v>5.4502134418743111</v>
      </c>
      <c r="G7" s="267">
        <f t="shared" si="2"/>
        <v>4.744380346130896</v>
      </c>
      <c r="H7" s="267">
        <f t="shared" si="2"/>
        <v>5.0512178465740902</v>
      </c>
      <c r="I7" s="267">
        <f t="shared" si="2"/>
        <v>6.6572752885576847</v>
      </c>
      <c r="J7" s="267">
        <f t="shared" si="2"/>
        <v>5.7410506551287739</v>
      </c>
      <c r="K7" s="267">
        <f t="shared" si="2"/>
        <v>1.3983579265894548</v>
      </c>
      <c r="L7" s="267">
        <f t="shared" si="2"/>
        <v>0.35664880154345724</v>
      </c>
      <c r="M7" s="267">
        <f t="shared" si="2"/>
        <v>3.0968782378784852</v>
      </c>
      <c r="N7" s="267">
        <f t="shared" si="2"/>
        <v>1.5261531924557517</v>
      </c>
      <c r="O7" s="268" t="s">
        <v>4</v>
      </c>
      <c r="P7" s="268" t="s">
        <v>4</v>
      </c>
      <c r="Q7" s="269">
        <f>(Q6*100/Q5)-100</f>
        <v>0.22362990685240902</v>
      </c>
      <c r="R7" s="266" t="s">
        <v>4</v>
      </c>
      <c r="S7" s="270" t="s">
        <v>4</v>
      </c>
      <c r="T7" s="271">
        <f>T6*100/T5-100</f>
        <v>16.848607959421798</v>
      </c>
      <c r="U7" s="270" t="s">
        <v>4</v>
      </c>
      <c r="V7" s="270" t="s">
        <v>4</v>
      </c>
      <c r="W7" s="272"/>
    </row>
    <row r="8" spans="2:26" ht="16.5" customHeight="1" thickBot="1" x14ac:dyDescent="0.25">
      <c r="B8" s="273">
        <v>2020</v>
      </c>
      <c r="C8" s="274">
        <f>ROUND((C6*(100+C7))/100,0)</f>
        <v>1046</v>
      </c>
      <c r="D8" s="274">
        <f>ROUND((D6*(100+D7))/100,0)</f>
        <v>5240</v>
      </c>
      <c r="E8" s="274">
        <f>ROUND((E6*(100+E7))/100,0)</f>
        <v>4915</v>
      </c>
      <c r="F8" s="275">
        <f t="shared" si="0"/>
        <v>11201</v>
      </c>
      <c r="G8" s="276">
        <f>ROUND((G6*(100+G7))/100,0)</f>
        <v>919</v>
      </c>
      <c r="H8" s="276">
        <f>ROUND((H6*(100+H7))/100,0)</f>
        <v>4040</v>
      </c>
      <c r="I8" s="276">
        <f>ROUND((I6*(100+I7))/100,0)</f>
        <v>4172</v>
      </c>
      <c r="J8" s="277">
        <f t="shared" si="1"/>
        <v>9131</v>
      </c>
      <c r="K8" s="278">
        <f>ROUND((K6*(100+K7))/100,2)</f>
        <v>62.48</v>
      </c>
      <c r="L8" s="278">
        <f>ROUND((L6*(100+L7))/100,2)</f>
        <v>46.73</v>
      </c>
      <c r="M8" s="278">
        <f>ROUND((M6*(100+M7))/100,2)</f>
        <v>42.94</v>
      </c>
      <c r="N8" s="279">
        <f>ROUND((N6*(100+N7))/100,2)</f>
        <v>46.57</v>
      </c>
      <c r="O8" s="280">
        <f>(K8*G8*12)+(L8*12*H8)+(M8*I8*12)</f>
        <v>5104248</v>
      </c>
      <c r="P8" s="281">
        <v>3.2095361458333325</v>
      </c>
      <c r="Q8" s="282">
        <f>ROUND((Q6*(100+Q7))/100,2)</f>
        <v>96.54</v>
      </c>
      <c r="R8" s="283">
        <f>Q8*P8/100</f>
        <v>3.0984861951874993</v>
      </c>
      <c r="S8" s="284">
        <f>R8*O8</f>
        <v>15815441.964813404</v>
      </c>
      <c r="T8" s="285">
        <f>ROUND((T6*(100+T7))/100,2)</f>
        <v>548300.02</v>
      </c>
      <c r="U8" s="284">
        <f>(S8+T8)*0.08</f>
        <v>1309099.3587850723</v>
      </c>
      <c r="V8" s="286">
        <f>S8+T8+U8</f>
        <v>17672841.343598478</v>
      </c>
      <c r="X8" s="196"/>
    </row>
    <row r="9" spans="2:26" ht="16.5" customHeight="1" thickBot="1" x14ac:dyDescent="0.25">
      <c r="B9" s="287">
        <v>2021</v>
      </c>
      <c r="C9" s="288">
        <f>ROUND((C8*(100+C7))/100,0)</f>
        <v>1093</v>
      </c>
      <c r="D9" s="288">
        <f>ROUND((D8*(100+D7))/100,0)</f>
        <v>5526</v>
      </c>
      <c r="E9" s="288">
        <f>ROUND((E8*(100+E7))/100,0)</f>
        <v>5193</v>
      </c>
      <c r="F9" s="289">
        <f t="shared" si="0"/>
        <v>11812</v>
      </c>
      <c r="G9" s="288">
        <f>ROUND((G8*(100+G7))/100,0)</f>
        <v>963</v>
      </c>
      <c r="H9" s="288">
        <f>ROUND((H8*(100+H7))/100,0)</f>
        <v>4244</v>
      </c>
      <c r="I9" s="288">
        <f>ROUND((I8*(100+I7))/100,0)</f>
        <v>4450</v>
      </c>
      <c r="J9" s="289">
        <f t="shared" si="1"/>
        <v>9657</v>
      </c>
      <c r="K9" s="290">
        <f>ROUND((K8*(100+K7))/100,2)</f>
        <v>63.35</v>
      </c>
      <c r="L9" s="290">
        <f>ROUND((L8*(100+L7))/100,2)</f>
        <v>46.9</v>
      </c>
      <c r="M9" s="290">
        <f>ROUND((M8*(100+M7))/100,2)</f>
        <v>44.27</v>
      </c>
      <c r="N9" s="291">
        <f>ROUND((N8*(100+N7))/100,2)</f>
        <v>47.28</v>
      </c>
      <c r="O9" s="292">
        <f>(K9*G9*12)+(L9*12*H9)+(M9*I9*12)</f>
        <v>5484613.7999999998</v>
      </c>
      <c r="P9" s="293">
        <v>3.1966038541666664</v>
      </c>
      <c r="Q9" s="294">
        <f>ROUND((Q8*(100+Q7))/100,2)</f>
        <v>96.76</v>
      </c>
      <c r="R9" s="346">
        <f>Q9*P9/100</f>
        <v>3.0930338892916667</v>
      </c>
      <c r="S9" s="296">
        <f>R9*O9</f>
        <v>16964096.353076745</v>
      </c>
      <c r="T9" s="297">
        <f>ROUND((T8*(100+T7))/100,2)</f>
        <v>640680.93999999994</v>
      </c>
      <c r="U9" s="296">
        <f>(S9+T9)*0.08</f>
        <v>1408382.1834461398</v>
      </c>
      <c r="V9" s="298">
        <f>S9+T9+U9</f>
        <v>19013159.476522885</v>
      </c>
      <c r="X9" s="196"/>
    </row>
    <row r="10" spans="2:26" ht="16.5" customHeight="1" x14ac:dyDescent="0.2">
      <c r="B10" s="299">
        <v>2022</v>
      </c>
      <c r="C10" s="300">
        <f>ROUND((C9*(100+C7))/100,0)</f>
        <v>1142</v>
      </c>
      <c r="D10" s="300">
        <f>ROUND((D9*(100+D7))/100,0)</f>
        <v>5827</v>
      </c>
      <c r="E10" s="300">
        <f>ROUND((E9*(100+E7))/100,0)</f>
        <v>5487</v>
      </c>
      <c r="F10" s="301">
        <f t="shared" si="0"/>
        <v>12456</v>
      </c>
      <c r="G10" s="302">
        <f>ROUND((G9*(100+G7))/100,0)</f>
        <v>1009</v>
      </c>
      <c r="H10" s="302">
        <f>ROUND((H9*(100+H7))/100,0)</f>
        <v>4458</v>
      </c>
      <c r="I10" s="302">
        <f>ROUND((I9*(100+I7))/100,0)</f>
        <v>4746</v>
      </c>
      <c r="J10" s="303">
        <f t="shared" si="1"/>
        <v>10213</v>
      </c>
      <c r="K10" s="304">
        <f>ROUND((K9*(100+K7))/100,2)</f>
        <v>64.239999999999995</v>
      </c>
      <c r="L10" s="304">
        <f>ROUND((L9*(100+L7))/100,2)</f>
        <v>47.07</v>
      </c>
      <c r="M10" s="304">
        <f>ROUND((M9*(100+M7))/100,2)</f>
        <v>45.64</v>
      </c>
      <c r="N10" s="305">
        <f>ROUND((N9*(100+N7))/100,2)</f>
        <v>48</v>
      </c>
      <c r="O10" s="306">
        <f>(K10*G10*12)+(L10*12*H10)+(M10*I10*12)</f>
        <v>5895163.9199999999</v>
      </c>
      <c r="P10" s="307">
        <f>P9</f>
        <v>3.1966038541666664</v>
      </c>
      <c r="Q10" s="308">
        <f>ROUND((Q9*(100+Q7))/100,2)</f>
        <v>96.98</v>
      </c>
      <c r="R10" s="347">
        <f>Q10*P10/100</f>
        <v>3.100066417770833</v>
      </c>
      <c r="S10" s="310">
        <f>R10*O10</f>
        <v>18275399.69564626</v>
      </c>
      <c r="T10" s="311">
        <f>ROUND((T9*(100+T7))/100,2)</f>
        <v>748626.76</v>
      </c>
      <c r="U10" s="310">
        <f>(S10+T10)*0.08</f>
        <v>1521922.1164517009</v>
      </c>
      <c r="V10" s="312">
        <f>S10+T10+U10</f>
        <v>20545948.572097961</v>
      </c>
      <c r="X10" s="196"/>
    </row>
    <row r="11" spans="2:26" ht="16.5" customHeight="1" x14ac:dyDescent="0.2">
      <c r="B11" s="313">
        <v>2023</v>
      </c>
      <c r="C11" s="314">
        <f>ROUND((C10*(100+C7))/100,0)</f>
        <v>1193</v>
      </c>
      <c r="D11" s="314">
        <f>ROUND((D10*(100+D7))/100,0)</f>
        <v>6145</v>
      </c>
      <c r="E11" s="314">
        <f>ROUND((E10*(100+E7))/100,0)</f>
        <v>5797</v>
      </c>
      <c r="F11" s="254">
        <f t="shared" si="0"/>
        <v>13135</v>
      </c>
      <c r="G11" s="315">
        <f>ROUND((G10*(100+G7))/100,0)</f>
        <v>1057</v>
      </c>
      <c r="H11" s="315">
        <f>ROUND((H10*(100+H7))/100,0)</f>
        <v>4683</v>
      </c>
      <c r="I11" s="315">
        <f>ROUND((I10*(100+I7))/100,0)</f>
        <v>5062</v>
      </c>
      <c r="J11" s="256">
        <f t="shared" si="1"/>
        <v>10802</v>
      </c>
      <c r="K11" s="316">
        <f>ROUND((K10*(100+K7))/100,2)</f>
        <v>65.14</v>
      </c>
      <c r="L11" s="316">
        <f>ROUND((L10*(100+L7))/100,2)</f>
        <v>47.24</v>
      </c>
      <c r="M11" s="316">
        <f>ROUND((M10*(100+M7))/100,2)</f>
        <v>47.05</v>
      </c>
      <c r="N11" s="317">
        <f>ROUND((N10*(100+N7))/100,2)</f>
        <v>48.73</v>
      </c>
      <c r="O11" s="253">
        <f>(K11*G11*12)+(L11*12*H11)+(M11*I11*12)</f>
        <v>6338940</v>
      </c>
      <c r="P11" s="318">
        <f>P10</f>
        <v>3.1966038541666664</v>
      </c>
      <c r="Q11" s="319">
        <f>ROUND((Q10*(100+Q7))/100,2)</f>
        <v>97.2</v>
      </c>
      <c r="R11" s="348">
        <f>Q11*P11/100</f>
        <v>3.1070989462499998</v>
      </c>
      <c r="S11" s="262">
        <f>R11*O11</f>
        <v>19695713.794341974</v>
      </c>
      <c r="T11" s="321">
        <f>ROUND((T10*(100+T7))/100,2)</f>
        <v>874759.95</v>
      </c>
      <c r="U11" s="262">
        <f>(S11+T11)*0.08</f>
        <v>1645637.8995473578</v>
      </c>
      <c r="V11" s="264">
        <f>S11+T11+U11</f>
        <v>22216111.64388933</v>
      </c>
      <c r="X11" s="196"/>
    </row>
    <row r="12" spans="2:26" x14ac:dyDescent="0.2">
      <c r="T12" s="323"/>
    </row>
    <row r="13" spans="2:26" x14ac:dyDescent="0.2">
      <c r="O13" s="196"/>
      <c r="U13" s="196"/>
      <c r="V13" s="196"/>
    </row>
    <row r="14" spans="2:26" x14ac:dyDescent="0.2">
      <c r="B14" s="197" t="s">
        <v>263</v>
      </c>
      <c r="C14" s="324">
        <v>2018</v>
      </c>
      <c r="D14" s="324">
        <v>2019</v>
      </c>
      <c r="E14" s="325" t="s">
        <v>264</v>
      </c>
      <c r="F14" s="324">
        <v>2020</v>
      </c>
      <c r="H14" s="324">
        <v>2021</v>
      </c>
      <c r="I14" s="324">
        <v>2022</v>
      </c>
      <c r="J14" s="324">
        <v>2023</v>
      </c>
      <c r="O14" s="196"/>
    </row>
    <row r="15" spans="2:26" x14ac:dyDescent="0.2">
      <c r="B15" s="193" t="s">
        <v>166</v>
      </c>
      <c r="C15" s="214">
        <v>1199944.5</v>
      </c>
      <c r="D15" s="214">
        <v>1300261.1800000002</v>
      </c>
      <c r="E15" s="326">
        <f t="shared" ref="E15:E26" si="3">D15*100/$D$27</f>
        <v>7.8982270853128522</v>
      </c>
      <c r="F15" s="214">
        <v>1395586.5699999998</v>
      </c>
      <c r="H15" s="196">
        <f t="shared" ref="H15:H26" si="4">$V$9*E15/100</f>
        <v>1501702.5115484577</v>
      </c>
      <c r="I15" s="196">
        <f t="shared" ref="I15:I26" si="5">$V$10*E15/100</f>
        <v>1622765.6750558903</v>
      </c>
      <c r="J15" s="196">
        <f t="shared" ref="J15:J26" si="6">$V$11*E15/100</f>
        <v>1754678.9471610093</v>
      </c>
      <c r="O15" s="327"/>
      <c r="P15" s="327"/>
      <c r="Q15" s="327"/>
    </row>
    <row r="16" spans="2:26" x14ac:dyDescent="0.2">
      <c r="B16" s="193" t="s">
        <v>167</v>
      </c>
      <c r="C16" s="214">
        <v>1246173.2699999998</v>
      </c>
      <c r="D16" s="214">
        <v>1345922.41</v>
      </c>
      <c r="E16" s="326">
        <f t="shared" si="3"/>
        <v>8.1755888716077401</v>
      </c>
      <c r="F16" s="214">
        <v>1454845.3399999999</v>
      </c>
      <c r="H16" s="196">
        <f t="shared" si="4"/>
        <v>1554437.7503036375</v>
      </c>
      <c r="I16" s="196">
        <f t="shared" si="5"/>
        <v>1679752.2850266905</v>
      </c>
      <c r="J16" s="196">
        <f t="shared" si="6"/>
        <v>1816297.9512617674</v>
      </c>
    </row>
    <row r="17" spans="2:23" x14ac:dyDescent="0.2">
      <c r="B17" s="193" t="s">
        <v>168</v>
      </c>
      <c r="C17" s="214">
        <v>1269994.5899999999</v>
      </c>
      <c r="D17" s="214">
        <v>1359789.78</v>
      </c>
      <c r="E17" s="326">
        <f t="shared" si="3"/>
        <v>8.2598239768471764</v>
      </c>
      <c r="F17" s="214">
        <v>1294574.5499999998</v>
      </c>
      <c r="H17" s="196">
        <f t="shared" si="4"/>
        <v>1570453.5051980284</v>
      </c>
      <c r="I17" s="196">
        <f t="shared" si="5"/>
        <v>1697059.1864288375</v>
      </c>
      <c r="J17" s="196">
        <f t="shared" si="6"/>
        <v>1835011.7162851084</v>
      </c>
    </row>
    <row r="18" spans="2:23" x14ac:dyDescent="0.2">
      <c r="B18" s="193" t="s">
        <v>169</v>
      </c>
      <c r="C18" s="214">
        <v>1314173.7699999998</v>
      </c>
      <c r="D18" s="214">
        <v>1455300.79</v>
      </c>
      <c r="E18" s="326">
        <f t="shared" si="3"/>
        <v>8.8399902216992974</v>
      </c>
      <c r="F18" s="214">
        <v>1393002.8399999999</v>
      </c>
      <c r="H18" s="196">
        <f>$V$9*E18/100</f>
        <v>1680761.4385607166</v>
      </c>
      <c r="I18" s="196">
        <f t="shared" si="5"/>
        <v>1816259.8447288263</v>
      </c>
      <c r="J18" s="196">
        <f t="shared" si="6"/>
        <v>1963902.0969616161</v>
      </c>
    </row>
    <row r="19" spans="2:23" x14ac:dyDescent="0.2">
      <c r="B19" s="193" t="s">
        <v>170</v>
      </c>
      <c r="C19" s="214">
        <v>1324087.3800000001</v>
      </c>
      <c r="D19" s="214">
        <v>1424578.2500000002</v>
      </c>
      <c r="E19" s="326">
        <f t="shared" si="3"/>
        <v>8.6533711014102455</v>
      </c>
      <c r="F19" s="214">
        <v>1469074.4800000002</v>
      </c>
      <c r="H19" s="196">
        <f t="shared" si="4"/>
        <v>1645279.2476064747</v>
      </c>
      <c r="I19" s="196">
        <f t="shared" si="5"/>
        <v>1777917.1762485357</v>
      </c>
      <c r="J19" s="196">
        <f t="shared" si="6"/>
        <v>1922442.5848493557</v>
      </c>
    </row>
    <row r="20" spans="2:23" x14ac:dyDescent="0.2">
      <c r="B20" s="193" t="s">
        <v>171</v>
      </c>
      <c r="C20" s="214">
        <v>1201326.8599999999</v>
      </c>
      <c r="D20" s="214">
        <v>1357461.55</v>
      </c>
      <c r="E20" s="326">
        <f t="shared" si="3"/>
        <v>8.245681518755152</v>
      </c>
      <c r="F20" s="196">
        <f>(V8-F15-F16-F17-F18-F19)/7</f>
        <v>1523679.6519426394</v>
      </c>
      <c r="H20" s="196">
        <f t="shared" si="4"/>
        <v>1567764.5770870913</v>
      </c>
      <c r="I20" s="196">
        <f t="shared" si="5"/>
        <v>1694153.4842624196</v>
      </c>
      <c r="J20" s="196">
        <f t="shared" si="6"/>
        <v>1831869.8120061939</v>
      </c>
      <c r="M20" s="196"/>
      <c r="N20" s="196"/>
    </row>
    <row r="21" spans="2:23" x14ac:dyDescent="0.2">
      <c r="B21" s="193" t="s">
        <v>172</v>
      </c>
      <c r="C21" s="214">
        <v>1165615.3899999999</v>
      </c>
      <c r="D21" s="214">
        <v>1195371.06</v>
      </c>
      <c r="E21" s="326">
        <f t="shared" si="3"/>
        <v>7.2610889475998457</v>
      </c>
      <c r="F21" s="196">
        <f t="shared" ref="F21:F26" si="7">F20</f>
        <v>1523679.6519426394</v>
      </c>
      <c r="H21" s="196">
        <f t="shared" si="4"/>
        <v>1380562.4213393361</v>
      </c>
      <c r="I21" s="196">
        <f t="shared" si="5"/>
        <v>1491859.6009481535</v>
      </c>
      <c r="J21" s="196">
        <f t="shared" si="6"/>
        <v>1613131.6271608907</v>
      </c>
    </row>
    <row r="22" spans="2:23" x14ac:dyDescent="0.2">
      <c r="B22" s="193" t="s">
        <v>173</v>
      </c>
      <c r="C22" s="214">
        <v>1127479.07</v>
      </c>
      <c r="D22" s="214">
        <v>1254926.53</v>
      </c>
      <c r="E22" s="326">
        <f t="shared" si="3"/>
        <v>7.6228490566208169</v>
      </c>
      <c r="F22" s="196">
        <f t="shared" si="7"/>
        <v>1523679.6519426394</v>
      </c>
      <c r="H22" s="196">
        <f t="shared" si="4"/>
        <v>1449344.4477899361</v>
      </c>
      <c r="I22" s="196">
        <f t="shared" si="5"/>
        <v>1566186.6469019675</v>
      </c>
      <c r="J22" s="196">
        <f t="shared" si="6"/>
        <v>1693500.6568640452</v>
      </c>
    </row>
    <row r="23" spans="2:23" x14ac:dyDescent="0.2">
      <c r="B23" s="193" t="s">
        <v>174</v>
      </c>
      <c r="C23" s="214">
        <v>1360706.8699999999</v>
      </c>
      <c r="D23" s="214">
        <v>1385671.28</v>
      </c>
      <c r="E23" s="326">
        <f t="shared" si="3"/>
        <v>8.4170369794752524</v>
      </c>
      <c r="F23" s="196">
        <f t="shared" si="7"/>
        <v>1523679.6519426394</v>
      </c>
      <c r="H23" s="196">
        <f t="shared" si="4"/>
        <v>1600344.6641055346</v>
      </c>
      <c r="I23" s="196">
        <f t="shared" si="5"/>
        <v>1729360.089097453</v>
      </c>
      <c r="J23" s="196">
        <f t="shared" si="6"/>
        <v>1869938.3324676722</v>
      </c>
    </row>
    <row r="24" spans="2:23" x14ac:dyDescent="0.2">
      <c r="B24" s="193" t="s">
        <v>175</v>
      </c>
      <c r="C24" s="214">
        <v>1274537.28</v>
      </c>
      <c r="D24" s="214">
        <v>1358207.77</v>
      </c>
      <c r="E24" s="326">
        <f t="shared" si="3"/>
        <v>8.2502143119402884</v>
      </c>
      <c r="F24" s="196">
        <f t="shared" si="7"/>
        <v>1523679.6519426394</v>
      </c>
      <c r="H24" s="196">
        <f t="shared" si="4"/>
        <v>1568626.4042841224</v>
      </c>
      <c r="I24" s="196">
        <f t="shared" si="5"/>
        <v>1695084.7896191173</v>
      </c>
      <c r="J24" s="196">
        <f t="shared" si="6"/>
        <v>1832876.8224007904</v>
      </c>
    </row>
    <row r="25" spans="2:23" x14ac:dyDescent="0.2">
      <c r="B25" s="193" t="s">
        <v>176</v>
      </c>
      <c r="C25" s="214">
        <f>1348317.61</f>
        <v>1348317.61</v>
      </c>
      <c r="D25" s="214">
        <v>1472437.48</v>
      </c>
      <c r="E25" s="326">
        <f t="shared" si="3"/>
        <v>8.94408428464026</v>
      </c>
      <c r="F25" s="196">
        <f t="shared" si="7"/>
        <v>1523679.6519426394</v>
      </c>
      <c r="H25" s="196">
        <f t="shared" si="4"/>
        <v>1700553.0087532739</v>
      </c>
      <c r="I25" s="196">
        <f t="shared" si="5"/>
        <v>1837646.9573672838</v>
      </c>
      <c r="J25" s="196">
        <f t="shared" si="6"/>
        <v>1987027.7501992404</v>
      </c>
    </row>
    <row r="26" spans="2:23" x14ac:dyDescent="0.2">
      <c r="B26" s="193" t="s">
        <v>177</v>
      </c>
      <c r="C26" s="214">
        <v>1495655.43</v>
      </c>
      <c r="D26" s="214">
        <v>1552768.75</v>
      </c>
      <c r="E26" s="326">
        <f t="shared" si="3"/>
        <v>9.4320436440910882</v>
      </c>
      <c r="F26" s="196">
        <f t="shared" si="7"/>
        <v>1523679.6519426394</v>
      </c>
      <c r="H26" s="196">
        <f t="shared" si="4"/>
        <v>1793329.4999462792</v>
      </c>
      <c r="I26" s="196">
        <f t="shared" si="5"/>
        <v>1937902.8364127895</v>
      </c>
      <c r="J26" s="196">
        <f t="shared" si="6"/>
        <v>2095433.3462716436</v>
      </c>
    </row>
    <row r="27" spans="2:23" s="197" customFormat="1" x14ac:dyDescent="0.2">
      <c r="C27" s="231">
        <f>SUM(C15:C26)</f>
        <v>15328012.019999998</v>
      </c>
      <c r="D27" s="231">
        <f>SUM(D15:D26)</f>
        <v>16462696.829999998</v>
      </c>
      <c r="E27" s="328">
        <f>SUM(E15:E26)</f>
        <v>100</v>
      </c>
      <c r="F27" s="214">
        <f>SUM(F15:F26)</f>
        <v>17672841.34359847</v>
      </c>
      <c r="H27" s="214">
        <f>SUM(H15:H26)</f>
        <v>19013159.476522885</v>
      </c>
      <c r="I27" s="214">
        <f>SUM(I15:I26)</f>
        <v>20545948.572097968</v>
      </c>
      <c r="J27" s="214">
        <f>SUM(J15:J26)</f>
        <v>22216111.643889334</v>
      </c>
      <c r="W27" s="214"/>
    </row>
    <row r="28" spans="2:23" x14ac:dyDescent="0.2">
      <c r="C28" s="196">
        <f>C27-V5</f>
        <v>0</v>
      </c>
      <c r="D28" s="196">
        <f>D27-V6</f>
        <v>0</v>
      </c>
      <c r="E28" s="329"/>
      <c r="F28" s="196">
        <f>F27-V8</f>
        <v>0</v>
      </c>
      <c r="H28" s="196">
        <f>H27-V9</f>
        <v>0</v>
      </c>
      <c r="I28" s="196">
        <f>I27-V10</f>
        <v>0</v>
      </c>
      <c r="J28" s="196">
        <f>J27-V11</f>
        <v>0</v>
      </c>
    </row>
    <row r="29" spans="2:23" ht="13.5" thickBot="1" x14ac:dyDescent="0.25"/>
    <row r="30" spans="2:23" x14ac:dyDescent="0.2">
      <c r="B30" s="330" t="s">
        <v>265</v>
      </c>
      <c r="C30" s="324">
        <v>2018</v>
      </c>
      <c r="D30" s="324">
        <v>2019</v>
      </c>
      <c r="E30" s="324"/>
      <c r="F30" s="324">
        <v>2020</v>
      </c>
      <c r="H30" s="331">
        <v>2021</v>
      </c>
      <c r="I30" s="324">
        <v>2022</v>
      </c>
      <c r="J30" s="324">
        <v>2023</v>
      </c>
    </row>
    <row r="31" spans="2:23" x14ac:dyDescent="0.2">
      <c r="B31" s="193" t="s">
        <v>166</v>
      </c>
      <c r="C31" s="214">
        <v>1164111.4099999999</v>
      </c>
      <c r="D31" s="214">
        <v>1495655.43</v>
      </c>
      <c r="F31" s="214">
        <f>D26</f>
        <v>1552768.75</v>
      </c>
      <c r="H31" s="332">
        <f>F26</f>
        <v>1523679.6519426394</v>
      </c>
      <c r="I31" s="196">
        <f>H26</f>
        <v>1793329.4999462792</v>
      </c>
      <c r="J31" s="196">
        <f>I26</f>
        <v>1937902.8364127895</v>
      </c>
      <c r="L31" s="327"/>
      <c r="O31" s="327"/>
      <c r="P31" s="327"/>
      <c r="Q31" s="327"/>
    </row>
    <row r="32" spans="2:23" x14ac:dyDescent="0.2">
      <c r="B32" s="193" t="s">
        <v>167</v>
      </c>
      <c r="C32" s="214">
        <v>1199944.5</v>
      </c>
      <c r="D32" s="214">
        <f>D15</f>
        <v>1300261.1800000002</v>
      </c>
      <c r="F32" s="214">
        <f t="shared" ref="F32:F42" si="8">F15</f>
        <v>1395586.5699999998</v>
      </c>
      <c r="H32" s="332">
        <f t="shared" ref="H32:J42" si="9">H15</f>
        <v>1501702.5115484577</v>
      </c>
      <c r="I32" s="196">
        <f t="shared" si="9"/>
        <v>1622765.6750558903</v>
      </c>
      <c r="J32" s="196">
        <f t="shared" si="9"/>
        <v>1754678.9471610093</v>
      </c>
      <c r="L32" s="327"/>
    </row>
    <row r="33" spans="2:23" x14ac:dyDescent="0.2">
      <c r="B33" s="193" t="s">
        <v>168</v>
      </c>
      <c r="C33" s="214">
        <v>1246173.2699999998</v>
      </c>
      <c r="D33" s="214">
        <f t="shared" ref="D33:D42" si="10">D16</f>
        <v>1345922.41</v>
      </c>
      <c r="F33" s="214">
        <f t="shared" si="8"/>
        <v>1454845.3399999999</v>
      </c>
      <c r="H33" s="332">
        <f t="shared" si="9"/>
        <v>1554437.7503036375</v>
      </c>
      <c r="I33" s="196">
        <f t="shared" si="9"/>
        <v>1679752.2850266905</v>
      </c>
      <c r="J33" s="196">
        <f t="shared" si="9"/>
        <v>1816297.9512617674</v>
      </c>
      <c r="L33" s="327"/>
    </row>
    <row r="34" spans="2:23" x14ac:dyDescent="0.2">
      <c r="B34" s="193" t="s">
        <v>169</v>
      </c>
      <c r="C34" s="214">
        <v>1269994.5899999999</v>
      </c>
      <c r="D34" s="214">
        <f t="shared" si="10"/>
        <v>1359789.78</v>
      </c>
      <c r="F34" s="214">
        <f t="shared" si="8"/>
        <v>1294574.5499999998</v>
      </c>
      <c r="H34" s="332">
        <f t="shared" si="9"/>
        <v>1570453.5051980284</v>
      </c>
      <c r="I34" s="196">
        <f t="shared" si="9"/>
        <v>1697059.1864288375</v>
      </c>
      <c r="J34" s="196">
        <f t="shared" si="9"/>
        <v>1835011.7162851084</v>
      </c>
      <c r="L34" s="327"/>
    </row>
    <row r="35" spans="2:23" x14ac:dyDescent="0.2">
      <c r="B35" s="193" t="s">
        <v>170</v>
      </c>
      <c r="C35" s="214">
        <v>1314173.7699999998</v>
      </c>
      <c r="D35" s="214">
        <f t="shared" si="10"/>
        <v>1455300.79</v>
      </c>
      <c r="F35" s="214">
        <f t="shared" si="8"/>
        <v>1393002.8399999999</v>
      </c>
      <c r="H35" s="332">
        <f t="shared" si="9"/>
        <v>1680761.4385607166</v>
      </c>
      <c r="I35" s="196">
        <f t="shared" si="9"/>
        <v>1816259.8447288263</v>
      </c>
      <c r="J35" s="196">
        <f t="shared" si="9"/>
        <v>1963902.0969616161</v>
      </c>
      <c r="L35" s="327"/>
    </row>
    <row r="36" spans="2:23" x14ac:dyDescent="0.2">
      <c r="B36" s="193" t="s">
        <v>171</v>
      </c>
      <c r="C36" s="214">
        <v>1324087.3800000001</v>
      </c>
      <c r="D36" s="214">
        <f t="shared" si="10"/>
        <v>1424578.2500000002</v>
      </c>
      <c r="F36" s="214">
        <f t="shared" si="8"/>
        <v>1469074.4800000002</v>
      </c>
      <c r="H36" s="332">
        <f t="shared" si="9"/>
        <v>1645279.2476064747</v>
      </c>
      <c r="I36" s="196">
        <f t="shared" si="9"/>
        <v>1777917.1762485357</v>
      </c>
      <c r="J36" s="196">
        <f t="shared" si="9"/>
        <v>1922442.5848493557</v>
      </c>
      <c r="L36" s="327"/>
    </row>
    <row r="37" spans="2:23" x14ac:dyDescent="0.2">
      <c r="B37" s="193" t="s">
        <v>172</v>
      </c>
      <c r="C37" s="214">
        <v>1201326.8599999999</v>
      </c>
      <c r="D37" s="214">
        <f t="shared" si="10"/>
        <v>1357461.55</v>
      </c>
      <c r="F37" s="196">
        <f t="shared" si="8"/>
        <v>1523679.6519426394</v>
      </c>
      <c r="H37" s="332">
        <f t="shared" si="9"/>
        <v>1567764.5770870913</v>
      </c>
      <c r="I37" s="196">
        <f t="shared" si="9"/>
        <v>1694153.4842624196</v>
      </c>
      <c r="J37" s="196">
        <f t="shared" si="9"/>
        <v>1831869.8120061939</v>
      </c>
      <c r="L37" s="327"/>
    </row>
    <row r="38" spans="2:23" x14ac:dyDescent="0.2">
      <c r="B38" s="193" t="s">
        <v>173</v>
      </c>
      <c r="C38" s="214">
        <v>1165615.3899999999</v>
      </c>
      <c r="D38" s="214">
        <f t="shared" si="10"/>
        <v>1195371.06</v>
      </c>
      <c r="F38" s="196">
        <f t="shared" si="8"/>
        <v>1523679.6519426394</v>
      </c>
      <c r="H38" s="332">
        <f t="shared" si="9"/>
        <v>1380562.4213393361</v>
      </c>
      <c r="I38" s="196">
        <f t="shared" si="9"/>
        <v>1491859.6009481535</v>
      </c>
      <c r="J38" s="196">
        <f t="shared" si="9"/>
        <v>1613131.6271608907</v>
      </c>
      <c r="L38" s="327"/>
    </row>
    <row r="39" spans="2:23" x14ac:dyDescent="0.2">
      <c r="B39" s="193" t="s">
        <v>174</v>
      </c>
      <c r="C39" s="214">
        <v>1127479.07</v>
      </c>
      <c r="D39" s="214">
        <f t="shared" si="10"/>
        <v>1254926.53</v>
      </c>
      <c r="F39" s="196">
        <f t="shared" si="8"/>
        <v>1523679.6519426394</v>
      </c>
      <c r="H39" s="332">
        <f t="shared" si="9"/>
        <v>1449344.4477899361</v>
      </c>
      <c r="I39" s="196">
        <f t="shared" si="9"/>
        <v>1566186.6469019675</v>
      </c>
      <c r="J39" s="196">
        <f t="shared" si="9"/>
        <v>1693500.6568640452</v>
      </c>
      <c r="L39" s="327"/>
    </row>
    <row r="40" spans="2:23" x14ac:dyDescent="0.2">
      <c r="B40" s="193" t="s">
        <v>175</v>
      </c>
      <c r="C40" s="214">
        <v>1360706.8699999999</v>
      </c>
      <c r="D40" s="214">
        <f t="shared" si="10"/>
        <v>1385671.28</v>
      </c>
      <c r="F40" s="196">
        <f t="shared" si="8"/>
        <v>1523679.6519426394</v>
      </c>
      <c r="H40" s="332">
        <f t="shared" si="9"/>
        <v>1600344.6641055346</v>
      </c>
      <c r="I40" s="196">
        <f t="shared" si="9"/>
        <v>1729360.089097453</v>
      </c>
      <c r="J40" s="196">
        <f t="shared" si="9"/>
        <v>1869938.3324676722</v>
      </c>
      <c r="L40" s="327"/>
    </row>
    <row r="41" spans="2:23" x14ac:dyDescent="0.2">
      <c r="B41" s="193" t="s">
        <v>176</v>
      </c>
      <c r="C41" s="214">
        <v>1274537.28</v>
      </c>
      <c r="D41" s="214">
        <f>D24</f>
        <v>1358207.77</v>
      </c>
      <c r="F41" s="196">
        <f t="shared" si="8"/>
        <v>1523679.6519426394</v>
      </c>
      <c r="H41" s="332">
        <f t="shared" si="9"/>
        <v>1568626.4042841224</v>
      </c>
      <c r="I41" s="196">
        <f t="shared" si="9"/>
        <v>1695084.7896191173</v>
      </c>
      <c r="J41" s="196">
        <f t="shared" si="9"/>
        <v>1832876.8224007904</v>
      </c>
      <c r="L41" s="327"/>
    </row>
    <row r="42" spans="2:23" x14ac:dyDescent="0.2">
      <c r="B42" s="193" t="s">
        <v>177</v>
      </c>
      <c r="C42" s="214">
        <v>1348317.61</v>
      </c>
      <c r="D42" s="214">
        <f t="shared" si="10"/>
        <v>1472437.48</v>
      </c>
      <c r="F42" s="196">
        <f t="shared" si="8"/>
        <v>1523679.6519426394</v>
      </c>
      <c r="H42" s="332">
        <f t="shared" si="9"/>
        <v>1700553.0087532739</v>
      </c>
      <c r="I42" s="196">
        <f t="shared" si="9"/>
        <v>1837646.9573672838</v>
      </c>
      <c r="J42" s="196">
        <f t="shared" si="9"/>
        <v>1987027.7501992404</v>
      </c>
      <c r="L42" s="327"/>
    </row>
    <row r="43" spans="2:23" s="197" customFormat="1" ht="13.5" thickBot="1" x14ac:dyDescent="0.25">
      <c r="C43" s="333">
        <f>SUM(C31:C42)</f>
        <v>14996467.999999998</v>
      </c>
      <c r="D43" s="333">
        <f>SUM(D31:D42)</f>
        <v>16405583.51</v>
      </c>
      <c r="F43" s="333">
        <f>SUM(F31:F42)</f>
        <v>17701930.441655833</v>
      </c>
      <c r="H43" s="334">
        <f>SUM(H31:H42)</f>
        <v>18743509.628519248</v>
      </c>
      <c r="I43" s="333">
        <f>SUM(I31:I42)</f>
        <v>20401375.235631451</v>
      </c>
      <c r="J43" s="333">
        <f>SUM(J31:J42)</f>
        <v>22058581.134030476</v>
      </c>
      <c r="L43" s="335"/>
      <c r="W43" s="214"/>
    </row>
    <row r="44" spans="2:23" s="336" customFormat="1" ht="12" thickBot="1" x14ac:dyDescent="0.25">
      <c r="B44" s="349" t="s">
        <v>266</v>
      </c>
      <c r="C44" s="338"/>
      <c r="D44" s="338"/>
      <c r="E44" s="338"/>
      <c r="F44" s="339">
        <f>Sheet2!D8</f>
        <v>17616217</v>
      </c>
      <c r="G44" s="350"/>
      <c r="H44" s="351">
        <f>Sheet2!E8</f>
        <v>18810639</v>
      </c>
      <c r="I44" s="339">
        <f>H44</f>
        <v>18810639</v>
      </c>
      <c r="J44" s="352">
        <f>I44</f>
        <v>18810639</v>
      </c>
      <c r="W44" s="340"/>
    </row>
    <row r="45" spans="2:23" s="341" customFormat="1" ht="13.5" thickBot="1" x14ac:dyDescent="0.25">
      <c r="E45" s="193"/>
      <c r="F45" s="342">
        <f>F44-F43</f>
        <v>-85713.441655833274</v>
      </c>
      <c r="G45" s="341" t="s">
        <v>23</v>
      </c>
      <c r="H45" s="343">
        <f>H44-H43</f>
        <v>67129.371480751783</v>
      </c>
      <c r="I45" s="342">
        <f>I44-I43</f>
        <v>-1590736.235631451</v>
      </c>
      <c r="J45" s="342">
        <f>J44-J43</f>
        <v>-3247942.1340304762</v>
      </c>
      <c r="W45" s="344"/>
    </row>
    <row r="46" spans="2:23" x14ac:dyDescent="0.2">
      <c r="L46" s="196"/>
      <c r="N46" s="196"/>
      <c r="O46" s="196"/>
      <c r="P46" s="196"/>
    </row>
    <row r="47" spans="2:23" ht="67.5" customHeight="1" x14ac:dyDescent="0.2">
      <c r="B47" s="536" t="s">
        <v>267</v>
      </c>
      <c r="C47" s="536"/>
      <c r="D47" s="536"/>
      <c r="E47" s="536"/>
      <c r="F47" s="536"/>
      <c r="G47" s="536"/>
      <c r="H47" s="536"/>
      <c r="I47" s="536"/>
      <c r="J47" s="536"/>
    </row>
    <row r="48" spans="2:23" x14ac:dyDescent="0.2">
      <c r="C48" s="327"/>
    </row>
    <row r="49" spans="2:2" x14ac:dyDescent="0.2">
      <c r="B49" s="345" t="s">
        <v>268</v>
      </c>
    </row>
    <row r="50" spans="2:2" x14ac:dyDescent="0.2">
      <c r="B50" s="345" t="s">
        <v>269</v>
      </c>
    </row>
  </sheetData>
  <mergeCells count="14">
    <mergeCell ref="T2:T3"/>
    <mergeCell ref="U2:U3"/>
    <mergeCell ref="V2:V3"/>
    <mergeCell ref="B47:J47"/>
    <mergeCell ref="B1:V1"/>
    <mergeCell ref="B2:B4"/>
    <mergeCell ref="C2:F2"/>
    <mergeCell ref="G2:J2"/>
    <mergeCell ref="K2:N2"/>
    <mergeCell ref="O2:O3"/>
    <mergeCell ref="P2:P3"/>
    <mergeCell ref="Q2:Q3"/>
    <mergeCell ref="R2:R3"/>
    <mergeCell ref="S2:S3"/>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01DF-D08F-42E2-92FC-40E971BE31B1}">
  <dimension ref="A2:L12"/>
  <sheetViews>
    <sheetView zoomScale="90" zoomScaleNormal="90" workbookViewId="0">
      <pane ySplit="5" topLeftCell="A6" activePane="bottomLeft" state="frozen"/>
      <selection pane="bottomLeft" activeCell="Q30" sqref="Q30"/>
    </sheetView>
  </sheetViews>
  <sheetFormatPr defaultColWidth="8.85546875" defaultRowHeight="15" x14ac:dyDescent="0.25"/>
  <cols>
    <col min="1" max="1" width="15.5703125" style="56" customWidth="1"/>
    <col min="2" max="2" width="57.140625" style="56" customWidth="1"/>
    <col min="3" max="3" width="34.85546875" style="56" hidden="1" customWidth="1"/>
    <col min="4" max="6" width="9.7109375" style="56" customWidth="1"/>
    <col min="7" max="10" width="10.140625" style="56" customWidth="1"/>
    <col min="11" max="11" width="10.140625" style="57" customWidth="1"/>
    <col min="12" max="12" width="9.7109375" style="56" customWidth="1"/>
    <col min="13" max="16384" width="8.85546875" style="56"/>
  </cols>
  <sheetData>
    <row r="2" spans="1:12" x14ac:dyDescent="0.25">
      <c r="A2" s="58" t="s">
        <v>208</v>
      </c>
    </row>
    <row r="3" spans="1:12" x14ac:dyDescent="0.25">
      <c r="A3" s="545" t="s">
        <v>97</v>
      </c>
      <c r="B3" s="545"/>
      <c r="C3" s="545"/>
      <c r="D3" s="545"/>
      <c r="E3" s="545"/>
      <c r="F3" s="545"/>
      <c r="G3" s="545"/>
      <c r="H3" s="545"/>
      <c r="I3" s="545"/>
      <c r="J3" s="545"/>
      <c r="K3" s="545"/>
      <c r="L3" s="545"/>
    </row>
    <row r="4" spans="1:12" ht="21" customHeight="1" x14ac:dyDescent="0.25">
      <c r="A4" s="544" t="s">
        <v>82</v>
      </c>
      <c r="B4" s="544" t="s">
        <v>95</v>
      </c>
      <c r="C4" s="544"/>
      <c r="D4" s="544" t="s">
        <v>84</v>
      </c>
      <c r="E4" s="544"/>
      <c r="F4" s="544"/>
      <c r="G4" s="552" t="s">
        <v>209</v>
      </c>
      <c r="H4" s="552"/>
      <c r="I4" s="552"/>
      <c r="J4" s="552"/>
      <c r="K4" s="552"/>
      <c r="L4" s="544" t="s">
        <v>85</v>
      </c>
    </row>
    <row r="5" spans="1:12" ht="91.9" customHeight="1" x14ac:dyDescent="0.25">
      <c r="A5" s="544"/>
      <c r="B5" s="544" t="s">
        <v>83</v>
      </c>
      <c r="C5" s="544"/>
      <c r="D5" s="53" t="s">
        <v>86</v>
      </c>
      <c r="E5" s="53" t="s">
        <v>41</v>
      </c>
      <c r="F5" s="53" t="s">
        <v>44</v>
      </c>
      <c r="G5" s="240" t="s">
        <v>41</v>
      </c>
      <c r="H5" s="53" t="s">
        <v>44</v>
      </c>
      <c r="I5" s="53" t="s">
        <v>72</v>
      </c>
      <c r="J5" s="55" t="s">
        <v>94</v>
      </c>
      <c r="K5" s="54" t="s">
        <v>93</v>
      </c>
      <c r="L5" s="544"/>
    </row>
    <row r="6" spans="1:12" ht="51" customHeight="1" x14ac:dyDescent="0.25">
      <c r="A6" s="39" t="s">
        <v>96</v>
      </c>
      <c r="B6" s="551"/>
      <c r="C6" s="551"/>
      <c r="D6" s="42"/>
      <c r="E6" s="42"/>
      <c r="F6" s="40"/>
      <c r="G6" s="52"/>
      <c r="H6" s="41"/>
      <c r="I6" s="41"/>
      <c r="J6" s="41"/>
      <c r="K6" s="52"/>
      <c r="L6" s="41"/>
    </row>
    <row r="7" spans="1:12" ht="13.9" customHeight="1" x14ac:dyDescent="0.25">
      <c r="A7" s="45" t="s">
        <v>87</v>
      </c>
      <c r="B7" s="547"/>
      <c r="C7" s="547"/>
      <c r="D7" s="47">
        <f t="shared" ref="D7" si="0">D8+D9+D10</f>
        <v>17616217</v>
      </c>
      <c r="E7" s="47">
        <f t="shared" ref="E7:F7" si="1">E8+E9+E10</f>
        <v>18810639</v>
      </c>
      <c r="F7" s="47">
        <f t="shared" si="1"/>
        <v>18810639</v>
      </c>
      <c r="G7" s="241">
        <f t="shared" ref="G7" si="2">G8+G9+G10</f>
        <v>21910774.5025649</v>
      </c>
      <c r="H7" s="47">
        <f t="shared" ref="H7" si="3">H8+H9+H10</f>
        <v>26110857.651394989</v>
      </c>
      <c r="I7" s="47">
        <f t="shared" ref="I7" si="4">I8+I9+I10</f>
        <v>28356932.483964726</v>
      </c>
      <c r="J7" s="47"/>
      <c r="K7" s="47">
        <f>I7</f>
        <v>28356932.483964726</v>
      </c>
      <c r="L7" s="47"/>
    </row>
    <row r="8" spans="1:12" ht="13.9" customHeight="1" x14ac:dyDescent="0.25">
      <c r="A8" s="548" t="s">
        <v>88</v>
      </c>
      <c r="B8" s="549" t="s">
        <v>207</v>
      </c>
      <c r="C8" s="549"/>
      <c r="D8" s="48">
        <v>17616217</v>
      </c>
      <c r="E8" s="48">
        <f>Sheet5!L38</f>
        <v>18810639</v>
      </c>
      <c r="F8" s="48">
        <f>Sheet5!M38</f>
        <v>18810639</v>
      </c>
      <c r="G8" s="242">
        <f>Sheet5!K41</f>
        <v>17661484.594826482</v>
      </c>
      <c r="H8" s="48">
        <f>Sheet5!L41</f>
        <v>21364224.249533251</v>
      </c>
      <c r="I8" s="48">
        <f>Sheet5!M41</f>
        <v>23372967.412009902</v>
      </c>
      <c r="J8" s="49"/>
      <c r="K8" s="48">
        <f t="shared" ref="K8:K10" si="5">I8</f>
        <v>23372967.412009902</v>
      </c>
      <c r="L8" s="49"/>
    </row>
    <row r="9" spans="1:12" ht="23.25" customHeight="1" x14ac:dyDescent="0.25">
      <c r="A9" s="548"/>
      <c r="B9" s="550" t="s">
        <v>229</v>
      </c>
      <c r="C9" s="550"/>
      <c r="D9" s="50">
        <v>0</v>
      </c>
      <c r="E9" s="50">
        <v>0</v>
      </c>
      <c r="F9" s="50">
        <v>0</v>
      </c>
      <c r="G9" s="243">
        <v>136600</v>
      </c>
      <c r="H9" s="51">
        <v>0</v>
      </c>
      <c r="I9" s="51">
        <v>0</v>
      </c>
      <c r="J9" s="51"/>
      <c r="K9" s="51">
        <f t="shared" si="5"/>
        <v>0</v>
      </c>
      <c r="L9" s="51"/>
    </row>
    <row r="10" spans="1:12" ht="13.9" customHeight="1" x14ac:dyDescent="0.25">
      <c r="A10" s="44" t="s">
        <v>89</v>
      </c>
      <c r="B10" s="546" t="str">
        <f>A10</f>
        <v>Pašvaldību budžets</v>
      </c>
      <c r="C10" s="546"/>
      <c r="D10" s="46">
        <v>0</v>
      </c>
      <c r="E10" s="46">
        <v>0</v>
      </c>
      <c r="F10" s="46">
        <v>0</v>
      </c>
      <c r="G10" s="244">
        <f>Sheet5!O41</f>
        <v>4112689.9077384174</v>
      </c>
      <c r="H10" s="46">
        <f>Sheet5!P41</f>
        <v>4746633.4018617384</v>
      </c>
      <c r="I10" s="46">
        <f>Sheet5!Q41</f>
        <v>4983965.0719548259</v>
      </c>
      <c r="J10" s="43"/>
      <c r="K10" s="46">
        <f t="shared" si="5"/>
        <v>4983965.0719548259</v>
      </c>
      <c r="L10" s="43"/>
    </row>
    <row r="11" spans="1:12" x14ac:dyDescent="0.25">
      <c r="G11" s="245">
        <f>G8-Sheet5!K41</f>
        <v>0</v>
      </c>
      <c r="H11" s="245">
        <f>H8-Sheet5!L41</f>
        <v>0</v>
      </c>
      <c r="I11" s="245">
        <f>I8-Sheet5!M41</f>
        <v>0</v>
      </c>
    </row>
    <row r="12" spans="1:12" x14ac:dyDescent="0.25">
      <c r="G12" s="245">
        <f>G10-Sheet5!O41</f>
        <v>0</v>
      </c>
      <c r="H12" s="245">
        <f>H10-Sheet5!P41</f>
        <v>0</v>
      </c>
      <c r="I12" s="245">
        <f>I10-Sheet5!Q41</f>
        <v>0</v>
      </c>
    </row>
  </sheetData>
  <mergeCells count="13">
    <mergeCell ref="B5:C5"/>
    <mergeCell ref="D4:F4"/>
    <mergeCell ref="A3:L3"/>
    <mergeCell ref="L4:L5"/>
    <mergeCell ref="B10:C10"/>
    <mergeCell ref="B7:C7"/>
    <mergeCell ref="A8:A9"/>
    <mergeCell ref="B8:C8"/>
    <mergeCell ref="B9:C9"/>
    <mergeCell ref="B6:C6"/>
    <mergeCell ref="G4:K4"/>
    <mergeCell ref="A4:A5"/>
    <mergeCell ref="B4:C4"/>
  </mergeCells>
  <pageMargins left="0.70866141732283472" right="0.70866141732283472" top="1.1417322834645669" bottom="0.74803149606299213" header="0.31496062992125984" footer="0.31496062992125984"/>
  <pageSetup paperSize="9" scale="75"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B3BD-44EF-49DF-9FCA-AED4BAFAE577}">
  <dimension ref="B1:F11"/>
  <sheetViews>
    <sheetView workbookViewId="0">
      <selection activeCell="P31" sqref="P31"/>
    </sheetView>
  </sheetViews>
  <sheetFormatPr defaultRowHeight="15" x14ac:dyDescent="0.25"/>
  <cols>
    <col min="1" max="1" width="3.85546875" customWidth="1"/>
    <col min="2" max="2" width="44.85546875" customWidth="1"/>
    <col min="3" max="5" width="11.28515625" customWidth="1"/>
    <col min="6" max="6" width="3.28515625" style="406" hidden="1" customWidth="1"/>
  </cols>
  <sheetData>
    <row r="1" spans="2:6" ht="25.5" customHeight="1" x14ac:dyDescent="0.25">
      <c r="B1" s="553" t="s">
        <v>305</v>
      </c>
      <c r="C1" s="553"/>
      <c r="D1" s="553"/>
      <c r="E1" s="553"/>
    </row>
    <row r="2" spans="2:6" x14ac:dyDescent="0.25">
      <c r="C2" s="353">
        <v>2021</v>
      </c>
      <c r="D2" s="353">
        <v>2022</v>
      </c>
      <c r="E2" s="353">
        <v>2023</v>
      </c>
    </row>
    <row r="3" spans="2:6" x14ac:dyDescent="0.25">
      <c r="B3" s="373" t="s">
        <v>291</v>
      </c>
      <c r="C3" s="225">
        <v>17616217</v>
      </c>
      <c r="D3" s="225">
        <v>17616217</v>
      </c>
      <c r="E3" s="225">
        <v>17616217</v>
      </c>
      <c r="F3" s="407"/>
    </row>
    <row r="4" spans="2:6" s="395" customFormat="1" ht="15.75" thickBot="1" x14ac:dyDescent="0.3">
      <c r="B4" s="62" t="s">
        <v>292</v>
      </c>
      <c r="C4" s="396">
        <f>1194422</f>
        <v>1194422</v>
      </c>
      <c r="D4" s="396">
        <f>C4</f>
        <v>1194422</v>
      </c>
      <c r="E4" s="396">
        <f>D4</f>
        <v>1194422</v>
      </c>
      <c r="F4" s="407"/>
    </row>
    <row r="5" spans="2:6" s="395" customFormat="1" ht="15.75" thickBot="1" x14ac:dyDescent="0.3">
      <c r="B5" s="411" t="s">
        <v>293</v>
      </c>
      <c r="C5" s="412">
        <f>C3+C4</f>
        <v>18810639</v>
      </c>
      <c r="D5" s="412">
        <f t="shared" ref="D5:E5" si="0">D3+D4</f>
        <v>18810639</v>
      </c>
      <c r="E5" s="413">
        <f t="shared" si="0"/>
        <v>18810639</v>
      </c>
      <c r="F5" s="408"/>
    </row>
    <row r="6" spans="2:6" x14ac:dyDescent="0.25">
      <c r="B6" s="410" t="s">
        <v>297</v>
      </c>
      <c r="C6" s="228">
        <f>SUM(Sheet!C4:C10)</f>
        <v>1484835.1071771295</v>
      </c>
      <c r="D6">
        <v>0</v>
      </c>
      <c r="E6">
        <v>0</v>
      </c>
      <c r="F6" s="407">
        <f>C6-Pielikums_Anot_III_kopsavilkums!S20</f>
        <v>0</v>
      </c>
    </row>
    <row r="7" spans="2:6" x14ac:dyDescent="0.25">
      <c r="B7" s="410" t="s">
        <v>299</v>
      </c>
      <c r="C7" s="225">
        <f>SUM(Sheet!C11:D15)</f>
        <v>7864684.7610774431</v>
      </c>
      <c r="D7" s="225">
        <f>Pielikums_Anot_III_kopsavilkums!L32</f>
        <v>21364224.249533251</v>
      </c>
      <c r="E7" s="225">
        <f>Pielikums_Anot_III_kopsavilkums!L41</f>
        <v>23372967.412009902</v>
      </c>
      <c r="F7" s="407">
        <f>C7-Pielikums_Anot_III_kopsavilkums!O15-Pielikums_Anot_III_kopsavilkums!O16-Pielikums_Anot_III_kopsavilkums!O17-Pielikums_Anot_III_kopsavilkums!O18-Pielikums_Anot_III_kopsavilkums!O19</f>
        <v>0</v>
      </c>
    </row>
    <row r="8" spans="2:6" x14ac:dyDescent="0.25">
      <c r="B8" s="410" t="s">
        <v>295</v>
      </c>
      <c r="C8" s="225">
        <f>Pielikums_Anot_III_kopsavilkums!L24</f>
        <v>136600</v>
      </c>
      <c r="D8">
        <v>0</v>
      </c>
      <c r="E8">
        <v>0</v>
      </c>
      <c r="F8" s="407">
        <f>C8-Sheet!D17</f>
        <v>0</v>
      </c>
    </row>
    <row r="9" spans="2:6" ht="15.75" thickBot="1" x14ac:dyDescent="0.3">
      <c r="B9" s="381" t="s">
        <v>296</v>
      </c>
      <c r="C9" s="405">
        <f>C6+C7+C8</f>
        <v>9486119.8682545722</v>
      </c>
      <c r="D9" s="405">
        <f t="shared" ref="D9:E9" si="1">D6+D7+D8</f>
        <v>21364224.249533251</v>
      </c>
      <c r="E9" s="405">
        <f t="shared" si="1"/>
        <v>23372967.412009902</v>
      </c>
      <c r="F9" s="407">
        <f>C9-Sheet!C19</f>
        <v>0</v>
      </c>
    </row>
    <row r="10" spans="2:6" s="31" customFormat="1" ht="15.75" thickBot="1" x14ac:dyDescent="0.3">
      <c r="B10" s="398" t="s">
        <v>294</v>
      </c>
      <c r="C10" s="399">
        <f>C5+C6+C7+C8</f>
        <v>28296758.868254572</v>
      </c>
      <c r="D10" s="399">
        <f t="shared" ref="D10:E10" si="2">D5+D6+D7+D8</f>
        <v>40174863.249533251</v>
      </c>
      <c r="E10" s="399">
        <f t="shared" si="2"/>
        <v>42183606.412009902</v>
      </c>
      <c r="F10" s="409"/>
    </row>
    <row r="11" spans="2:6" x14ac:dyDescent="0.25">
      <c r="C11" s="414">
        <f>C10-Pielikums_Anot_III_kopsavilkums!L20-Pielikums_Anot_III_kopsavilkums!L24</f>
        <v>-3.7252902984619141E-9</v>
      </c>
      <c r="D11" s="414">
        <f>D10-Pielikums_Anot_III_kopsavilkums!L29</f>
        <v>0</v>
      </c>
      <c r="E11" s="414">
        <f>E10-Pielikums_Anot_III_kopsavilkums!L38</f>
        <v>0</v>
      </c>
      <c r="F11" s="407"/>
    </row>
  </sheetData>
  <mergeCells count="1">
    <mergeCell ref="B1:E1"/>
  </mergeCells>
  <pageMargins left="1.1023622047244095" right="0.5118110236220472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0F39F-6D4A-4306-A1F2-4395C62046D0}">
  <dimension ref="A1:M24"/>
  <sheetViews>
    <sheetView workbookViewId="0">
      <selection activeCell="S32" sqref="S32"/>
    </sheetView>
  </sheetViews>
  <sheetFormatPr defaultRowHeight="15" x14ac:dyDescent="0.25"/>
  <cols>
    <col min="2" max="2" width="13.7109375" customWidth="1"/>
    <col min="3" max="4" width="10.7109375" customWidth="1"/>
    <col min="8" max="8" width="4.5703125" customWidth="1"/>
  </cols>
  <sheetData>
    <row r="1" spans="1:13" x14ac:dyDescent="0.25">
      <c r="A1" s="385"/>
      <c r="B1" s="385"/>
      <c r="C1" s="385"/>
      <c r="D1" s="385"/>
      <c r="E1" s="385"/>
      <c r="F1" s="385"/>
      <c r="G1" s="385"/>
      <c r="H1" s="385"/>
    </row>
    <row r="2" spans="1:13" x14ac:dyDescent="0.25">
      <c r="A2" s="385"/>
      <c r="B2" s="385"/>
      <c r="C2" s="385"/>
      <c r="D2" s="385"/>
      <c r="E2" s="385"/>
      <c r="F2" s="385"/>
      <c r="G2" s="385"/>
      <c r="H2" s="385"/>
    </row>
    <row r="3" spans="1:13" x14ac:dyDescent="0.25">
      <c r="A3" s="385"/>
      <c r="B3" s="354"/>
      <c r="C3" s="356">
        <v>500</v>
      </c>
      <c r="D3" s="356" t="s">
        <v>270</v>
      </c>
      <c r="E3" s="385"/>
      <c r="F3" s="385"/>
      <c r="G3" s="385"/>
      <c r="H3" s="385"/>
    </row>
    <row r="4" spans="1:13" ht="14.45" customHeight="1" x14ac:dyDescent="0.25">
      <c r="A4" s="385"/>
      <c r="B4" s="354" t="s">
        <v>166</v>
      </c>
      <c r="C4" s="357">
        <f>Sheet4!H31-Sheet3!H31</f>
        <v>0</v>
      </c>
      <c r="D4" s="357">
        <v>0</v>
      </c>
      <c r="E4" s="385"/>
      <c r="F4" s="556" t="s">
        <v>287</v>
      </c>
      <c r="G4" s="556"/>
      <c r="H4" s="556"/>
    </row>
    <row r="5" spans="1:13" x14ac:dyDescent="0.25">
      <c r="A5" s="385"/>
      <c r="B5" s="354" t="s">
        <v>167</v>
      </c>
      <c r="C5" s="357">
        <f>Sheet4!H32-Sheet3!H32-Sheet3!H45</f>
        <v>177670.13198712072</v>
      </c>
      <c r="D5" s="357">
        <v>0</v>
      </c>
      <c r="E5" s="385"/>
      <c r="F5" s="556"/>
      <c r="G5" s="556"/>
      <c r="H5" s="556"/>
    </row>
    <row r="6" spans="1:13" x14ac:dyDescent="0.25">
      <c r="A6" s="385"/>
      <c r="B6" s="354" t="s">
        <v>168</v>
      </c>
      <c r="C6" s="357">
        <f>Sheet4!H33-Sheet3!H33</f>
        <v>253396.1197505584</v>
      </c>
      <c r="D6" s="357">
        <v>0</v>
      </c>
      <c r="E6" s="385"/>
      <c r="F6" s="556"/>
      <c r="G6" s="556"/>
      <c r="H6" s="556"/>
      <c r="J6" s="225"/>
    </row>
    <row r="7" spans="1:13" x14ac:dyDescent="0.25">
      <c r="A7" s="385"/>
      <c r="B7" s="354" t="s">
        <v>169</v>
      </c>
      <c r="C7" s="357">
        <f>Sheet4!H34-Sheet3!H34</f>
        <v>256006.92236669501</v>
      </c>
      <c r="D7" s="357">
        <v>0</v>
      </c>
      <c r="E7" s="385"/>
      <c r="F7" s="556"/>
      <c r="G7" s="556"/>
      <c r="H7" s="556"/>
    </row>
    <row r="8" spans="1:13" x14ac:dyDescent="0.25">
      <c r="A8" s="385"/>
      <c r="B8" s="354" t="s">
        <v>170</v>
      </c>
      <c r="C8" s="357">
        <f>Sheet4!H35-Sheet3!H35</f>
        <v>273988.73108585947</v>
      </c>
      <c r="D8" s="357">
        <v>0</v>
      </c>
      <c r="E8" s="385"/>
      <c r="F8" s="556"/>
      <c r="G8" s="556"/>
      <c r="H8" s="556"/>
      <c r="K8" s="400"/>
    </row>
    <row r="9" spans="1:13" ht="15.75" thickBot="1" x14ac:dyDescent="0.3">
      <c r="A9" s="385"/>
      <c r="B9" s="365" t="s">
        <v>171</v>
      </c>
      <c r="C9" s="364">
        <f>Sheet4!H36-Sheet3!H36</f>
        <v>268204.61428459384</v>
      </c>
      <c r="D9" s="364">
        <v>0</v>
      </c>
      <c r="E9" s="385"/>
      <c r="F9" s="556"/>
      <c r="G9" s="556"/>
      <c r="H9" s="556"/>
    </row>
    <row r="10" spans="1:13" x14ac:dyDescent="0.25">
      <c r="A10" s="385"/>
      <c r="B10" s="361" t="s">
        <v>284</v>
      </c>
      <c r="C10" s="360">
        <f>Sheet4!H37-Sheet3!H37</f>
        <v>255568.58770230203</v>
      </c>
      <c r="D10" s="360">
        <v>0</v>
      </c>
      <c r="E10" s="385"/>
      <c r="F10" s="385"/>
      <c r="G10" s="385"/>
      <c r="H10" s="385"/>
      <c r="K10" s="225"/>
      <c r="L10" s="225"/>
      <c r="M10" s="225"/>
    </row>
    <row r="11" spans="1:13" x14ac:dyDescent="0.25">
      <c r="A11" s="385"/>
      <c r="B11" s="354" t="s">
        <v>173</v>
      </c>
      <c r="C11" s="357">
        <f>Sheet4!H38-Sheet3!H38</f>
        <v>225051.89453388448</v>
      </c>
      <c r="D11" s="357">
        <f>Pielikums_Anot_III_kopsavilkums!I15-Sheet3!H38-C11</f>
        <v>1185141.7045243122</v>
      </c>
      <c r="E11" s="385"/>
      <c r="F11" s="385"/>
      <c r="G11" s="385"/>
      <c r="H11" s="385"/>
      <c r="M11" s="225"/>
    </row>
    <row r="12" spans="1:13" x14ac:dyDescent="0.25">
      <c r="A12" s="385"/>
      <c r="B12" s="354" t="s">
        <v>174</v>
      </c>
      <c r="C12" s="357">
        <f>Sheet4!H39-Sheet3!H39</f>
        <v>236264.37223378476</v>
      </c>
      <c r="D12" s="357">
        <f>Pielikums_Anot_III_kopsavilkums!I16-Sheet3!H39-C12</f>
        <v>1244187.5302025301</v>
      </c>
      <c r="E12" s="385"/>
      <c r="F12" s="385"/>
      <c r="G12" s="385"/>
      <c r="H12" s="385"/>
      <c r="M12" s="400"/>
    </row>
    <row r="13" spans="1:13" x14ac:dyDescent="0.25">
      <c r="A13" s="385"/>
      <c r="B13" s="354" t="s">
        <v>175</v>
      </c>
      <c r="C13" s="357">
        <f>Sheet4!H40-Sheet3!H40</f>
        <v>260879.61905752751</v>
      </c>
      <c r="D13" s="357">
        <f>Pielikums_Anot_III_kopsavilkums!I17-Sheet3!H40-C13</f>
        <v>1373813.4355449302</v>
      </c>
      <c r="E13" s="385"/>
      <c r="F13" s="385"/>
      <c r="G13" s="385"/>
      <c r="H13" s="385"/>
    </row>
    <row r="14" spans="1:13" x14ac:dyDescent="0.25">
      <c r="A14" s="385"/>
      <c r="B14" s="354" t="s">
        <v>176</v>
      </c>
      <c r="C14" s="357">
        <f>Sheet4!H41-Sheet3!H41</f>
        <v>255709.0781578254</v>
      </c>
      <c r="D14" s="357">
        <f>Pielikums_Anot_III_kopsavilkums!I18-Sheet3!H41-C14</f>
        <v>1344749.9200824979</v>
      </c>
      <c r="E14" s="385"/>
      <c r="F14" s="389"/>
      <c r="G14" s="385"/>
      <c r="H14" s="385"/>
      <c r="I14" s="225"/>
      <c r="J14" s="225"/>
      <c r="M14" s="415"/>
    </row>
    <row r="15" spans="1:13" x14ac:dyDescent="0.25">
      <c r="A15" s="385"/>
      <c r="B15" s="354" t="s">
        <v>177</v>
      </c>
      <c r="C15" s="357">
        <f>Sheet4!H42-Sheet3!H42</f>
        <v>277215.04689656664</v>
      </c>
      <c r="D15" s="357">
        <f>Pielikums_Anot_III_kopsavilkums!I19-Sheet3!H42-C15</f>
        <v>1461672.1598435838</v>
      </c>
      <c r="E15" s="385"/>
      <c r="F15" s="389"/>
      <c r="G15" s="385"/>
      <c r="H15" s="385"/>
    </row>
    <row r="16" spans="1:13" x14ac:dyDescent="0.25">
      <c r="A16" s="385"/>
      <c r="B16" s="354"/>
      <c r="C16" s="358">
        <f>SUM(C4:C15)</f>
        <v>2739955.1180567183</v>
      </c>
      <c r="D16" s="358">
        <f>SUM(D4:D15)</f>
        <v>6609564.7501978548</v>
      </c>
      <c r="E16" s="385"/>
      <c r="F16" s="385"/>
      <c r="G16" s="385"/>
      <c r="H16" s="385"/>
    </row>
    <row r="17" spans="1:8" x14ac:dyDescent="0.25">
      <c r="A17" s="385"/>
      <c r="B17" s="386"/>
      <c r="C17" s="387" t="s">
        <v>286</v>
      </c>
      <c r="D17" s="388">
        <v>136600</v>
      </c>
      <c r="E17" s="385"/>
      <c r="F17" s="385"/>
      <c r="G17" s="385"/>
      <c r="H17" s="385"/>
    </row>
    <row r="18" spans="1:8" x14ac:dyDescent="0.25">
      <c r="A18" s="385"/>
      <c r="B18" s="386"/>
      <c r="C18" s="387">
        <f>C16</f>
        <v>2739955.1180567183</v>
      </c>
      <c r="D18" s="388">
        <f>D16+D17</f>
        <v>6746164.7501978548</v>
      </c>
      <c r="E18" s="385"/>
      <c r="F18" s="385"/>
      <c r="G18" s="385"/>
      <c r="H18" s="385"/>
    </row>
    <row r="19" spans="1:8" x14ac:dyDescent="0.25">
      <c r="A19" s="385"/>
      <c r="B19" s="385"/>
      <c r="C19" s="554">
        <f>C16+D16+D17</f>
        <v>9486119.8682545722</v>
      </c>
      <c r="D19" s="555"/>
      <c r="E19" s="385"/>
      <c r="F19" s="385"/>
      <c r="G19" s="385"/>
      <c r="H19" s="385"/>
    </row>
    <row r="20" spans="1:8" x14ac:dyDescent="0.25">
      <c r="A20" s="385"/>
      <c r="B20" s="385"/>
      <c r="C20" s="385"/>
      <c r="D20" s="389">
        <f>C19-Pielikums_Anot_III_kopsavilkums!L25</f>
        <v>0</v>
      </c>
      <c r="E20" s="385"/>
      <c r="F20" s="385"/>
      <c r="G20" s="385"/>
      <c r="H20" s="385"/>
    </row>
    <row r="21" spans="1:8" x14ac:dyDescent="0.25">
      <c r="B21" s="225"/>
    </row>
    <row r="23" spans="1:8" x14ac:dyDescent="0.25">
      <c r="F23" s="225"/>
    </row>
    <row r="24" spans="1:8" x14ac:dyDescent="0.25">
      <c r="B24" s="225"/>
    </row>
  </sheetData>
  <mergeCells count="2">
    <mergeCell ref="C19:D19"/>
    <mergeCell ref="F4:H9"/>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9994-4D7B-4A34-8CC1-48C23041721D}">
  <dimension ref="A1:AL171"/>
  <sheetViews>
    <sheetView topLeftCell="A3" zoomScale="70" zoomScaleNormal="70" workbookViewId="0">
      <selection activeCell="AP164" sqref="AP164"/>
    </sheetView>
  </sheetViews>
  <sheetFormatPr defaultColWidth="8.85546875" defaultRowHeight="15" x14ac:dyDescent="0.25"/>
  <cols>
    <col min="1" max="1" width="1.28515625" style="79" customWidth="1"/>
    <col min="2" max="2" width="4.85546875" style="79" customWidth="1"/>
    <col min="3" max="3" width="30" style="79" customWidth="1"/>
    <col min="4" max="6" width="11.140625" style="79" customWidth="1"/>
    <col min="7" max="7" width="1.85546875" style="79" hidden="1" customWidth="1"/>
    <col min="8" max="8" width="1.28515625" style="79" hidden="1" customWidth="1"/>
    <col min="9" max="9" width="1.85546875" style="141" hidden="1" customWidth="1"/>
    <col min="10" max="10" width="4.85546875" style="79" hidden="1" customWidth="1"/>
    <col min="11" max="11" width="30" style="79" hidden="1" customWidth="1"/>
    <col min="12" max="14" width="11.140625" style="79" hidden="1" customWidth="1"/>
    <col min="15" max="15" width="1.85546875" style="79" hidden="1" customWidth="1"/>
    <col min="16" max="16" width="1.28515625" style="79" hidden="1" customWidth="1"/>
    <col min="17" max="17" width="1.85546875" style="79" hidden="1" customWidth="1"/>
    <col min="18" max="18" width="4.85546875" style="79" hidden="1" customWidth="1"/>
    <col min="19" max="19" width="30" style="79" hidden="1" customWidth="1"/>
    <col min="20" max="22" width="11.140625" style="79" hidden="1" customWidth="1"/>
    <col min="23" max="24" width="0" style="79" hidden="1" customWidth="1"/>
    <col min="25" max="25" width="3.5703125" style="79" customWidth="1"/>
    <col min="26" max="26" width="1.28515625" style="79" hidden="1" customWidth="1"/>
    <col min="27" max="27" width="4.85546875" style="79" customWidth="1"/>
    <col min="28" max="28" width="30" style="79" customWidth="1"/>
    <col min="29" max="31" width="11.140625" style="79" customWidth="1"/>
    <col min="32" max="32" width="3.5703125" style="79" customWidth="1"/>
    <col min="33" max="33" width="1.28515625" style="79" hidden="1" customWidth="1"/>
    <col min="34" max="34" width="4.85546875" style="79" customWidth="1"/>
    <col min="35" max="35" width="30" style="79" customWidth="1"/>
    <col min="36" max="38" width="11.140625" style="79" customWidth="1"/>
    <col min="39" max="16384" width="8.85546875" style="79"/>
  </cols>
  <sheetData>
    <row r="1" spans="1:38" ht="18.75" hidden="1" x14ac:dyDescent="0.3">
      <c r="F1" s="128"/>
      <c r="G1" s="128"/>
      <c r="H1" s="137"/>
      <c r="I1" s="138"/>
      <c r="J1" s="128"/>
      <c r="K1" s="128"/>
      <c r="L1" s="128"/>
      <c r="M1" s="128"/>
      <c r="N1" s="128"/>
      <c r="O1" s="128"/>
      <c r="P1" s="137"/>
      <c r="Q1" s="128"/>
      <c r="R1" s="128"/>
      <c r="S1" s="128"/>
      <c r="V1" s="77" t="s">
        <v>111</v>
      </c>
      <c r="AE1" s="128"/>
      <c r="AL1" s="128"/>
    </row>
    <row r="2" spans="1:38" ht="18.75" hidden="1" x14ac:dyDescent="0.3">
      <c r="F2" s="128"/>
      <c r="G2" s="128"/>
      <c r="H2" s="137"/>
      <c r="I2" s="138"/>
      <c r="J2" s="128"/>
      <c r="K2" s="128"/>
      <c r="L2" s="128"/>
      <c r="M2" s="128"/>
      <c r="N2" s="128"/>
      <c r="O2" s="128"/>
      <c r="P2" s="137"/>
      <c r="Q2" s="128"/>
      <c r="R2" s="128"/>
      <c r="S2" s="128"/>
      <c r="V2" s="81" t="s">
        <v>106</v>
      </c>
      <c r="AE2" s="128"/>
      <c r="AL2" s="128"/>
    </row>
    <row r="3" spans="1:38" ht="18.75" x14ac:dyDescent="0.3">
      <c r="F3" s="128"/>
      <c r="G3" s="128"/>
      <c r="H3" s="137"/>
      <c r="I3" s="138"/>
      <c r="J3" s="128"/>
      <c r="K3" s="128"/>
      <c r="L3" s="128"/>
      <c r="M3" s="128"/>
      <c r="N3" s="128"/>
      <c r="O3" s="128"/>
      <c r="P3" s="137"/>
      <c r="Q3" s="128"/>
      <c r="R3" s="128"/>
      <c r="S3" s="128"/>
      <c r="V3" s="416"/>
      <c r="AE3" s="128"/>
      <c r="AL3" s="420" t="str">
        <f>Pielikums_Anot_III_kopsavilkums!N1</f>
        <v>Pielikums</v>
      </c>
    </row>
    <row r="4" spans="1:38" ht="18.75" x14ac:dyDescent="0.3">
      <c r="F4" s="128"/>
      <c r="G4" s="128"/>
      <c r="H4" s="137"/>
      <c r="I4" s="138"/>
      <c r="J4" s="128"/>
      <c r="K4" s="128"/>
      <c r="L4" s="128"/>
      <c r="M4" s="128"/>
      <c r="N4" s="128"/>
      <c r="O4" s="128"/>
      <c r="P4" s="137"/>
      <c r="Q4" s="128"/>
      <c r="R4" s="128"/>
      <c r="S4" s="128"/>
      <c r="V4" s="416"/>
      <c r="AE4" s="128"/>
      <c r="AL4" s="420" t="str">
        <f>Pielikums_Anot_III_kopsavilkums!N2</f>
        <v>Likumprojekta “Grozījumi Invaliditātes likumā” sākotnējās ietekmes novērtējuma ziņojumam (anotācijai)</v>
      </c>
    </row>
    <row r="5" spans="1:38" ht="18.75" customHeight="1" x14ac:dyDescent="0.3">
      <c r="B5" s="445" t="s">
        <v>304</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row>
    <row r="6" spans="1:38" s="139" customFormat="1" ht="34.5" customHeight="1" x14ac:dyDescent="0.25">
      <c r="A6" s="446" t="s">
        <v>263</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row>
    <row r="7" spans="1:38" ht="18.75" x14ac:dyDescent="0.3">
      <c r="C7" s="61" t="s">
        <v>309</v>
      </c>
      <c r="F7" s="128"/>
      <c r="G7" s="128"/>
      <c r="H7" s="140"/>
      <c r="I7" s="138"/>
      <c r="J7" s="128"/>
      <c r="K7" s="128"/>
      <c r="L7" s="128"/>
      <c r="M7" s="128"/>
      <c r="N7" s="128"/>
      <c r="O7" s="128"/>
      <c r="P7" s="140"/>
      <c r="Q7" s="128"/>
      <c r="R7" s="128"/>
      <c r="AB7" s="61">
        <v>2022</v>
      </c>
      <c r="AE7" s="128"/>
      <c r="AI7" s="61">
        <v>2023</v>
      </c>
      <c r="AL7" s="128"/>
    </row>
    <row r="8" spans="1:38" ht="20.25" hidden="1" x14ac:dyDescent="0.3">
      <c r="B8" s="452" t="s">
        <v>134</v>
      </c>
      <c r="C8" s="452"/>
      <c r="H8" s="95"/>
      <c r="J8" s="452" t="s">
        <v>135</v>
      </c>
      <c r="K8" s="452"/>
      <c r="P8" s="95"/>
      <c r="R8" s="452" t="s">
        <v>146</v>
      </c>
      <c r="S8" s="452"/>
      <c r="AA8" s="452" t="s">
        <v>134</v>
      </c>
      <c r="AB8" s="452"/>
      <c r="AH8" s="452" t="s">
        <v>134</v>
      </c>
      <c r="AI8" s="452"/>
    </row>
    <row r="9" spans="1:38" ht="18.75" hidden="1" x14ac:dyDescent="0.3">
      <c r="C9" s="142"/>
      <c r="H9" s="95"/>
      <c r="K9" s="142"/>
      <c r="P9" s="95"/>
      <c r="S9" s="142"/>
      <c r="AB9" s="142"/>
      <c r="AI9" s="142"/>
    </row>
    <row r="10" spans="1:38" x14ac:dyDescent="0.25">
      <c r="B10" s="448" t="s">
        <v>131</v>
      </c>
      <c r="C10" s="448"/>
      <c r="H10" s="96"/>
      <c r="J10" s="448" t="s">
        <v>132</v>
      </c>
      <c r="K10" s="448"/>
      <c r="P10" s="96"/>
      <c r="R10" s="448" t="s">
        <v>133</v>
      </c>
      <c r="S10" s="448"/>
      <c r="AA10" s="448" t="s">
        <v>131</v>
      </c>
      <c r="AB10" s="448"/>
      <c r="AH10" s="448" t="s">
        <v>131</v>
      </c>
      <c r="AI10" s="448"/>
    </row>
    <row r="11" spans="1:38" x14ac:dyDescent="0.25">
      <c r="B11" s="449" t="s">
        <v>61</v>
      </c>
      <c r="C11" s="449"/>
      <c r="D11" s="143" t="s">
        <v>42</v>
      </c>
      <c r="E11" s="143" t="s">
        <v>47</v>
      </c>
      <c r="F11" s="144" t="s">
        <v>12</v>
      </c>
      <c r="H11" s="96"/>
      <c r="J11" s="449" t="s">
        <v>61</v>
      </c>
      <c r="K11" s="449"/>
      <c r="L11" s="143" t="s">
        <v>42</v>
      </c>
      <c r="M11" s="143" t="s">
        <v>47</v>
      </c>
      <c r="N11" s="144" t="s">
        <v>12</v>
      </c>
      <c r="P11" s="96"/>
      <c r="R11" s="449" t="s">
        <v>61</v>
      </c>
      <c r="S11" s="449"/>
      <c r="T11" s="143" t="s">
        <v>42</v>
      </c>
      <c r="U11" s="143" t="s">
        <v>47</v>
      </c>
      <c r="V11" s="144" t="s">
        <v>12</v>
      </c>
      <c r="AA11" s="449" t="s">
        <v>61</v>
      </c>
      <c r="AB11" s="449"/>
      <c r="AC11" s="143" t="s">
        <v>42</v>
      </c>
      <c r="AD11" s="143" t="s">
        <v>47</v>
      </c>
      <c r="AE11" s="144" t="s">
        <v>12</v>
      </c>
      <c r="AH11" s="449" t="s">
        <v>61</v>
      </c>
      <c r="AI11" s="449"/>
      <c r="AJ11" s="143" t="s">
        <v>42</v>
      </c>
      <c r="AK11" s="143" t="s">
        <v>47</v>
      </c>
      <c r="AL11" s="144" t="s">
        <v>12</v>
      </c>
    </row>
    <row r="12" spans="1:38" x14ac:dyDescent="0.25">
      <c r="B12" s="450" t="s">
        <v>159</v>
      </c>
      <c r="C12" s="450"/>
      <c r="D12" s="145">
        <f>D20+D27</f>
        <v>36010932.221007183</v>
      </c>
      <c r="E12" s="145">
        <f>E20+E27</f>
        <v>4324760.8633093517</v>
      </c>
      <c r="F12" s="146">
        <f>D12+E12</f>
        <v>40335693.084316537</v>
      </c>
      <c r="H12" s="96"/>
      <c r="J12" s="450" t="s">
        <v>159</v>
      </c>
      <c r="K12" s="450"/>
      <c r="L12" s="145">
        <f>L20+L27</f>
        <v>0</v>
      </c>
      <c r="M12" s="145">
        <f>M20+M27</f>
        <v>40335693.084316537</v>
      </c>
      <c r="N12" s="146">
        <f>L12+M12</f>
        <v>40335693.084316537</v>
      </c>
      <c r="P12" s="96"/>
      <c r="R12" s="450" t="s">
        <v>159</v>
      </c>
      <c r="S12" s="450"/>
      <c r="T12" s="145" t="e">
        <f>T20+T27</f>
        <v>#REF!</v>
      </c>
      <c r="U12" s="145" t="e">
        <f>U20+U27</f>
        <v>#REF!</v>
      </c>
      <c r="V12" s="146" t="e">
        <f>T12+U12</f>
        <v>#REF!</v>
      </c>
      <c r="AA12" s="450" t="s">
        <v>159</v>
      </c>
      <c r="AB12" s="450"/>
      <c r="AC12" s="145">
        <f>AC20+AC27</f>
        <v>37811478.832057551</v>
      </c>
      <c r="AD12" s="145">
        <f>AD20+AD27</f>
        <v>4540998.9064748194</v>
      </c>
      <c r="AE12" s="146">
        <f>AC12+AD12</f>
        <v>42352477.738532372</v>
      </c>
      <c r="AH12" s="450" t="s">
        <v>159</v>
      </c>
      <c r="AI12" s="450"/>
      <c r="AJ12" s="145">
        <f>AJ20+AJ27</f>
        <v>39702052.773660421</v>
      </c>
      <c r="AK12" s="145">
        <f>AK20+AK27</f>
        <v>4768048.8517985605</v>
      </c>
      <c r="AL12" s="146">
        <f>AJ12+AK12</f>
        <v>44470101.625458986</v>
      </c>
    </row>
    <row r="13" spans="1:38" x14ac:dyDescent="0.25">
      <c r="B13" s="450" t="s">
        <v>56</v>
      </c>
      <c r="C13" s="450"/>
      <c r="D13" s="145">
        <f t="shared" ref="D13:E14" si="0">D21+D28</f>
        <v>593258.90996134572</v>
      </c>
      <c r="E13" s="145">
        <f t="shared" si="0"/>
        <v>0</v>
      </c>
      <c r="F13" s="145">
        <f t="shared" ref="F13:F14" si="1">D13+E13</f>
        <v>593258.90996134572</v>
      </c>
      <c r="H13" s="96"/>
      <c r="J13" s="450" t="s">
        <v>56</v>
      </c>
      <c r="K13" s="450"/>
      <c r="L13" s="145">
        <f t="shared" ref="L13" si="2">L21+L28</f>
        <v>0</v>
      </c>
      <c r="M13" s="145">
        <f>M21+M28</f>
        <v>593258.90996134572</v>
      </c>
      <c r="N13" s="145">
        <f t="shared" ref="N13:N14" si="3">L13+M13</f>
        <v>593258.90996134572</v>
      </c>
      <c r="P13" s="96"/>
      <c r="R13" s="450" t="s">
        <v>56</v>
      </c>
      <c r="S13" s="450"/>
      <c r="T13" s="145">
        <f>T21+T28</f>
        <v>593258.90996134572</v>
      </c>
      <c r="U13" s="145">
        <f t="shared" ref="U13" si="4">U21+U28</f>
        <v>0</v>
      </c>
      <c r="V13" s="145">
        <f t="shared" ref="V13:V14" si="5">T13+U13</f>
        <v>593258.90996134572</v>
      </c>
      <c r="AA13" s="450" t="s">
        <v>56</v>
      </c>
      <c r="AB13" s="450"/>
      <c r="AC13" s="145">
        <f t="shared" ref="AC13:AD13" si="6">AC21+AC28</f>
        <v>622921.85545941303</v>
      </c>
      <c r="AD13" s="145">
        <f t="shared" si="6"/>
        <v>0</v>
      </c>
      <c r="AE13" s="145">
        <f t="shared" ref="AE13:AE14" si="7">AC13+AD13</f>
        <v>622921.85545941303</v>
      </c>
      <c r="AH13" s="450" t="s">
        <v>56</v>
      </c>
      <c r="AI13" s="450"/>
      <c r="AJ13" s="145">
        <f t="shared" ref="AJ13:AK13" si="8">AJ21+AJ28</f>
        <v>654067.9482323837</v>
      </c>
      <c r="AK13" s="145">
        <f t="shared" si="8"/>
        <v>0</v>
      </c>
      <c r="AL13" s="145">
        <f t="shared" ref="AL13:AL14" si="9">AJ13+AK13</f>
        <v>654067.9482323837</v>
      </c>
    </row>
    <row r="14" spans="1:38" x14ac:dyDescent="0.25">
      <c r="B14" s="147" t="s">
        <v>104</v>
      </c>
      <c r="C14" s="147"/>
      <c r="D14" s="145">
        <f>D22+D29</f>
        <v>1830209.5565484269</v>
      </c>
      <c r="E14" s="145">
        <f t="shared" si="0"/>
        <v>216238.04316546759</v>
      </c>
      <c r="F14" s="145">
        <f t="shared" si="1"/>
        <v>2046447.5997138945</v>
      </c>
      <c r="H14" s="96"/>
      <c r="J14" s="182" t="s">
        <v>104</v>
      </c>
      <c r="K14" s="182"/>
      <c r="L14" s="145">
        <f t="shared" ref="L14:M14" si="10">L22+L29</f>
        <v>0</v>
      </c>
      <c r="M14" s="145">
        <f t="shared" si="10"/>
        <v>2046447.5997138943</v>
      </c>
      <c r="N14" s="145">
        <f t="shared" si="3"/>
        <v>2046447.5997138943</v>
      </c>
      <c r="P14" s="96"/>
      <c r="R14" s="182" t="s">
        <v>104</v>
      </c>
      <c r="S14" s="182"/>
      <c r="T14" s="145" t="e">
        <f t="shared" ref="T14:U14" si="11">T22+T29</f>
        <v>#REF!</v>
      </c>
      <c r="U14" s="145" t="e">
        <f t="shared" si="11"/>
        <v>#REF!</v>
      </c>
      <c r="V14" s="145" t="e">
        <f t="shared" si="5"/>
        <v>#REF!</v>
      </c>
      <c r="AA14" s="418" t="s">
        <v>104</v>
      </c>
      <c r="AB14" s="418"/>
      <c r="AC14" s="145">
        <f>AC22+AC29</f>
        <v>1921720.0343758482</v>
      </c>
      <c r="AD14" s="145">
        <f t="shared" ref="AD14" si="12">AD22+AD29</f>
        <v>227049.94532374098</v>
      </c>
      <c r="AE14" s="145">
        <f t="shared" si="7"/>
        <v>2148769.9796995893</v>
      </c>
      <c r="AH14" s="418" t="s">
        <v>104</v>
      </c>
      <c r="AI14" s="418"/>
      <c r="AJ14" s="145">
        <f>AJ22+AJ29</f>
        <v>2017806.0360946406</v>
      </c>
      <c r="AK14" s="145">
        <f t="shared" ref="AK14" si="13">AK22+AK29</f>
        <v>238402.44258992805</v>
      </c>
      <c r="AL14" s="145">
        <f t="shared" si="9"/>
        <v>2256208.4786845688</v>
      </c>
    </row>
    <row r="15" spans="1:38" x14ac:dyDescent="0.25">
      <c r="B15" s="451" t="s">
        <v>39</v>
      </c>
      <c r="C15" s="451"/>
      <c r="D15" s="149">
        <f>D12+D13+D14</f>
        <v>38434400.68751695</v>
      </c>
      <c r="E15" s="149">
        <f t="shared" ref="E15" si="14">E12+E13+E14</f>
        <v>4540998.9064748194</v>
      </c>
      <c r="F15" s="149">
        <f t="shared" ref="F15" si="15">F12+F13+F14</f>
        <v>42975399.593991771</v>
      </c>
      <c r="G15" s="150">
        <f>F15-F23-F30</f>
        <v>0</v>
      </c>
      <c r="H15" s="96"/>
      <c r="J15" s="451" t="s">
        <v>39</v>
      </c>
      <c r="K15" s="451"/>
      <c r="L15" s="149">
        <f>L12+L13+L14</f>
        <v>0</v>
      </c>
      <c r="M15" s="149">
        <f t="shared" ref="M15" si="16">M12+M13+M14</f>
        <v>42975399.593991771</v>
      </c>
      <c r="N15" s="149">
        <f t="shared" ref="N15" si="17">N12+N13+N14</f>
        <v>42975399.593991771</v>
      </c>
      <c r="O15" s="150">
        <f>N15-N23-N30</f>
        <v>0</v>
      </c>
      <c r="P15" s="96"/>
      <c r="R15" s="451" t="s">
        <v>39</v>
      </c>
      <c r="S15" s="451"/>
      <c r="T15" s="149" t="e">
        <f>T12+T13+T14</f>
        <v>#REF!</v>
      </c>
      <c r="U15" s="149" t="e">
        <f t="shared" ref="U15:V15" si="18">U12+U13+U14</f>
        <v>#REF!</v>
      </c>
      <c r="V15" s="149" t="e">
        <f t="shared" si="18"/>
        <v>#REF!</v>
      </c>
      <c r="AA15" s="451" t="s">
        <v>39</v>
      </c>
      <c r="AB15" s="451"/>
      <c r="AC15" s="149">
        <f>AC12+AC13+AC14</f>
        <v>40356120.721892811</v>
      </c>
      <c r="AD15" s="149">
        <f t="shared" ref="AD15:AE15" si="19">AD12+AD13+AD14</f>
        <v>4768048.8517985605</v>
      </c>
      <c r="AE15" s="149">
        <f t="shared" si="19"/>
        <v>45124169.573691376</v>
      </c>
      <c r="AH15" s="451" t="s">
        <v>39</v>
      </c>
      <c r="AI15" s="451"/>
      <c r="AJ15" s="149">
        <f>AJ12+AJ13+AJ14</f>
        <v>42373926.757987447</v>
      </c>
      <c r="AK15" s="149">
        <f t="shared" ref="AK15:AL15" si="20">AK12+AK13+AK14</f>
        <v>5006451.2943884889</v>
      </c>
      <c r="AL15" s="149">
        <f t="shared" si="20"/>
        <v>47380378.052375935</v>
      </c>
    </row>
    <row r="16" spans="1:38" x14ac:dyDescent="0.25">
      <c r="C16" s="142" t="s">
        <v>62</v>
      </c>
      <c r="D16" s="92"/>
      <c r="E16" s="92"/>
      <c r="H16" s="96"/>
      <c r="K16" s="142" t="s">
        <v>62</v>
      </c>
      <c r="L16" s="92"/>
      <c r="M16" s="92"/>
      <c r="P16" s="96"/>
      <c r="S16" s="142" t="s">
        <v>62</v>
      </c>
      <c r="AB16" s="142" t="s">
        <v>62</v>
      </c>
      <c r="AC16" s="92"/>
      <c r="AD16" s="92"/>
      <c r="AI16" s="142" t="s">
        <v>62</v>
      </c>
      <c r="AJ16" s="92"/>
      <c r="AK16" s="92"/>
    </row>
    <row r="17" spans="3:38" x14ac:dyDescent="0.25">
      <c r="C17" s="142"/>
      <c r="H17" s="96"/>
      <c r="K17" s="142"/>
      <c r="P17" s="96"/>
      <c r="S17" s="142"/>
      <c r="AB17" s="142"/>
      <c r="AI17" s="142"/>
    </row>
    <row r="18" spans="3:38" x14ac:dyDescent="0.25">
      <c r="C18" s="151" t="s">
        <v>136</v>
      </c>
      <c r="H18" s="96"/>
      <c r="K18" s="151" t="s">
        <v>137</v>
      </c>
      <c r="P18" s="96"/>
      <c r="S18" s="151" t="s">
        <v>138</v>
      </c>
      <c r="AB18" s="151" t="s">
        <v>136</v>
      </c>
      <c r="AI18" s="151" t="s">
        <v>136</v>
      </c>
    </row>
    <row r="19" spans="3:38" x14ac:dyDescent="0.25">
      <c r="C19" s="152" t="s">
        <v>61</v>
      </c>
      <c r="D19" s="153" t="s">
        <v>42</v>
      </c>
      <c r="E19" s="153" t="s">
        <v>47</v>
      </c>
      <c r="F19" s="154" t="s">
        <v>12</v>
      </c>
      <c r="H19" s="96"/>
      <c r="K19" s="152" t="s">
        <v>61</v>
      </c>
      <c r="L19" s="153" t="s">
        <v>42</v>
      </c>
      <c r="M19" s="153" t="s">
        <v>47</v>
      </c>
      <c r="N19" s="154" t="s">
        <v>12</v>
      </c>
      <c r="P19" s="96"/>
      <c r="S19" s="152" t="s">
        <v>61</v>
      </c>
      <c r="T19" s="153" t="s">
        <v>42</v>
      </c>
      <c r="U19" s="153" t="s">
        <v>47</v>
      </c>
      <c r="V19" s="154" t="s">
        <v>12</v>
      </c>
      <c r="AB19" s="152" t="s">
        <v>61</v>
      </c>
      <c r="AC19" s="153" t="s">
        <v>42</v>
      </c>
      <c r="AD19" s="153" t="s">
        <v>47</v>
      </c>
      <c r="AE19" s="154" t="s">
        <v>12</v>
      </c>
      <c r="AI19" s="152" t="s">
        <v>61</v>
      </c>
      <c r="AJ19" s="153" t="s">
        <v>42</v>
      </c>
      <c r="AK19" s="153" t="s">
        <v>47</v>
      </c>
      <c r="AL19" s="154" t="s">
        <v>12</v>
      </c>
    </row>
    <row r="20" spans="3:38" x14ac:dyDescent="0.25">
      <c r="C20" s="121" t="str">
        <f>B12</f>
        <v>Atlīdzības izdevumi pak.cenā, euro</v>
      </c>
      <c r="D20" s="155">
        <f>'1.2.'!F26</f>
        <v>25415268.105899274</v>
      </c>
      <c r="E20" s="155">
        <v>0</v>
      </c>
      <c r="F20" s="156">
        <f>D20+E20</f>
        <v>25415268.105899274</v>
      </c>
      <c r="H20" s="96"/>
      <c r="K20" s="121" t="str">
        <f>C20</f>
        <v>Atlīdzības izdevumi pak.cenā, euro</v>
      </c>
      <c r="L20" s="155">
        <v>0</v>
      </c>
      <c r="M20" s="155">
        <f>D20</f>
        <v>25415268.105899274</v>
      </c>
      <c r="N20" s="156">
        <f>L20+M20</f>
        <v>25415268.105899274</v>
      </c>
      <c r="P20" s="96"/>
      <c r="S20" s="121" t="str">
        <f>K20</f>
        <v>Atlīdzības izdevumi pak.cenā, euro</v>
      </c>
      <c r="T20" s="155" t="e">
        <f>'1.2.'!F47</f>
        <v>#REF!</v>
      </c>
      <c r="U20" s="155">
        <v>0</v>
      </c>
      <c r="V20" s="156" t="e">
        <f>T20+U20</f>
        <v>#REF!</v>
      </c>
      <c r="AB20" s="121" t="str">
        <f>AA12</f>
        <v>Atlīdzības izdevumi pak.cenā, euro</v>
      </c>
      <c r="AC20" s="155">
        <v>26686031.51119424</v>
      </c>
      <c r="AD20" s="155">
        <v>0</v>
      </c>
      <c r="AE20" s="156">
        <v>26686031.51119424</v>
      </c>
      <c r="AI20" s="121" t="str">
        <f>AH12</f>
        <v>Atlīdzības izdevumi pak.cenā, euro</v>
      </c>
      <c r="AJ20" s="155">
        <v>28020333.086753953</v>
      </c>
      <c r="AK20" s="155">
        <v>0</v>
      </c>
      <c r="AL20" s="156">
        <v>28020333.086753953</v>
      </c>
    </row>
    <row r="21" spans="3:38" x14ac:dyDescent="0.25">
      <c r="C21" s="121" t="str">
        <f>B13</f>
        <v>Transporta izdevumi, euro</v>
      </c>
      <c r="D21" s="155">
        <f>'1.2.'!F27</f>
        <v>323459.24762368342</v>
      </c>
      <c r="E21" s="155">
        <v>0</v>
      </c>
      <c r="F21" s="155">
        <f t="shared" ref="F21:F22" si="21">D21+E21</f>
        <v>323459.24762368342</v>
      </c>
      <c r="H21" s="96"/>
      <c r="K21" s="121" t="str">
        <f t="shared" ref="K21:K22" si="22">C21</f>
        <v>Transporta izdevumi, euro</v>
      </c>
      <c r="L21" s="155">
        <v>0</v>
      </c>
      <c r="M21" s="155">
        <f t="shared" ref="M21:M22" si="23">D21</f>
        <v>323459.24762368342</v>
      </c>
      <c r="N21" s="155">
        <f t="shared" ref="N21:N22" si="24">L21+M21</f>
        <v>323459.24762368342</v>
      </c>
      <c r="P21" s="96"/>
      <c r="S21" s="121" t="str">
        <f t="shared" ref="S21:S22" si="25">K21</f>
        <v>Transporta izdevumi, euro</v>
      </c>
      <c r="T21" s="155">
        <f>'1.2.'!F48</f>
        <v>323459.24762368342</v>
      </c>
      <c r="U21" s="155">
        <v>0</v>
      </c>
      <c r="V21" s="155">
        <f t="shared" ref="V21:V22" si="26">T21+U21</f>
        <v>323459.24762368342</v>
      </c>
      <c r="AB21" s="121" t="str">
        <f>AA13</f>
        <v>Transporta izdevumi, euro</v>
      </c>
      <c r="AC21" s="155">
        <v>339632.21000486764</v>
      </c>
      <c r="AD21" s="155">
        <v>0</v>
      </c>
      <c r="AE21" s="155">
        <v>339632.21000486764</v>
      </c>
      <c r="AI21" s="121" t="str">
        <f>AH13</f>
        <v>Transporta izdevumi, euro</v>
      </c>
      <c r="AJ21" s="155">
        <v>356613.82050511101</v>
      </c>
      <c r="AK21" s="155">
        <v>0</v>
      </c>
      <c r="AL21" s="155">
        <v>356613.82050511101</v>
      </c>
    </row>
    <row r="22" spans="3:38" x14ac:dyDescent="0.25">
      <c r="C22" s="121" t="str">
        <f>B14</f>
        <v>Administrēšana ~5%, euro</v>
      </c>
      <c r="D22" s="155">
        <f>'1.2.'!F28</f>
        <v>1286936.367676148</v>
      </c>
      <c r="E22" s="155">
        <v>0</v>
      </c>
      <c r="F22" s="155">
        <f t="shared" si="21"/>
        <v>1286936.367676148</v>
      </c>
      <c r="H22" s="96"/>
      <c r="K22" s="121" t="str">
        <f t="shared" si="22"/>
        <v>Administrēšana ~5%, euro</v>
      </c>
      <c r="L22" s="155">
        <v>0</v>
      </c>
      <c r="M22" s="155">
        <f t="shared" si="23"/>
        <v>1286936.367676148</v>
      </c>
      <c r="N22" s="155">
        <f t="shared" si="24"/>
        <v>1286936.367676148</v>
      </c>
      <c r="P22" s="96"/>
      <c r="S22" s="121" t="str">
        <f t="shared" si="25"/>
        <v>Administrēšana ~5%, euro</v>
      </c>
      <c r="T22" s="155" t="e">
        <f>'1.2.'!F49</f>
        <v>#REF!</v>
      </c>
      <c r="U22" s="155">
        <v>0</v>
      </c>
      <c r="V22" s="155" t="e">
        <f t="shared" si="26"/>
        <v>#REF!</v>
      </c>
      <c r="AB22" s="121" t="str">
        <f>AA14</f>
        <v>Administrēšana ~5%, euro</v>
      </c>
      <c r="AC22" s="155">
        <v>1351283.1860599555</v>
      </c>
      <c r="AD22" s="155">
        <v>0</v>
      </c>
      <c r="AE22" s="155">
        <v>1351283.1860599555</v>
      </c>
      <c r="AI22" s="121" t="str">
        <f>AH14</f>
        <v>Administrēšana ~5%, euro</v>
      </c>
      <c r="AJ22" s="155">
        <v>1418847.3453629534</v>
      </c>
      <c r="AK22" s="155">
        <v>0</v>
      </c>
      <c r="AL22" s="155">
        <v>1418847.3453629534</v>
      </c>
    </row>
    <row r="23" spans="3:38" x14ac:dyDescent="0.25">
      <c r="C23" s="157" t="s">
        <v>39</v>
      </c>
      <c r="D23" s="149">
        <f>D20+D21+D22</f>
        <v>27025663.721199103</v>
      </c>
      <c r="E23" s="149">
        <f t="shared" ref="E23:F23" si="27">E20+E21+E22</f>
        <v>0</v>
      </c>
      <c r="F23" s="149">
        <f t="shared" si="27"/>
        <v>27025663.721199103</v>
      </c>
      <c r="G23" s="150" t="e">
        <f>#REF!*#REF!+('1.'!D21*1.05)-'1.'!D23</f>
        <v>#REF!</v>
      </c>
      <c r="H23" s="96"/>
      <c r="K23" s="157" t="s">
        <v>39</v>
      </c>
      <c r="L23" s="149">
        <f>L20+L21+L22</f>
        <v>0</v>
      </c>
      <c r="M23" s="149">
        <f t="shared" ref="M23" si="28">M20+M21+M22</f>
        <v>27025663.721199103</v>
      </c>
      <c r="N23" s="149">
        <f t="shared" ref="N23" si="29">N20+N21+N22</f>
        <v>27025663.721199103</v>
      </c>
      <c r="O23" s="150">
        <f>F23-N23</f>
        <v>0</v>
      </c>
      <c r="P23" s="96"/>
      <c r="S23" s="157" t="s">
        <v>39</v>
      </c>
      <c r="T23" s="149" t="e">
        <f>T20+T21+T22</f>
        <v>#REF!</v>
      </c>
      <c r="U23" s="149">
        <f t="shared" ref="U23:V23" si="30">U20+U21+U22</f>
        <v>0</v>
      </c>
      <c r="V23" s="149" t="e">
        <f t="shared" si="30"/>
        <v>#REF!</v>
      </c>
      <c r="AB23" s="157" t="s">
        <v>39</v>
      </c>
      <c r="AC23" s="149">
        <v>28376946.907259062</v>
      </c>
      <c r="AD23" s="149">
        <v>0</v>
      </c>
      <c r="AE23" s="149">
        <v>28376946.907259062</v>
      </c>
      <c r="AI23" s="157" t="s">
        <v>39</v>
      </c>
      <c r="AJ23" s="149">
        <v>29795794.252622019</v>
      </c>
      <c r="AK23" s="149">
        <v>0</v>
      </c>
      <c r="AL23" s="149">
        <v>29795794.252622019</v>
      </c>
    </row>
    <row r="24" spans="3:38" x14ac:dyDescent="0.25">
      <c r="H24" s="96"/>
      <c r="P24" s="96"/>
    </row>
    <row r="25" spans="3:38" x14ac:dyDescent="0.25">
      <c r="C25" s="151" t="s">
        <v>139</v>
      </c>
      <c r="H25" s="96"/>
      <c r="K25" s="151" t="s">
        <v>140</v>
      </c>
      <c r="P25" s="96"/>
      <c r="S25" s="151" t="s">
        <v>141</v>
      </c>
      <c r="AB25" s="151" t="s">
        <v>139</v>
      </c>
      <c r="AI25" s="151" t="s">
        <v>139</v>
      </c>
    </row>
    <row r="26" spans="3:38" x14ac:dyDescent="0.25">
      <c r="C26" s="152" t="s">
        <v>61</v>
      </c>
      <c r="D26" s="153" t="s">
        <v>42</v>
      </c>
      <c r="E26" s="153" t="s">
        <v>47</v>
      </c>
      <c r="F26" s="154" t="s">
        <v>12</v>
      </c>
      <c r="H26" s="96"/>
      <c r="K26" s="152" t="s">
        <v>61</v>
      </c>
      <c r="L26" s="153" t="s">
        <v>42</v>
      </c>
      <c r="M26" s="153" t="s">
        <v>47</v>
      </c>
      <c r="N26" s="154" t="s">
        <v>12</v>
      </c>
      <c r="P26" s="96"/>
      <c r="S26" s="152" t="s">
        <v>61</v>
      </c>
      <c r="T26" s="153" t="s">
        <v>42</v>
      </c>
      <c r="U26" s="153" t="s">
        <v>47</v>
      </c>
      <c r="V26" s="154" t="s">
        <v>12</v>
      </c>
      <c r="AB26" s="152" t="s">
        <v>61</v>
      </c>
      <c r="AC26" s="153" t="s">
        <v>42</v>
      </c>
      <c r="AD26" s="153" t="s">
        <v>47</v>
      </c>
      <c r="AE26" s="154" t="s">
        <v>12</v>
      </c>
      <c r="AI26" s="152" t="s">
        <v>61</v>
      </c>
      <c r="AJ26" s="153" t="s">
        <v>42</v>
      </c>
      <c r="AK26" s="153" t="s">
        <v>47</v>
      </c>
      <c r="AL26" s="154" t="s">
        <v>12</v>
      </c>
    </row>
    <row r="27" spans="3:38" x14ac:dyDescent="0.25">
      <c r="C27" s="121" t="str">
        <f>C20</f>
        <v>Atlīdzības izdevumi pak.cenā, euro</v>
      </c>
      <c r="D27" s="155">
        <f>'1.3.'!C28</f>
        <v>10595664.115107913</v>
      </c>
      <c r="E27" s="155">
        <f>'1.3.'!G28</f>
        <v>4324760.8633093517</v>
      </c>
      <c r="F27" s="156">
        <f>D27+E27</f>
        <v>14920424.978417264</v>
      </c>
      <c r="H27" s="96"/>
      <c r="K27" s="121" t="str">
        <f>C27</f>
        <v>Atlīdzības izdevumi pak.cenā, euro</v>
      </c>
      <c r="L27" s="155">
        <v>0</v>
      </c>
      <c r="M27" s="155">
        <f>F27</f>
        <v>14920424.978417264</v>
      </c>
      <c r="N27" s="156">
        <f>L27+M27</f>
        <v>14920424.978417264</v>
      </c>
      <c r="P27" s="96"/>
      <c r="S27" s="121" t="str">
        <f>K27</f>
        <v>Atlīdzības izdevumi pak.cenā, euro</v>
      </c>
      <c r="T27" s="155" t="e">
        <f>'1.3.'!V28</f>
        <v>#REF!</v>
      </c>
      <c r="U27" s="155" t="e">
        <f>'1.3.'!Z28</f>
        <v>#REF!</v>
      </c>
      <c r="V27" s="156" t="e">
        <f>T27+U27</f>
        <v>#REF!</v>
      </c>
      <c r="AB27" s="121" t="str">
        <f>AB20</f>
        <v>Atlīdzības izdevumi pak.cenā, euro</v>
      </c>
      <c r="AC27" s="155">
        <v>11125447.320863308</v>
      </c>
      <c r="AD27" s="155">
        <v>4540998.9064748194</v>
      </c>
      <c r="AE27" s="156">
        <v>15666446.227338128</v>
      </c>
      <c r="AI27" s="121" t="str">
        <f>AI20</f>
        <v>Atlīdzības izdevumi pak.cenā, euro</v>
      </c>
      <c r="AJ27" s="155">
        <v>11681719.686906472</v>
      </c>
      <c r="AK27" s="155">
        <v>4768048.8517985605</v>
      </c>
      <c r="AL27" s="156">
        <v>16449768.538705032</v>
      </c>
    </row>
    <row r="28" spans="3:38" x14ac:dyDescent="0.25">
      <c r="C28" s="121" t="str">
        <f>C21</f>
        <v>Transporta izdevumi, euro</v>
      </c>
      <c r="D28" s="155">
        <f>'1.3.'!C29</f>
        <v>269799.6623376623</v>
      </c>
      <c r="E28" s="155">
        <f>'1.3.'!G29</f>
        <v>0</v>
      </c>
      <c r="F28" s="155">
        <f t="shared" ref="F28:F29" si="31">D28+E28</f>
        <v>269799.6623376623</v>
      </c>
      <c r="H28" s="96"/>
      <c r="K28" s="121" t="str">
        <f t="shared" ref="K28:K29" si="32">C28</f>
        <v>Transporta izdevumi, euro</v>
      </c>
      <c r="L28" s="155">
        <v>0</v>
      </c>
      <c r="M28" s="155">
        <f t="shared" ref="M28:M29" si="33">F28</f>
        <v>269799.6623376623</v>
      </c>
      <c r="N28" s="155">
        <f t="shared" ref="N28:N29" si="34">L28+M28</f>
        <v>269799.6623376623</v>
      </c>
      <c r="P28" s="96"/>
      <c r="S28" s="121" t="str">
        <f t="shared" ref="S28:S29" si="35">K28</f>
        <v>Transporta izdevumi, euro</v>
      </c>
      <c r="T28" s="155">
        <f>'1.3.'!V29</f>
        <v>269799.6623376623</v>
      </c>
      <c r="U28" s="155">
        <f>'1.3.'!Z29</f>
        <v>0</v>
      </c>
      <c r="V28" s="155">
        <f t="shared" ref="V28:V29" si="36">T28+U28</f>
        <v>269799.6623376623</v>
      </c>
      <c r="AB28" s="121" t="str">
        <f>AB21</f>
        <v>Transporta izdevumi, euro</v>
      </c>
      <c r="AC28" s="155">
        <v>283289.64545454545</v>
      </c>
      <c r="AD28" s="155">
        <v>0</v>
      </c>
      <c r="AE28" s="155">
        <v>283289.64545454545</v>
      </c>
      <c r="AI28" s="121" t="str">
        <f>AI21</f>
        <v>Transporta izdevumi, euro</v>
      </c>
      <c r="AJ28" s="155">
        <v>297454.12772727269</v>
      </c>
      <c r="AK28" s="155">
        <v>0</v>
      </c>
      <c r="AL28" s="155">
        <v>297454.12772727269</v>
      </c>
    </row>
    <row r="29" spans="3:38" x14ac:dyDescent="0.25">
      <c r="C29" s="121" t="str">
        <f>C22</f>
        <v>Administrēšana ~5%, euro</v>
      </c>
      <c r="D29" s="155">
        <f>'1.3.'!C30</f>
        <v>543273.18887227878</v>
      </c>
      <c r="E29" s="155">
        <f>'1.3.'!G30</f>
        <v>216238.04316546759</v>
      </c>
      <c r="F29" s="155">
        <f t="shared" si="31"/>
        <v>759511.23203774635</v>
      </c>
      <c r="H29" s="96"/>
      <c r="K29" s="121" t="str">
        <f t="shared" si="32"/>
        <v>Administrēšana ~5%, euro</v>
      </c>
      <c r="L29" s="155">
        <v>0</v>
      </c>
      <c r="M29" s="155">
        <f t="shared" si="33"/>
        <v>759511.23203774635</v>
      </c>
      <c r="N29" s="155">
        <f t="shared" si="34"/>
        <v>759511.23203774635</v>
      </c>
      <c r="P29" s="96"/>
      <c r="S29" s="121" t="str">
        <f t="shared" si="35"/>
        <v>Administrēšana ~5%, euro</v>
      </c>
      <c r="T29" s="155" t="e">
        <f>'1.3.'!V30</f>
        <v>#REF!</v>
      </c>
      <c r="U29" s="155" t="e">
        <f>'1.3.'!Z30</f>
        <v>#REF!</v>
      </c>
      <c r="V29" s="155" t="e">
        <f t="shared" si="36"/>
        <v>#REF!</v>
      </c>
      <c r="AB29" s="121" t="str">
        <f>AB22</f>
        <v>Administrēšana ~5%, euro</v>
      </c>
      <c r="AC29" s="155">
        <v>570436.84831589262</v>
      </c>
      <c r="AD29" s="155">
        <v>227049.94532374098</v>
      </c>
      <c r="AE29" s="155">
        <v>797486.79363963357</v>
      </c>
      <c r="AI29" s="121" t="str">
        <f>AI22</f>
        <v>Administrēšana ~5%, euro</v>
      </c>
      <c r="AJ29" s="155">
        <v>598958.69073168724</v>
      </c>
      <c r="AK29" s="155">
        <v>238402.44258992805</v>
      </c>
      <c r="AL29" s="155">
        <v>837361.13332161529</v>
      </c>
    </row>
    <row r="30" spans="3:38" x14ac:dyDescent="0.25">
      <c r="C30" s="157" t="s">
        <v>39</v>
      </c>
      <c r="D30" s="149">
        <f>D27+D28+D29</f>
        <v>11408736.966317855</v>
      </c>
      <c r="E30" s="149">
        <f t="shared" ref="E30:F30" si="37">E27+E28+E29</f>
        <v>4540998.9064748194</v>
      </c>
      <c r="F30" s="149">
        <f t="shared" si="37"/>
        <v>15949735.872792672</v>
      </c>
      <c r="G30" s="150">
        <f>F30-'1.3.'!G25</f>
        <v>0</v>
      </c>
      <c r="H30" s="96"/>
      <c r="K30" s="157" t="s">
        <v>39</v>
      </c>
      <c r="L30" s="149">
        <f>L27+L28+L29</f>
        <v>0</v>
      </c>
      <c r="M30" s="149">
        <f t="shared" ref="M30" si="38">M27+M28+M29</f>
        <v>15949735.872792672</v>
      </c>
      <c r="N30" s="149">
        <f t="shared" ref="N30" si="39">N27+N28+N29</f>
        <v>15949735.872792672</v>
      </c>
      <c r="O30" s="150">
        <f>N30-'1.3.'!Q25</f>
        <v>0</v>
      </c>
      <c r="P30" s="96"/>
      <c r="S30" s="157" t="s">
        <v>39</v>
      </c>
      <c r="T30" s="149" t="e">
        <f>T27+T28+T29</f>
        <v>#REF!</v>
      </c>
      <c r="U30" s="149" t="e">
        <f t="shared" ref="U30:V30" si="40">U27+U28+U29</f>
        <v>#REF!</v>
      </c>
      <c r="V30" s="149" t="e">
        <f t="shared" si="40"/>
        <v>#REF!</v>
      </c>
      <c r="AB30" s="157" t="s">
        <v>39</v>
      </c>
      <c r="AC30" s="149">
        <v>11979173.814633746</v>
      </c>
      <c r="AD30" s="149">
        <v>4768048.8517985605</v>
      </c>
      <c r="AE30" s="149">
        <v>16747222.666432306</v>
      </c>
      <c r="AI30" s="157" t="s">
        <v>39</v>
      </c>
      <c r="AJ30" s="149">
        <v>12578132.505365431</v>
      </c>
      <c r="AK30" s="149">
        <v>5006451.2943884889</v>
      </c>
      <c r="AL30" s="149">
        <v>17584583.799753919</v>
      </c>
    </row>
    <row r="31" spans="3:38" ht="14.45" customHeight="1" x14ac:dyDescent="0.25">
      <c r="D31" s="92"/>
      <c r="E31" s="92"/>
      <c r="F31" s="92"/>
      <c r="H31" s="96"/>
      <c r="L31" s="92"/>
      <c r="M31" s="92"/>
      <c r="N31" s="92"/>
      <c r="P31" s="96"/>
      <c r="T31" s="92"/>
      <c r="U31" s="92"/>
      <c r="V31" s="92"/>
      <c r="AC31" s="92"/>
      <c r="AD31" s="92"/>
      <c r="AE31" s="92"/>
      <c r="AJ31" s="92"/>
      <c r="AK31" s="92"/>
      <c r="AL31" s="92"/>
    </row>
    <row r="32" spans="3:38" x14ac:dyDescent="0.25">
      <c r="C32" s="158" t="s">
        <v>63</v>
      </c>
      <c r="D32" s="159">
        <f>D33+D34</f>
        <v>11106</v>
      </c>
      <c r="H32" s="96"/>
      <c r="K32" s="158" t="s">
        <v>63</v>
      </c>
      <c r="L32" s="159">
        <f>L33+L34</f>
        <v>11106</v>
      </c>
      <c r="P32" s="96"/>
      <c r="S32" s="158" t="s">
        <v>63</v>
      </c>
      <c r="T32" s="159">
        <f>T33+T34</f>
        <v>11106</v>
      </c>
      <c r="AB32" s="417" t="s">
        <v>63</v>
      </c>
      <c r="AC32" s="159">
        <f>AC33+AC34</f>
        <v>11661.300000000001</v>
      </c>
      <c r="AI32" s="417" t="s">
        <v>63</v>
      </c>
      <c r="AJ32" s="159">
        <f>AJ33+AJ34</f>
        <v>12244.365000000002</v>
      </c>
    </row>
    <row r="33" spans="2:38" x14ac:dyDescent="0.25">
      <c r="C33" s="81" t="s">
        <v>119</v>
      </c>
      <c r="D33" s="89">
        <f>'1.2.'!D24:E24</f>
        <v>8506</v>
      </c>
      <c r="H33" s="96"/>
      <c r="K33" s="81" t="s">
        <v>119</v>
      </c>
      <c r="L33" s="89">
        <f>'1.2.'!D24</f>
        <v>8506</v>
      </c>
      <c r="P33" s="96"/>
      <c r="S33" s="81" t="s">
        <v>119</v>
      </c>
      <c r="T33" s="89">
        <f>'1.2.'!D45</f>
        <v>8506</v>
      </c>
      <c r="AB33" s="416" t="s">
        <v>119</v>
      </c>
      <c r="AC33" s="89">
        <f>D82</f>
        <v>8931.3000000000011</v>
      </c>
      <c r="AI33" s="416" t="s">
        <v>119</v>
      </c>
      <c r="AJ33" s="89">
        <f>D126</f>
        <v>9377.8650000000016</v>
      </c>
    </row>
    <row r="34" spans="2:38" x14ac:dyDescent="0.25">
      <c r="C34" s="81" t="s">
        <v>123</v>
      </c>
      <c r="D34" s="89">
        <f>'1.3.'!C20</f>
        <v>2600</v>
      </c>
      <c r="H34" s="96"/>
      <c r="K34" s="81" t="s">
        <v>123</v>
      </c>
      <c r="L34" s="89">
        <f>'1.3.'!M20</f>
        <v>2600</v>
      </c>
      <c r="P34" s="96"/>
      <c r="S34" s="81" t="s">
        <v>123</v>
      </c>
      <c r="T34" s="89">
        <f>'1.3.'!V20</f>
        <v>2600</v>
      </c>
      <c r="AB34" s="416" t="s">
        <v>123</v>
      </c>
      <c r="AC34" s="89">
        <f>D83</f>
        <v>2730</v>
      </c>
      <c r="AI34" s="416" t="s">
        <v>123</v>
      </c>
      <c r="AJ34" s="89">
        <f>D127</f>
        <v>2866.5</v>
      </c>
    </row>
    <row r="35" spans="2:38" ht="9.6" customHeight="1" x14ac:dyDescent="0.25">
      <c r="C35" s="81"/>
      <c r="D35" s="89"/>
      <c r="E35" s="89"/>
      <c r="F35" s="89"/>
      <c r="H35" s="96"/>
      <c r="K35" s="81"/>
      <c r="L35" s="89"/>
      <c r="M35" s="89"/>
      <c r="N35" s="89"/>
      <c r="P35" s="96"/>
      <c r="S35" s="81"/>
      <c r="T35" s="89"/>
      <c r="U35" s="89"/>
      <c r="V35" s="89"/>
      <c r="AB35" s="416"/>
      <c r="AC35" s="89"/>
      <c r="AD35" s="89"/>
      <c r="AE35" s="89"/>
      <c r="AI35" s="416"/>
      <c r="AJ35" s="89"/>
      <c r="AK35" s="89"/>
      <c r="AL35" s="89"/>
    </row>
    <row r="36" spans="2:38" ht="133.5" customHeight="1" x14ac:dyDescent="0.25">
      <c r="B36" s="454" t="s">
        <v>228</v>
      </c>
      <c r="C36" s="455"/>
      <c r="D36" s="455"/>
      <c r="E36" s="455"/>
      <c r="F36" s="455"/>
      <c r="G36" s="455"/>
      <c r="H36" s="455"/>
      <c r="I36" s="455"/>
      <c r="J36" s="455"/>
      <c r="K36" s="455"/>
      <c r="L36" s="455"/>
      <c r="M36" s="455"/>
      <c r="N36" s="455"/>
      <c r="O36" s="455"/>
      <c r="P36" s="455"/>
      <c r="Q36" s="455"/>
      <c r="R36" s="455"/>
      <c r="S36" s="455"/>
      <c r="T36" s="455"/>
      <c r="U36" s="455"/>
      <c r="V36" s="455"/>
      <c r="AB36" s="447" t="str">
        <f>B84</f>
        <v>*plānotais personu skaits  = 5% + 2021.gada prognozējamais pakalpojuma saņēmēju skaits.</v>
      </c>
      <c r="AC36" s="447"/>
      <c r="AD36" s="447"/>
      <c r="AE36" s="447"/>
      <c r="AF36" s="447"/>
      <c r="AG36" s="447"/>
      <c r="AH36" s="447"/>
      <c r="AI36" s="447"/>
      <c r="AJ36" s="447"/>
      <c r="AK36" s="447"/>
      <c r="AL36" s="447"/>
    </row>
    <row r="37" spans="2:38" ht="48.75" customHeight="1" x14ac:dyDescent="0.25">
      <c r="B37" s="456" t="s">
        <v>225</v>
      </c>
      <c r="C37" s="456"/>
      <c r="D37" s="456"/>
      <c r="E37" s="456"/>
      <c r="F37" s="456"/>
      <c r="G37" s="456"/>
      <c r="H37" s="456"/>
      <c r="I37" s="456"/>
      <c r="J37" s="456"/>
      <c r="K37" s="456"/>
      <c r="L37" s="456"/>
      <c r="M37" s="456"/>
      <c r="N37" s="456"/>
      <c r="O37" s="456"/>
      <c r="P37" s="456"/>
      <c r="Q37" s="456"/>
      <c r="R37" s="456"/>
      <c r="S37" s="456"/>
      <c r="T37" s="456"/>
      <c r="U37" s="456"/>
      <c r="V37" s="456"/>
    </row>
    <row r="38" spans="2:38" hidden="1" x14ac:dyDescent="0.25">
      <c r="C38" s="160"/>
      <c r="D38" s="160"/>
      <c r="E38" s="160"/>
      <c r="F38" s="160"/>
      <c r="H38" s="96"/>
      <c r="J38" s="161"/>
      <c r="K38" s="161"/>
      <c r="L38" s="161"/>
      <c r="M38" s="161"/>
      <c r="N38" s="161"/>
      <c r="P38" s="96"/>
      <c r="AB38" s="160"/>
      <c r="AC38" s="160"/>
      <c r="AD38" s="160"/>
      <c r="AE38" s="160"/>
      <c r="AI38" s="160"/>
      <c r="AJ38" s="160"/>
      <c r="AK38" s="160"/>
      <c r="AL38" s="160"/>
    </row>
    <row r="39" spans="2:38" hidden="1" x14ac:dyDescent="0.25">
      <c r="F39" s="128"/>
      <c r="G39" s="128"/>
      <c r="H39" s="128"/>
      <c r="I39" s="138"/>
      <c r="J39" s="161"/>
      <c r="K39" s="161"/>
      <c r="L39" s="161"/>
      <c r="M39" s="161"/>
      <c r="N39" s="161"/>
      <c r="O39" s="128"/>
      <c r="P39" s="128"/>
      <c r="Q39" s="128"/>
      <c r="R39" s="128"/>
      <c r="AE39" s="128"/>
      <c r="AL39" s="128"/>
    </row>
    <row r="40" spans="2:38" hidden="1" x14ac:dyDescent="0.25">
      <c r="F40" s="128"/>
      <c r="G40" s="128"/>
      <c r="H40" s="128"/>
      <c r="I40" s="138"/>
      <c r="J40" s="161"/>
      <c r="K40" s="161"/>
      <c r="L40" s="161"/>
      <c r="M40" s="161"/>
      <c r="N40" s="161"/>
      <c r="O40" s="128"/>
      <c r="P40" s="128"/>
      <c r="Q40" s="128"/>
      <c r="R40" s="128"/>
      <c r="AE40" s="128"/>
      <c r="AL40" s="128"/>
    </row>
    <row r="41" spans="2:38" hidden="1" x14ac:dyDescent="0.25">
      <c r="F41" s="128"/>
      <c r="G41" s="128"/>
      <c r="H41" s="128"/>
      <c r="I41" s="138"/>
      <c r="J41" s="161"/>
      <c r="K41" s="161"/>
      <c r="L41" s="161"/>
      <c r="M41" s="161"/>
      <c r="N41" s="161"/>
      <c r="O41" s="128"/>
      <c r="P41" s="128"/>
      <c r="Q41" s="128"/>
      <c r="R41" s="128"/>
      <c r="AE41" s="128"/>
      <c r="AL41" s="128"/>
    </row>
    <row r="42" spans="2:38" hidden="1" x14ac:dyDescent="0.25">
      <c r="F42" s="128"/>
      <c r="G42" s="128"/>
      <c r="H42" s="128"/>
      <c r="I42" s="138"/>
      <c r="J42" s="161"/>
      <c r="K42" s="161"/>
      <c r="L42" s="161"/>
      <c r="M42" s="161"/>
      <c r="N42" s="161"/>
      <c r="O42" s="128"/>
      <c r="P42" s="128"/>
      <c r="Q42" s="128"/>
      <c r="R42" s="128"/>
      <c r="AE42" s="128"/>
      <c r="AL42" s="128"/>
    </row>
    <row r="43" spans="2:38" hidden="1" x14ac:dyDescent="0.25">
      <c r="F43" s="128"/>
      <c r="G43" s="128"/>
      <c r="H43" s="128"/>
      <c r="I43" s="138"/>
      <c r="J43" s="161"/>
      <c r="K43" s="161"/>
      <c r="L43" s="161"/>
      <c r="M43" s="161"/>
      <c r="N43" s="161"/>
      <c r="O43" s="128"/>
      <c r="P43" s="128"/>
      <c r="Q43" s="128"/>
      <c r="R43" s="128"/>
      <c r="AE43" s="128"/>
      <c r="AL43" s="128"/>
    </row>
    <row r="44" spans="2:38" hidden="1" x14ac:dyDescent="0.25">
      <c r="C44" s="79" t="s">
        <v>118</v>
      </c>
      <c r="F44" s="128"/>
      <c r="G44" s="128"/>
      <c r="H44" s="128"/>
      <c r="I44" s="138"/>
      <c r="J44" s="128"/>
      <c r="K44" s="128"/>
      <c r="L44" s="128"/>
      <c r="M44" s="128"/>
      <c r="N44" s="128"/>
      <c r="O44" s="128"/>
      <c r="P44" s="128"/>
      <c r="Q44" s="128"/>
      <c r="R44" s="128"/>
      <c r="AB44" s="79" t="s">
        <v>118</v>
      </c>
      <c r="AE44" s="128"/>
      <c r="AI44" s="79" t="s">
        <v>118</v>
      </c>
      <c r="AL44" s="128"/>
    </row>
    <row r="45" spans="2:38" hidden="1" x14ac:dyDescent="0.25">
      <c r="C45" s="79" t="s">
        <v>117</v>
      </c>
      <c r="F45" s="128"/>
      <c r="G45" s="128"/>
      <c r="H45" s="128"/>
      <c r="I45" s="138"/>
      <c r="J45" s="128"/>
      <c r="K45" s="128"/>
      <c r="L45" s="128"/>
      <c r="M45" s="128"/>
      <c r="N45" s="128"/>
      <c r="O45" s="128"/>
      <c r="P45" s="128"/>
      <c r="Q45" s="128"/>
      <c r="R45" s="128"/>
      <c r="AB45" s="79" t="s">
        <v>117</v>
      </c>
      <c r="AE45" s="128"/>
      <c r="AI45" s="79" t="s">
        <v>117</v>
      </c>
      <c r="AL45" s="128"/>
    </row>
    <row r="46" spans="2:38" hidden="1" x14ac:dyDescent="0.25">
      <c r="F46" s="128"/>
      <c r="G46" s="128"/>
      <c r="H46" s="128"/>
      <c r="I46" s="138"/>
      <c r="J46" s="128"/>
      <c r="K46" s="128"/>
      <c r="L46" s="128"/>
      <c r="M46" s="128"/>
      <c r="N46" s="128"/>
      <c r="O46" s="128"/>
      <c r="P46" s="128"/>
      <c r="Q46" s="128"/>
      <c r="R46" s="128"/>
      <c r="AE46" s="128"/>
      <c r="AL46" s="128"/>
    </row>
    <row r="47" spans="2:38" hidden="1" x14ac:dyDescent="0.25">
      <c r="F47" s="128"/>
      <c r="G47" s="128"/>
      <c r="H47" s="128"/>
      <c r="I47" s="138"/>
      <c r="J47" s="128"/>
      <c r="K47" s="128"/>
      <c r="L47" s="128"/>
      <c r="M47" s="128"/>
      <c r="N47" s="128"/>
      <c r="O47" s="128"/>
      <c r="P47" s="128"/>
      <c r="Q47" s="128"/>
      <c r="R47" s="128"/>
      <c r="V47" s="185"/>
      <c r="AE47" s="128"/>
      <c r="AL47" s="128"/>
    </row>
    <row r="48" spans="2:38" ht="18.75" hidden="1" x14ac:dyDescent="0.3">
      <c r="F48" s="128"/>
      <c r="G48" s="128"/>
      <c r="H48" s="128"/>
      <c r="I48" s="138"/>
      <c r="J48" s="128"/>
      <c r="K48" s="128"/>
      <c r="L48" s="128"/>
      <c r="M48" s="128"/>
      <c r="N48" s="128"/>
      <c r="O48" s="128"/>
      <c r="P48" s="128"/>
      <c r="Q48" s="128"/>
      <c r="R48" s="128"/>
      <c r="S48" s="128"/>
      <c r="U48" s="185"/>
      <c r="V48" s="77" t="s">
        <v>112</v>
      </c>
      <c r="AE48" s="128"/>
      <c r="AL48" s="128"/>
    </row>
    <row r="49" spans="1:38" hidden="1" x14ac:dyDescent="0.25">
      <c r="F49" s="128"/>
      <c r="G49" s="128"/>
      <c r="H49" s="128"/>
      <c r="I49" s="138"/>
      <c r="J49" s="128"/>
      <c r="K49" s="128"/>
      <c r="L49" s="128"/>
      <c r="M49" s="128"/>
      <c r="N49" s="128"/>
      <c r="O49" s="128"/>
      <c r="P49" s="128"/>
      <c r="Q49" s="128"/>
      <c r="R49" s="128"/>
      <c r="S49" s="128"/>
      <c r="V49" s="81" t="s">
        <v>106</v>
      </c>
      <c r="AE49" s="128"/>
      <c r="AL49" s="128"/>
    </row>
    <row r="50" spans="1:38" hidden="1" x14ac:dyDescent="0.25">
      <c r="F50" s="128"/>
      <c r="G50" s="128"/>
      <c r="H50" s="128"/>
      <c r="I50" s="138"/>
      <c r="J50" s="128"/>
      <c r="K50" s="128"/>
      <c r="L50" s="128"/>
      <c r="M50" s="128"/>
      <c r="N50" s="128"/>
      <c r="O50" s="128"/>
      <c r="P50" s="128"/>
      <c r="Q50" s="128"/>
      <c r="R50" s="128"/>
      <c r="S50" s="128"/>
      <c r="AE50" s="128"/>
      <c r="AL50" s="128"/>
    </row>
    <row r="51" spans="1:38" hidden="1" x14ac:dyDescent="0.25">
      <c r="F51" s="128"/>
      <c r="G51" s="128"/>
      <c r="H51" s="128"/>
      <c r="I51" s="138"/>
      <c r="J51" s="128"/>
      <c r="K51" s="128"/>
      <c r="L51" s="128"/>
      <c r="M51" s="128"/>
      <c r="N51" s="128"/>
      <c r="O51" s="128"/>
      <c r="P51" s="128"/>
      <c r="Q51" s="128"/>
      <c r="R51" s="128"/>
      <c r="S51" s="128"/>
      <c r="AE51" s="128"/>
      <c r="AL51" s="128"/>
    </row>
    <row r="52" spans="1:38" s="139" customFormat="1" ht="66" hidden="1" customHeight="1" x14ac:dyDescent="0.25">
      <c r="A52" s="446" t="s">
        <v>160</v>
      </c>
      <c r="B52" s="446"/>
      <c r="C52" s="446"/>
      <c r="D52" s="446"/>
      <c r="E52" s="446"/>
      <c r="F52" s="446"/>
      <c r="G52" s="446"/>
      <c r="H52" s="446"/>
      <c r="I52" s="446"/>
      <c r="J52" s="446"/>
      <c r="K52" s="446"/>
      <c r="L52" s="446"/>
      <c r="M52" s="446"/>
      <c r="N52" s="446"/>
      <c r="O52" s="446"/>
      <c r="P52" s="446"/>
      <c r="Q52" s="446"/>
      <c r="R52" s="446"/>
      <c r="S52" s="446"/>
      <c r="T52" s="446"/>
      <c r="U52" s="446"/>
      <c r="V52" s="446"/>
    </row>
    <row r="53" spans="1:38" hidden="1" x14ac:dyDescent="0.25">
      <c r="F53" s="128"/>
      <c r="G53" s="128"/>
      <c r="H53" s="128"/>
      <c r="I53" s="138"/>
      <c r="J53" s="128"/>
      <c r="K53" s="128"/>
      <c r="L53" s="128"/>
      <c r="M53" s="128"/>
      <c r="N53" s="128"/>
      <c r="O53" s="128"/>
      <c r="P53" s="128"/>
      <c r="Q53" s="128"/>
      <c r="R53" s="128"/>
      <c r="S53" s="128"/>
      <c r="AE53" s="128"/>
      <c r="AL53" s="128"/>
    </row>
    <row r="54" spans="1:38" ht="18.75" hidden="1" x14ac:dyDescent="0.3">
      <c r="C54" s="61">
        <v>2022</v>
      </c>
      <c r="F54" s="128"/>
      <c r="G54" s="128"/>
      <c r="H54" s="140"/>
      <c r="I54" s="138"/>
      <c r="J54" s="128"/>
      <c r="K54" s="128"/>
      <c r="L54" s="128"/>
      <c r="M54" s="128"/>
      <c r="N54" s="128"/>
      <c r="O54" s="128"/>
      <c r="P54" s="140"/>
      <c r="Q54" s="128"/>
      <c r="R54" s="128"/>
      <c r="S54" s="128"/>
      <c r="AB54" s="61">
        <v>2022</v>
      </c>
      <c r="AE54" s="128"/>
      <c r="AI54" s="61">
        <v>2022</v>
      </c>
      <c r="AL54" s="128"/>
    </row>
    <row r="55" spans="1:38" ht="20.25" hidden="1" x14ac:dyDescent="0.3">
      <c r="B55" s="452" t="s">
        <v>134</v>
      </c>
      <c r="C55" s="452"/>
      <c r="H55" s="95"/>
      <c r="J55" s="452" t="s">
        <v>135</v>
      </c>
      <c r="K55" s="452"/>
      <c r="P55" s="95"/>
      <c r="R55" s="452" t="s">
        <v>146</v>
      </c>
      <c r="S55" s="452"/>
      <c r="AA55" s="452" t="s">
        <v>134</v>
      </c>
      <c r="AB55" s="452"/>
      <c r="AH55" s="452" t="s">
        <v>134</v>
      </c>
      <c r="AI55" s="452"/>
    </row>
    <row r="56" spans="1:38" ht="18.75" hidden="1" x14ac:dyDescent="0.3">
      <c r="C56" s="142"/>
      <c r="H56" s="95"/>
      <c r="K56" s="142"/>
      <c r="P56" s="95"/>
      <c r="S56" s="142"/>
      <c r="AB56" s="142"/>
      <c r="AI56" s="142"/>
    </row>
    <row r="57" spans="1:38" hidden="1" x14ac:dyDescent="0.25">
      <c r="B57" s="448" t="s">
        <v>131</v>
      </c>
      <c r="C57" s="448"/>
      <c r="H57" s="96"/>
      <c r="J57" s="448" t="s">
        <v>132</v>
      </c>
      <c r="K57" s="448"/>
      <c r="P57" s="96"/>
      <c r="R57" s="448" t="s">
        <v>133</v>
      </c>
      <c r="S57" s="448"/>
      <c r="AA57" s="448" t="s">
        <v>131</v>
      </c>
      <c r="AB57" s="448"/>
      <c r="AH57" s="448" t="s">
        <v>131</v>
      </c>
      <c r="AI57" s="448"/>
    </row>
    <row r="58" spans="1:38" hidden="1" x14ac:dyDescent="0.25">
      <c r="B58" s="449" t="s">
        <v>61</v>
      </c>
      <c r="C58" s="449"/>
      <c r="D58" s="143" t="s">
        <v>42</v>
      </c>
      <c r="E58" s="143" t="s">
        <v>47</v>
      </c>
      <c r="F58" s="144" t="s">
        <v>12</v>
      </c>
      <c r="H58" s="96"/>
      <c r="J58" s="449" t="s">
        <v>61</v>
      </c>
      <c r="K58" s="449"/>
      <c r="L58" s="143" t="s">
        <v>42</v>
      </c>
      <c r="M58" s="143" t="s">
        <v>47</v>
      </c>
      <c r="N58" s="144" t="s">
        <v>12</v>
      </c>
      <c r="P58" s="96"/>
      <c r="R58" s="449" t="s">
        <v>61</v>
      </c>
      <c r="S58" s="449"/>
      <c r="T58" s="143" t="s">
        <v>42</v>
      </c>
      <c r="U58" s="143" t="s">
        <v>47</v>
      </c>
      <c r="V58" s="144" t="s">
        <v>12</v>
      </c>
      <c r="AA58" s="449" t="s">
        <v>61</v>
      </c>
      <c r="AB58" s="449"/>
      <c r="AC58" s="143" t="s">
        <v>42</v>
      </c>
      <c r="AD58" s="143" t="s">
        <v>47</v>
      </c>
      <c r="AE58" s="144" t="s">
        <v>12</v>
      </c>
      <c r="AH58" s="449" t="s">
        <v>61</v>
      </c>
      <c r="AI58" s="449"/>
      <c r="AJ58" s="143" t="s">
        <v>42</v>
      </c>
      <c r="AK58" s="143" t="s">
        <v>47</v>
      </c>
      <c r="AL58" s="144" t="s">
        <v>12</v>
      </c>
    </row>
    <row r="59" spans="1:38" hidden="1" x14ac:dyDescent="0.25">
      <c r="B59" s="450" t="s">
        <v>107</v>
      </c>
      <c r="C59" s="450"/>
      <c r="D59" s="145">
        <f>D67+D74</f>
        <v>37811478.832057551</v>
      </c>
      <c r="E59" s="145">
        <f>E67+E74</f>
        <v>4540998.9064748194</v>
      </c>
      <c r="F59" s="146">
        <f>D59+E59</f>
        <v>42352477.738532372</v>
      </c>
      <c r="H59" s="96"/>
      <c r="J59" s="450" t="s">
        <v>107</v>
      </c>
      <c r="K59" s="450"/>
      <c r="L59" s="145">
        <f>L67+L74</f>
        <v>0</v>
      </c>
      <c r="M59" s="145">
        <f>M67+M74</f>
        <v>42352477.738532364</v>
      </c>
      <c r="N59" s="146">
        <f>L59+M59</f>
        <v>42352477.738532364</v>
      </c>
      <c r="P59" s="96"/>
      <c r="R59" s="450" t="s">
        <v>107</v>
      </c>
      <c r="S59" s="450"/>
      <c r="T59" s="145" t="e">
        <f>T67+T74</f>
        <v>#REF!</v>
      </c>
      <c r="U59" s="145" t="e">
        <f>U67+U74</f>
        <v>#REF!</v>
      </c>
      <c r="V59" s="146" t="e">
        <f>T59+U59</f>
        <v>#REF!</v>
      </c>
      <c r="AA59" s="450" t="s">
        <v>107</v>
      </c>
      <c r="AB59" s="450"/>
      <c r="AC59" s="145">
        <f>AC67+AC74</f>
        <v>0</v>
      </c>
      <c r="AD59" s="145">
        <f>AD67+AD74</f>
        <v>0</v>
      </c>
      <c r="AE59" s="146">
        <f>AC59+AD59</f>
        <v>0</v>
      </c>
      <c r="AH59" s="450" t="s">
        <v>107</v>
      </c>
      <c r="AI59" s="450"/>
      <c r="AJ59" s="145">
        <f>AJ67+AJ74</f>
        <v>0</v>
      </c>
      <c r="AK59" s="145">
        <f>AK67+AK74</f>
        <v>0</v>
      </c>
      <c r="AL59" s="146">
        <f>AJ59+AK59</f>
        <v>0</v>
      </c>
    </row>
    <row r="60" spans="1:38" hidden="1" x14ac:dyDescent="0.25">
      <c r="B60" s="450" t="s">
        <v>108</v>
      </c>
      <c r="C60" s="450"/>
      <c r="D60" s="145">
        <f t="shared" ref="D60:E60" si="41">D68+D75</f>
        <v>622921.85545941303</v>
      </c>
      <c r="E60" s="145">
        <f t="shared" si="41"/>
        <v>0</v>
      </c>
      <c r="F60" s="145">
        <f t="shared" ref="F60:F61" si="42">D60+E60</f>
        <v>622921.85545941303</v>
      </c>
      <c r="H60" s="96"/>
      <c r="J60" s="450" t="s">
        <v>108</v>
      </c>
      <c r="K60" s="450"/>
      <c r="L60" s="145">
        <f t="shared" ref="L60:M60" si="43">L68+L75</f>
        <v>0</v>
      </c>
      <c r="M60" s="145">
        <f t="shared" si="43"/>
        <v>622921.85545941303</v>
      </c>
      <c r="N60" s="145">
        <f t="shared" ref="N60:N61" si="44">L60+M60</f>
        <v>622921.85545941303</v>
      </c>
      <c r="P60" s="96"/>
      <c r="R60" s="450" t="s">
        <v>108</v>
      </c>
      <c r="S60" s="450"/>
      <c r="T60" s="145">
        <f t="shared" ref="T60:U60" si="45">T68+T75</f>
        <v>622921.85545941303</v>
      </c>
      <c r="U60" s="145">
        <f t="shared" si="45"/>
        <v>0</v>
      </c>
      <c r="V60" s="145">
        <f t="shared" ref="V60:V61" si="46">T60+U60</f>
        <v>622921.85545941303</v>
      </c>
      <c r="AA60" s="450" t="s">
        <v>108</v>
      </c>
      <c r="AB60" s="450"/>
      <c r="AC60" s="145">
        <f t="shared" ref="AC60:AD60" si="47">AC68+AC75</f>
        <v>0</v>
      </c>
      <c r="AD60" s="145">
        <f t="shared" si="47"/>
        <v>0</v>
      </c>
      <c r="AE60" s="145">
        <f t="shared" ref="AE60:AE61" si="48">AC60+AD60</f>
        <v>0</v>
      </c>
      <c r="AH60" s="450" t="s">
        <v>108</v>
      </c>
      <c r="AI60" s="450"/>
      <c r="AJ60" s="145">
        <f t="shared" ref="AJ60:AK60" si="49">AJ68+AJ75</f>
        <v>0</v>
      </c>
      <c r="AK60" s="145">
        <f t="shared" si="49"/>
        <v>0</v>
      </c>
      <c r="AL60" s="145">
        <f t="shared" ref="AL60:AL61" si="50">AJ60+AK60</f>
        <v>0</v>
      </c>
    </row>
    <row r="61" spans="1:38" hidden="1" x14ac:dyDescent="0.25">
      <c r="B61" s="147" t="s">
        <v>104</v>
      </c>
      <c r="C61" s="147"/>
      <c r="D61" s="145">
        <f t="shared" ref="D61:E61" si="51">D69+D76</f>
        <v>1921720.0343758482</v>
      </c>
      <c r="E61" s="145">
        <f t="shared" si="51"/>
        <v>227049.94532374098</v>
      </c>
      <c r="F61" s="145">
        <f t="shared" si="42"/>
        <v>2148769.9796995893</v>
      </c>
      <c r="H61" s="96"/>
      <c r="J61" s="148" t="s">
        <v>104</v>
      </c>
      <c r="K61" s="147"/>
      <c r="L61" s="145">
        <f t="shared" ref="L61:M61" si="52">L69+L76</f>
        <v>0</v>
      </c>
      <c r="M61" s="145">
        <f t="shared" si="52"/>
        <v>2148769.9796995893</v>
      </c>
      <c r="N61" s="145">
        <f t="shared" si="44"/>
        <v>2148769.9796995893</v>
      </c>
      <c r="P61" s="96"/>
      <c r="R61" s="147" t="s">
        <v>104</v>
      </c>
      <c r="S61" s="147"/>
      <c r="T61" s="145" t="e">
        <f t="shared" ref="T61:U61" si="53">T69+T76</f>
        <v>#REF!</v>
      </c>
      <c r="U61" s="145" t="e">
        <f t="shared" si="53"/>
        <v>#REF!</v>
      </c>
      <c r="V61" s="145" t="e">
        <f t="shared" si="46"/>
        <v>#REF!</v>
      </c>
      <c r="AA61" s="418" t="s">
        <v>104</v>
      </c>
      <c r="AB61" s="418"/>
      <c r="AC61" s="145">
        <f t="shared" ref="AC61:AD61" si="54">AC69+AC76</f>
        <v>0</v>
      </c>
      <c r="AD61" s="145">
        <f t="shared" si="54"/>
        <v>0</v>
      </c>
      <c r="AE61" s="145">
        <f t="shared" si="48"/>
        <v>0</v>
      </c>
      <c r="AH61" s="418" t="s">
        <v>104</v>
      </c>
      <c r="AI61" s="418"/>
      <c r="AJ61" s="145">
        <f t="shared" ref="AJ61:AK61" si="55">AJ69+AJ76</f>
        <v>0</v>
      </c>
      <c r="AK61" s="145">
        <f t="shared" si="55"/>
        <v>0</v>
      </c>
      <c r="AL61" s="145">
        <f t="shared" si="50"/>
        <v>0</v>
      </c>
    </row>
    <row r="62" spans="1:38" hidden="1" x14ac:dyDescent="0.25">
      <c r="B62" s="451" t="s">
        <v>39</v>
      </c>
      <c r="C62" s="451"/>
      <c r="D62" s="149">
        <f>D59+D60+D61</f>
        <v>40356120.721892811</v>
      </c>
      <c r="E62" s="149">
        <f t="shared" ref="E62:F62" si="56">E59+E60+E61</f>
        <v>4768048.8517985605</v>
      </c>
      <c r="F62" s="149">
        <f t="shared" si="56"/>
        <v>45124169.573691376</v>
      </c>
      <c r="G62" s="150">
        <f>F62-F70-F77</f>
        <v>0</v>
      </c>
      <c r="H62" s="96"/>
      <c r="J62" s="451" t="s">
        <v>39</v>
      </c>
      <c r="K62" s="451"/>
      <c r="L62" s="149">
        <f>L59+L60+L61</f>
        <v>0</v>
      </c>
      <c r="M62" s="149">
        <f t="shared" ref="M62:N62" si="57">M59+M60+M61</f>
        <v>45124169.573691368</v>
      </c>
      <c r="N62" s="149">
        <f t="shared" si="57"/>
        <v>45124169.573691368</v>
      </c>
      <c r="O62" s="150">
        <f>N62-N70-N77</f>
        <v>0</v>
      </c>
      <c r="P62" s="96"/>
      <c r="R62" s="451" t="s">
        <v>39</v>
      </c>
      <c r="S62" s="451"/>
      <c r="T62" s="149" t="e">
        <f>T59+T60+T61</f>
        <v>#REF!</v>
      </c>
      <c r="U62" s="149" t="e">
        <f t="shared" ref="U62:V62" si="58">U59+U60+U61</f>
        <v>#REF!</v>
      </c>
      <c r="V62" s="149" t="e">
        <f t="shared" si="58"/>
        <v>#REF!</v>
      </c>
      <c r="AA62" s="451" t="s">
        <v>39</v>
      </c>
      <c r="AB62" s="451"/>
      <c r="AC62" s="149">
        <f>AC59+AC60+AC61</f>
        <v>0</v>
      </c>
      <c r="AD62" s="149">
        <f t="shared" ref="AD62:AE62" si="59">AD59+AD60+AD61</f>
        <v>0</v>
      </c>
      <c r="AE62" s="149">
        <f t="shared" si="59"/>
        <v>0</v>
      </c>
      <c r="AH62" s="451" t="s">
        <v>39</v>
      </c>
      <c r="AI62" s="451"/>
      <c r="AJ62" s="149">
        <f>AJ59+AJ60+AJ61</f>
        <v>0</v>
      </c>
      <c r="AK62" s="149">
        <f t="shared" ref="AK62:AL62" si="60">AK59+AK60+AK61</f>
        <v>0</v>
      </c>
      <c r="AL62" s="149">
        <f t="shared" si="60"/>
        <v>0</v>
      </c>
    </row>
    <row r="63" spans="1:38" hidden="1" x14ac:dyDescent="0.25">
      <c r="C63" s="142" t="s">
        <v>62</v>
      </c>
      <c r="H63" s="96"/>
      <c r="K63" s="142" t="s">
        <v>62</v>
      </c>
      <c r="P63" s="96"/>
      <c r="S63" s="142" t="s">
        <v>62</v>
      </c>
      <c r="AB63" s="142" t="s">
        <v>62</v>
      </c>
      <c r="AI63" s="142" t="s">
        <v>62</v>
      </c>
    </row>
    <row r="64" spans="1:38" hidden="1" x14ac:dyDescent="0.25">
      <c r="C64" s="142"/>
      <c r="H64" s="96"/>
      <c r="K64" s="142"/>
      <c r="P64" s="96"/>
      <c r="S64" s="142"/>
      <c r="AB64" s="142"/>
      <c r="AI64" s="142"/>
    </row>
    <row r="65" spans="3:38" hidden="1" x14ac:dyDescent="0.25">
      <c r="C65" s="151" t="s">
        <v>136</v>
      </c>
      <c r="H65" s="96"/>
      <c r="K65" s="151" t="s">
        <v>137</v>
      </c>
      <c r="P65" s="96"/>
      <c r="S65" s="151" t="s">
        <v>138</v>
      </c>
      <c r="AB65" s="151" t="s">
        <v>136</v>
      </c>
      <c r="AI65" s="151" t="s">
        <v>136</v>
      </c>
    </row>
    <row r="66" spans="3:38" hidden="1" x14ac:dyDescent="0.25">
      <c r="C66" s="152" t="s">
        <v>61</v>
      </c>
      <c r="D66" s="153" t="s">
        <v>42</v>
      </c>
      <c r="E66" s="153" t="s">
        <v>47</v>
      </c>
      <c r="F66" s="154" t="s">
        <v>12</v>
      </c>
      <c r="H66" s="96"/>
      <c r="K66" s="152" t="s">
        <v>61</v>
      </c>
      <c r="L66" s="153" t="s">
        <v>42</v>
      </c>
      <c r="M66" s="153" t="s">
        <v>47</v>
      </c>
      <c r="N66" s="154" t="s">
        <v>12</v>
      </c>
      <c r="P66" s="96"/>
      <c r="S66" s="152" t="s">
        <v>61</v>
      </c>
      <c r="T66" s="153" t="s">
        <v>42</v>
      </c>
      <c r="U66" s="153" t="s">
        <v>47</v>
      </c>
      <c r="V66" s="154" t="s">
        <v>12</v>
      </c>
      <c r="AB66" s="152" t="s">
        <v>61</v>
      </c>
      <c r="AC66" s="153" t="s">
        <v>42</v>
      </c>
      <c r="AD66" s="153" t="s">
        <v>47</v>
      </c>
      <c r="AE66" s="154" t="s">
        <v>12</v>
      </c>
      <c r="AI66" s="152" t="s">
        <v>61</v>
      </c>
      <c r="AJ66" s="153" t="s">
        <v>42</v>
      </c>
      <c r="AK66" s="153" t="s">
        <v>47</v>
      </c>
      <c r="AL66" s="154" t="s">
        <v>12</v>
      </c>
    </row>
    <row r="67" spans="3:38" hidden="1" x14ac:dyDescent="0.25">
      <c r="C67" s="121" t="str">
        <f>C20</f>
        <v>Atlīdzības izdevumi pak.cenā, euro</v>
      </c>
      <c r="D67" s="155">
        <f>'1.2.'!I26</f>
        <v>26686031.51119424</v>
      </c>
      <c r="E67" s="155">
        <v>0</v>
      </c>
      <c r="F67" s="156">
        <f>D67+E67</f>
        <v>26686031.51119424</v>
      </c>
      <c r="H67" s="96"/>
      <c r="K67" s="121" t="str">
        <f>K20</f>
        <v>Atlīdzības izdevumi pak.cenā, euro</v>
      </c>
      <c r="L67" s="155">
        <v>0</v>
      </c>
      <c r="M67" s="155">
        <f>D67</f>
        <v>26686031.51119424</v>
      </c>
      <c r="N67" s="156">
        <f>L67+M67</f>
        <v>26686031.51119424</v>
      </c>
      <c r="P67" s="96"/>
      <c r="S67" s="121" t="str">
        <f>S20</f>
        <v>Atlīdzības izdevumi pak.cenā, euro</v>
      </c>
      <c r="T67" s="155" t="e">
        <f>'1.2.'!I47</f>
        <v>#REF!</v>
      </c>
      <c r="U67" s="155">
        <v>0</v>
      </c>
      <c r="V67" s="156" t="e">
        <f>T67+U67</f>
        <v>#REF!</v>
      </c>
      <c r="AB67" s="121" t="str">
        <f>AB20</f>
        <v>Atlīdzības izdevumi pak.cenā, euro</v>
      </c>
      <c r="AC67" s="155">
        <f>'1.2.'!AH26</f>
        <v>0</v>
      </c>
      <c r="AD67" s="155">
        <v>0</v>
      </c>
      <c r="AE67" s="156">
        <f>AC67+AD67</f>
        <v>0</v>
      </c>
      <c r="AI67" s="121" t="str">
        <f>AI20</f>
        <v>Atlīdzības izdevumi pak.cenā, euro</v>
      </c>
      <c r="AJ67" s="155">
        <f>'1.2.'!AO26</f>
        <v>0</v>
      </c>
      <c r="AK67" s="155">
        <v>0</v>
      </c>
      <c r="AL67" s="156">
        <f>AJ67+AK67</f>
        <v>0</v>
      </c>
    </row>
    <row r="68" spans="3:38" hidden="1" x14ac:dyDescent="0.25">
      <c r="C68" s="121" t="str">
        <f>C21</f>
        <v>Transporta izdevumi, euro</v>
      </c>
      <c r="D68" s="155">
        <f>'1.2.'!I27</f>
        <v>339632.21000486764</v>
      </c>
      <c r="E68" s="155">
        <v>0</v>
      </c>
      <c r="F68" s="155">
        <f t="shared" ref="F68:F69" si="61">D68+E68</f>
        <v>339632.21000486764</v>
      </c>
      <c r="H68" s="96"/>
      <c r="K68" s="121" t="str">
        <f>K21</f>
        <v>Transporta izdevumi, euro</v>
      </c>
      <c r="L68" s="155">
        <v>0</v>
      </c>
      <c r="M68" s="155">
        <f t="shared" ref="M68:M69" si="62">D68</f>
        <v>339632.21000486764</v>
      </c>
      <c r="N68" s="155">
        <f t="shared" ref="N68:N69" si="63">L68+M68</f>
        <v>339632.21000486764</v>
      </c>
      <c r="P68" s="96"/>
      <c r="S68" s="121" t="str">
        <f>S21</f>
        <v>Transporta izdevumi, euro</v>
      </c>
      <c r="T68" s="155">
        <f>'1.2.'!I48</f>
        <v>339632.21000486764</v>
      </c>
      <c r="U68" s="155">
        <v>0</v>
      </c>
      <c r="V68" s="155">
        <f t="shared" ref="V68:V69" si="64">T68+U68</f>
        <v>339632.21000486764</v>
      </c>
      <c r="AB68" s="121" t="str">
        <f>AB21</f>
        <v>Transporta izdevumi, euro</v>
      </c>
      <c r="AC68" s="155">
        <f>'1.2.'!AH27</f>
        <v>0</v>
      </c>
      <c r="AD68" s="155">
        <v>0</v>
      </c>
      <c r="AE68" s="155">
        <f t="shared" ref="AE68:AE69" si="65">AC68+AD68</f>
        <v>0</v>
      </c>
      <c r="AI68" s="121" t="str">
        <f>AI21</f>
        <v>Transporta izdevumi, euro</v>
      </c>
      <c r="AJ68" s="155">
        <f>'1.2.'!AO27</f>
        <v>0</v>
      </c>
      <c r="AK68" s="155">
        <v>0</v>
      </c>
      <c r="AL68" s="155">
        <f t="shared" ref="AL68:AL69" si="66">AJ68+AK68</f>
        <v>0</v>
      </c>
    </row>
    <row r="69" spans="3:38" hidden="1" x14ac:dyDescent="0.25">
      <c r="C69" s="121" t="str">
        <f>C22</f>
        <v>Administrēšana ~5%, euro</v>
      </c>
      <c r="D69" s="155">
        <f>'1.2.'!I28</f>
        <v>1351283.1860599555</v>
      </c>
      <c r="E69" s="155">
        <v>0</v>
      </c>
      <c r="F69" s="155">
        <f t="shared" si="61"/>
        <v>1351283.1860599555</v>
      </c>
      <c r="H69" s="96"/>
      <c r="K69" s="121" t="str">
        <f>K22</f>
        <v>Administrēšana ~5%, euro</v>
      </c>
      <c r="L69" s="155">
        <v>0</v>
      </c>
      <c r="M69" s="155">
        <f t="shared" si="62"/>
        <v>1351283.1860599555</v>
      </c>
      <c r="N69" s="155">
        <f t="shared" si="63"/>
        <v>1351283.1860599555</v>
      </c>
      <c r="P69" s="96"/>
      <c r="S69" s="121" t="str">
        <f>S22</f>
        <v>Administrēšana ~5%, euro</v>
      </c>
      <c r="T69" s="155" t="e">
        <f>'1.2.'!I49</f>
        <v>#REF!</v>
      </c>
      <c r="U69" s="155">
        <v>0</v>
      </c>
      <c r="V69" s="155" t="e">
        <f t="shared" si="64"/>
        <v>#REF!</v>
      </c>
      <c r="AB69" s="121" t="str">
        <f>AB22</f>
        <v>Administrēšana ~5%, euro</v>
      </c>
      <c r="AC69" s="155">
        <f>'1.2.'!AH28</f>
        <v>0</v>
      </c>
      <c r="AD69" s="155">
        <v>0</v>
      </c>
      <c r="AE69" s="155">
        <f t="shared" si="65"/>
        <v>0</v>
      </c>
      <c r="AI69" s="121" t="str">
        <f>AI22</f>
        <v>Administrēšana ~5%, euro</v>
      </c>
      <c r="AJ69" s="155">
        <f>'1.2.'!AO28</f>
        <v>0</v>
      </c>
      <c r="AK69" s="155">
        <v>0</v>
      </c>
      <c r="AL69" s="155">
        <f t="shared" si="66"/>
        <v>0</v>
      </c>
    </row>
    <row r="70" spans="3:38" hidden="1" x14ac:dyDescent="0.25">
      <c r="C70" s="157" t="s">
        <v>39</v>
      </c>
      <c r="D70" s="149">
        <f>D67+D68+D69</f>
        <v>28376946.907259062</v>
      </c>
      <c r="E70" s="149">
        <f t="shared" ref="E70:F70" si="67">E67+E68+E69</f>
        <v>0</v>
      </c>
      <c r="F70" s="149">
        <f t="shared" si="67"/>
        <v>28376946.907259062</v>
      </c>
      <c r="G70" s="150"/>
      <c r="H70" s="96"/>
      <c r="K70" s="157" t="s">
        <v>39</v>
      </c>
      <c r="L70" s="149">
        <f>L67+L68+L69</f>
        <v>0</v>
      </c>
      <c r="M70" s="149">
        <f t="shared" ref="M70:N70" si="68">M67+M68+M69</f>
        <v>28376946.907259062</v>
      </c>
      <c r="N70" s="149">
        <f t="shared" si="68"/>
        <v>28376946.907259062</v>
      </c>
      <c r="O70" s="150"/>
      <c r="P70" s="96"/>
      <c r="S70" s="157" t="s">
        <v>39</v>
      </c>
      <c r="T70" s="149" t="e">
        <f>T67+T68+T69</f>
        <v>#REF!</v>
      </c>
      <c r="U70" s="149">
        <f t="shared" ref="U70:V70" si="69">U67+U68+U69</f>
        <v>0</v>
      </c>
      <c r="V70" s="149" t="e">
        <f t="shared" si="69"/>
        <v>#REF!</v>
      </c>
      <c r="AB70" s="157" t="s">
        <v>39</v>
      </c>
      <c r="AC70" s="149">
        <f>AC67+AC68+AC69</f>
        <v>0</v>
      </c>
      <c r="AD70" s="149">
        <f t="shared" ref="AD70:AE70" si="70">AD67+AD68+AD69</f>
        <v>0</v>
      </c>
      <c r="AE70" s="149">
        <f t="shared" si="70"/>
        <v>0</v>
      </c>
      <c r="AI70" s="157" t="s">
        <v>39</v>
      </c>
      <c r="AJ70" s="149">
        <f>AJ67+AJ68+AJ69</f>
        <v>0</v>
      </c>
      <c r="AK70" s="149">
        <f t="shared" ref="AK70:AL70" si="71">AK67+AK68+AK69</f>
        <v>0</v>
      </c>
      <c r="AL70" s="149">
        <f t="shared" si="71"/>
        <v>0</v>
      </c>
    </row>
    <row r="71" spans="3:38" hidden="1" x14ac:dyDescent="0.25">
      <c r="H71" s="96"/>
      <c r="P71" s="96"/>
    </row>
    <row r="72" spans="3:38" hidden="1" x14ac:dyDescent="0.25">
      <c r="C72" s="151" t="s">
        <v>139</v>
      </c>
      <c r="H72" s="96"/>
      <c r="K72" s="151" t="s">
        <v>140</v>
      </c>
      <c r="P72" s="96"/>
      <c r="S72" s="151" t="s">
        <v>141</v>
      </c>
      <c r="AB72" s="151" t="s">
        <v>139</v>
      </c>
      <c r="AI72" s="151" t="s">
        <v>139</v>
      </c>
    </row>
    <row r="73" spans="3:38" hidden="1" x14ac:dyDescent="0.25">
      <c r="C73" s="152" t="s">
        <v>61</v>
      </c>
      <c r="D73" s="153" t="s">
        <v>42</v>
      </c>
      <c r="E73" s="153" t="s">
        <v>47</v>
      </c>
      <c r="F73" s="154" t="s">
        <v>12</v>
      </c>
      <c r="H73" s="96"/>
      <c r="K73" s="152" t="s">
        <v>61</v>
      </c>
      <c r="L73" s="153" t="s">
        <v>42</v>
      </c>
      <c r="M73" s="153" t="s">
        <v>47</v>
      </c>
      <c r="N73" s="154" t="s">
        <v>12</v>
      </c>
      <c r="P73" s="96"/>
      <c r="S73" s="152" t="s">
        <v>61</v>
      </c>
      <c r="T73" s="153" t="s">
        <v>42</v>
      </c>
      <c r="U73" s="153" t="s">
        <v>47</v>
      </c>
      <c r="V73" s="154" t="s">
        <v>12</v>
      </c>
      <c r="AB73" s="152" t="s">
        <v>61</v>
      </c>
      <c r="AC73" s="153" t="s">
        <v>42</v>
      </c>
      <c r="AD73" s="153" t="s">
        <v>47</v>
      </c>
      <c r="AE73" s="154" t="s">
        <v>12</v>
      </c>
      <c r="AI73" s="152" t="s">
        <v>61</v>
      </c>
      <c r="AJ73" s="153" t="s">
        <v>42</v>
      </c>
      <c r="AK73" s="153" t="s">
        <v>47</v>
      </c>
      <c r="AL73" s="154" t="s">
        <v>12</v>
      </c>
    </row>
    <row r="74" spans="3:38" hidden="1" x14ac:dyDescent="0.25">
      <c r="C74" s="121" t="str">
        <f>C67</f>
        <v>Atlīdzības izdevumi pak.cenā, euro</v>
      </c>
      <c r="D74" s="155">
        <f>'1.3.'!C59</f>
        <v>11125447.320863308</v>
      </c>
      <c r="E74" s="155">
        <f>'1.3.'!G59</f>
        <v>4540998.9064748194</v>
      </c>
      <c r="F74" s="156">
        <f>D74+E74</f>
        <v>15666446.227338128</v>
      </c>
      <c r="H74" s="96"/>
      <c r="K74" s="121" t="str">
        <f>K27</f>
        <v>Atlīdzības izdevumi pak.cenā, euro</v>
      </c>
      <c r="L74" s="155">
        <v>0</v>
      </c>
      <c r="M74" s="155">
        <f>F74</f>
        <v>15666446.227338128</v>
      </c>
      <c r="N74" s="156">
        <f>L74+M74</f>
        <v>15666446.227338128</v>
      </c>
      <c r="P74" s="96"/>
      <c r="S74" s="121" t="str">
        <f>S27</f>
        <v>Atlīdzības izdevumi pak.cenā, euro</v>
      </c>
      <c r="T74" s="155" t="e">
        <f>'1.3.'!V59</f>
        <v>#REF!</v>
      </c>
      <c r="U74" s="155" t="e">
        <f>'1.3.'!Z59</f>
        <v>#REF!</v>
      </c>
      <c r="V74" s="156" t="e">
        <f>T74+U74</f>
        <v>#REF!</v>
      </c>
      <c r="AB74" s="121" t="str">
        <f>AB67</f>
        <v>Atlīdzības izdevumi pak.cenā, euro</v>
      </c>
      <c r="AC74" s="155">
        <f>'1.3.'!AB59</f>
        <v>0</v>
      </c>
      <c r="AD74" s="155">
        <f>'1.3.'!AF59</f>
        <v>0</v>
      </c>
      <c r="AE74" s="156">
        <f>AC74+AD74</f>
        <v>0</v>
      </c>
      <c r="AI74" s="121" t="str">
        <f>AI67</f>
        <v>Atlīdzības izdevumi pak.cenā, euro</v>
      </c>
      <c r="AJ74" s="155">
        <f>'1.3.'!AI59</f>
        <v>0</v>
      </c>
      <c r="AK74" s="155">
        <f>'1.3.'!AM59</f>
        <v>0</v>
      </c>
      <c r="AL74" s="156">
        <f>AJ74+AK74</f>
        <v>0</v>
      </c>
    </row>
    <row r="75" spans="3:38" hidden="1" x14ac:dyDescent="0.25">
      <c r="C75" s="121" t="str">
        <f t="shared" ref="C75:C76" si="72">C68</f>
        <v>Transporta izdevumi, euro</v>
      </c>
      <c r="D75" s="155">
        <f>'1.3.'!C60</f>
        <v>283289.64545454545</v>
      </c>
      <c r="E75" s="155">
        <f>'1.3.'!G60</f>
        <v>0</v>
      </c>
      <c r="F75" s="155">
        <f t="shared" ref="F75:F76" si="73">D75+E75</f>
        <v>283289.64545454545</v>
      </c>
      <c r="H75" s="96"/>
      <c r="K75" s="121" t="str">
        <f>K28</f>
        <v>Transporta izdevumi, euro</v>
      </c>
      <c r="L75" s="155">
        <v>0</v>
      </c>
      <c r="M75" s="155">
        <f t="shared" ref="M75:M76" si="74">F75</f>
        <v>283289.64545454545</v>
      </c>
      <c r="N75" s="155">
        <f t="shared" ref="N75:N76" si="75">L75+M75</f>
        <v>283289.64545454545</v>
      </c>
      <c r="P75" s="96"/>
      <c r="S75" s="121" t="str">
        <f>S28</f>
        <v>Transporta izdevumi, euro</v>
      </c>
      <c r="T75" s="155">
        <f>'1.3.'!V60</f>
        <v>283289.64545454545</v>
      </c>
      <c r="U75" s="155">
        <f>'1.3.'!Z60</f>
        <v>0</v>
      </c>
      <c r="V75" s="155">
        <f t="shared" ref="V75:V76" si="76">T75+U75</f>
        <v>283289.64545454545</v>
      </c>
      <c r="AB75" s="121" t="str">
        <f t="shared" ref="AB75:AB76" si="77">AB68</f>
        <v>Transporta izdevumi, euro</v>
      </c>
      <c r="AC75" s="155">
        <f>'1.3.'!AB60</f>
        <v>0</v>
      </c>
      <c r="AD75" s="155">
        <f>'1.3.'!AF60</f>
        <v>0</v>
      </c>
      <c r="AE75" s="155">
        <f t="shared" ref="AE75:AE76" si="78">AC75+AD75</f>
        <v>0</v>
      </c>
      <c r="AI75" s="121" t="str">
        <f t="shared" ref="AI75:AI76" si="79">AI68</f>
        <v>Transporta izdevumi, euro</v>
      </c>
      <c r="AJ75" s="155">
        <f>'1.3.'!AI60</f>
        <v>0</v>
      </c>
      <c r="AK75" s="155">
        <f>'1.3.'!AM60</f>
        <v>0</v>
      </c>
      <c r="AL75" s="155">
        <f t="shared" ref="AL75:AL76" si="80">AJ75+AK75</f>
        <v>0</v>
      </c>
    </row>
    <row r="76" spans="3:38" hidden="1" x14ac:dyDescent="0.25">
      <c r="C76" s="121" t="str">
        <f t="shared" si="72"/>
        <v>Administrēšana ~5%, euro</v>
      </c>
      <c r="D76" s="155">
        <f>'1.3.'!C61</f>
        <v>570436.84831589262</v>
      </c>
      <c r="E76" s="155">
        <f>'1.3.'!G61</f>
        <v>227049.94532374098</v>
      </c>
      <c r="F76" s="155">
        <f t="shared" si="73"/>
        <v>797486.79363963357</v>
      </c>
      <c r="H76" s="96"/>
      <c r="K76" s="121" t="str">
        <f>K29</f>
        <v>Administrēšana ~5%, euro</v>
      </c>
      <c r="L76" s="155">
        <v>0</v>
      </c>
      <c r="M76" s="155">
        <f t="shared" si="74"/>
        <v>797486.79363963357</v>
      </c>
      <c r="N76" s="155">
        <f t="shared" si="75"/>
        <v>797486.79363963357</v>
      </c>
      <c r="P76" s="96"/>
      <c r="S76" s="121" t="str">
        <f>S29</f>
        <v>Administrēšana ~5%, euro</v>
      </c>
      <c r="T76" s="155" t="e">
        <f>'1.3.'!V61</f>
        <v>#REF!</v>
      </c>
      <c r="U76" s="155" t="e">
        <f>'1.3.'!Z61</f>
        <v>#REF!</v>
      </c>
      <c r="V76" s="155" t="e">
        <f t="shared" si="76"/>
        <v>#REF!</v>
      </c>
      <c r="AB76" s="121" t="str">
        <f t="shared" si="77"/>
        <v>Administrēšana ~5%, euro</v>
      </c>
      <c r="AC76" s="155">
        <f>'1.3.'!AB61</f>
        <v>0</v>
      </c>
      <c r="AD76" s="155">
        <f>'1.3.'!AF61</f>
        <v>0</v>
      </c>
      <c r="AE76" s="155">
        <f t="shared" si="78"/>
        <v>0</v>
      </c>
      <c r="AI76" s="121" t="str">
        <f t="shared" si="79"/>
        <v>Administrēšana ~5%, euro</v>
      </c>
      <c r="AJ76" s="155">
        <f>'1.3.'!AI61</f>
        <v>0</v>
      </c>
      <c r="AK76" s="155">
        <f>'1.3.'!AM61</f>
        <v>0</v>
      </c>
      <c r="AL76" s="155">
        <f t="shared" si="80"/>
        <v>0</v>
      </c>
    </row>
    <row r="77" spans="3:38" hidden="1" x14ac:dyDescent="0.25">
      <c r="C77" s="157" t="s">
        <v>39</v>
      </c>
      <c r="D77" s="149">
        <f>D74+D75+D76</f>
        <v>11979173.814633746</v>
      </c>
      <c r="E77" s="149">
        <f t="shared" ref="E77:F77" si="81">E74+E75+E76</f>
        <v>4768048.8517985605</v>
      </c>
      <c r="F77" s="149">
        <f t="shared" si="81"/>
        <v>16747222.666432306</v>
      </c>
      <c r="G77" s="150"/>
      <c r="H77" s="96"/>
      <c r="K77" s="157" t="s">
        <v>39</v>
      </c>
      <c r="L77" s="149">
        <f>L74+L75+L76</f>
        <v>0</v>
      </c>
      <c r="M77" s="149">
        <f t="shared" ref="M77:N77" si="82">M74+M75+M76</f>
        <v>16747222.666432306</v>
      </c>
      <c r="N77" s="149">
        <f t="shared" si="82"/>
        <v>16747222.666432306</v>
      </c>
      <c r="O77" s="150"/>
      <c r="P77" s="96"/>
      <c r="S77" s="157" t="s">
        <v>39</v>
      </c>
      <c r="T77" s="149" t="e">
        <f>T74+T75+T76</f>
        <v>#REF!</v>
      </c>
      <c r="U77" s="149" t="e">
        <f t="shared" ref="U77:V77" si="83">U74+U75+U76</f>
        <v>#REF!</v>
      </c>
      <c r="V77" s="149" t="e">
        <f t="shared" si="83"/>
        <v>#REF!</v>
      </c>
      <c r="AB77" s="157" t="s">
        <v>39</v>
      </c>
      <c r="AC77" s="149">
        <f>AC74+AC75+AC76</f>
        <v>0</v>
      </c>
      <c r="AD77" s="149">
        <f t="shared" ref="AD77:AE77" si="84">AD74+AD75+AD76</f>
        <v>0</v>
      </c>
      <c r="AE77" s="149">
        <f t="shared" si="84"/>
        <v>0</v>
      </c>
      <c r="AI77" s="157" t="s">
        <v>39</v>
      </c>
      <c r="AJ77" s="149">
        <f>AJ74+AJ75+AJ76</f>
        <v>0</v>
      </c>
      <c r="AK77" s="149">
        <f t="shared" ref="AK77:AL77" si="85">AK74+AK75+AK76</f>
        <v>0</v>
      </c>
      <c r="AL77" s="149">
        <f t="shared" si="85"/>
        <v>0</v>
      </c>
    </row>
    <row r="78" spans="3:38" ht="14.45" hidden="1" customHeight="1" x14ac:dyDescent="0.25">
      <c r="D78" s="92"/>
      <c r="E78" s="92"/>
      <c r="F78" s="92"/>
      <c r="H78" s="96"/>
      <c r="L78" s="92"/>
      <c r="M78" s="92"/>
      <c r="N78" s="92"/>
      <c r="P78" s="96"/>
      <c r="T78" s="92"/>
      <c r="U78" s="92"/>
      <c r="V78" s="92"/>
      <c r="AC78" s="92"/>
      <c r="AD78" s="92"/>
      <c r="AE78" s="92"/>
      <c r="AJ78" s="92"/>
      <c r="AK78" s="92"/>
      <c r="AL78" s="92"/>
    </row>
    <row r="79" spans="3:38" hidden="1" x14ac:dyDescent="0.25">
      <c r="H79" s="96"/>
      <c r="P79" s="96"/>
    </row>
    <row r="80" spans="3:38" hidden="1" x14ac:dyDescent="0.25">
      <c r="H80" s="96"/>
      <c r="P80" s="96"/>
    </row>
    <row r="81" spans="1:38" hidden="1" x14ac:dyDescent="0.25">
      <c r="C81" s="158" t="s">
        <v>120</v>
      </c>
      <c r="D81" s="159">
        <f>D82+D83</f>
        <v>11661.300000000001</v>
      </c>
      <c r="H81" s="96"/>
      <c r="K81" s="158" t="s">
        <v>120</v>
      </c>
      <c r="L81" s="159">
        <f>L82+L83</f>
        <v>11661.300000000001</v>
      </c>
      <c r="P81" s="96"/>
      <c r="S81" s="158" t="s">
        <v>120</v>
      </c>
      <c r="T81" s="159">
        <f>T82+T83</f>
        <v>11661.300000000001</v>
      </c>
      <c r="AB81" s="417" t="s">
        <v>120</v>
      </c>
      <c r="AC81" s="159">
        <f>AC82+AC83</f>
        <v>0</v>
      </c>
      <c r="AI81" s="417" t="s">
        <v>120</v>
      </c>
      <c r="AJ81" s="159">
        <f>AJ82+AJ83</f>
        <v>0</v>
      </c>
    </row>
    <row r="82" spans="1:38" hidden="1" x14ac:dyDescent="0.25">
      <c r="C82" s="81" t="s">
        <v>64</v>
      </c>
      <c r="D82" s="89">
        <f>'1.2.'!G24</f>
        <v>8931.3000000000011</v>
      </c>
      <c r="H82" s="96"/>
      <c r="K82" s="81" t="s">
        <v>64</v>
      </c>
      <c r="L82" s="89">
        <f>D82</f>
        <v>8931.3000000000011</v>
      </c>
      <c r="P82" s="96"/>
      <c r="S82" s="81" t="s">
        <v>64</v>
      </c>
      <c r="T82" s="89">
        <f>L82</f>
        <v>8931.3000000000011</v>
      </c>
      <c r="AB82" s="416" t="s">
        <v>64</v>
      </c>
      <c r="AC82" s="89">
        <f>'1.2.'!AF24</f>
        <v>0</v>
      </c>
      <c r="AI82" s="416" t="s">
        <v>64</v>
      </c>
      <c r="AJ82" s="89">
        <f>'1.2.'!AM24</f>
        <v>0</v>
      </c>
    </row>
    <row r="83" spans="1:38" hidden="1" x14ac:dyDescent="0.25">
      <c r="C83" s="81" t="s">
        <v>22</v>
      </c>
      <c r="D83" s="89">
        <f>'1.3.'!C51</f>
        <v>2730</v>
      </c>
      <c r="H83" s="96"/>
      <c r="K83" s="81" t="s">
        <v>22</v>
      </c>
      <c r="L83" s="89">
        <f>'1.3.'!M51</f>
        <v>2730</v>
      </c>
      <c r="P83" s="96"/>
      <c r="S83" s="81" t="s">
        <v>22</v>
      </c>
      <c r="T83" s="89">
        <f>L83</f>
        <v>2730</v>
      </c>
      <c r="AB83" s="416" t="s">
        <v>22</v>
      </c>
      <c r="AC83" s="89">
        <f>'1.3.'!AB51</f>
        <v>0</v>
      </c>
      <c r="AI83" s="416" t="s">
        <v>22</v>
      </c>
      <c r="AJ83" s="89">
        <f>'1.3.'!AI51</f>
        <v>0</v>
      </c>
    </row>
    <row r="84" spans="1:38" ht="32.450000000000003" hidden="1" customHeight="1" x14ac:dyDescent="0.25">
      <c r="B84" s="453" t="s">
        <v>226</v>
      </c>
      <c r="C84" s="453"/>
      <c r="D84" s="453"/>
      <c r="E84" s="453"/>
      <c r="F84" s="453"/>
      <c r="G84" s="453"/>
      <c r="H84" s="453"/>
      <c r="I84" s="453"/>
      <c r="J84" s="453"/>
      <c r="K84" s="453"/>
      <c r="L84" s="453"/>
      <c r="M84" s="453"/>
      <c r="N84" s="453"/>
      <c r="O84" s="453"/>
      <c r="P84" s="453"/>
      <c r="Q84" s="453"/>
      <c r="R84" s="453"/>
      <c r="S84" s="81"/>
      <c r="T84" s="89"/>
    </row>
    <row r="85" spans="1:38" hidden="1" x14ac:dyDescent="0.25">
      <c r="H85" s="96"/>
      <c r="K85" s="161"/>
      <c r="L85" s="161"/>
      <c r="M85" s="161"/>
      <c r="N85" s="161"/>
      <c r="P85" s="96"/>
    </row>
    <row r="86" spans="1:38" hidden="1" x14ac:dyDescent="0.25">
      <c r="D86" s="91"/>
      <c r="E86" s="91"/>
      <c r="F86" s="91"/>
      <c r="H86" s="96"/>
      <c r="K86" s="161"/>
      <c r="L86" s="161"/>
      <c r="M86" s="161"/>
      <c r="N86" s="161"/>
      <c r="P86" s="96"/>
      <c r="T86" s="91"/>
      <c r="U86" s="91"/>
      <c r="V86" s="91"/>
      <c r="AC86" s="91"/>
      <c r="AD86" s="91"/>
      <c r="AE86" s="91"/>
      <c r="AJ86" s="91"/>
      <c r="AK86" s="91"/>
      <c r="AL86" s="91"/>
    </row>
    <row r="87" spans="1:38" hidden="1" x14ac:dyDescent="0.25">
      <c r="D87" s="91"/>
      <c r="E87" s="91"/>
      <c r="F87" s="91"/>
      <c r="H87" s="96"/>
      <c r="K87" s="161"/>
      <c r="L87" s="161"/>
      <c r="M87" s="161"/>
      <c r="N87" s="161"/>
      <c r="P87" s="96"/>
      <c r="T87" s="91"/>
      <c r="U87" s="91"/>
      <c r="V87" s="91"/>
      <c r="AC87" s="91"/>
      <c r="AD87" s="91"/>
      <c r="AE87" s="91"/>
      <c r="AJ87" s="91"/>
      <c r="AK87" s="91"/>
      <c r="AL87" s="91"/>
    </row>
    <row r="88" spans="1:38" hidden="1" x14ac:dyDescent="0.25">
      <c r="D88" s="91"/>
      <c r="E88" s="91"/>
      <c r="F88" s="162"/>
      <c r="G88" s="128"/>
      <c r="H88" s="128"/>
      <c r="I88" s="138"/>
      <c r="J88" s="128"/>
      <c r="K88" s="128"/>
      <c r="L88" s="162"/>
      <c r="M88" s="162"/>
      <c r="N88" s="162"/>
      <c r="O88" s="128"/>
      <c r="P88" s="128"/>
      <c r="Q88" s="128"/>
      <c r="R88" s="128"/>
      <c r="S88" s="128"/>
      <c r="T88" s="91"/>
      <c r="U88" s="91"/>
      <c r="V88" s="91"/>
      <c r="AC88" s="91"/>
      <c r="AD88" s="91"/>
      <c r="AE88" s="162"/>
      <c r="AJ88" s="91"/>
      <c r="AK88" s="91"/>
      <c r="AL88" s="162"/>
    </row>
    <row r="89" spans="1:38" hidden="1" x14ac:dyDescent="0.25">
      <c r="C89" s="79" t="s">
        <v>118</v>
      </c>
      <c r="D89" s="91"/>
      <c r="E89" s="91"/>
      <c r="F89" s="162"/>
      <c r="G89" s="128"/>
      <c r="H89" s="128"/>
      <c r="I89" s="138"/>
      <c r="J89" s="128"/>
      <c r="K89" s="128"/>
      <c r="L89" s="162"/>
      <c r="M89" s="162"/>
      <c r="N89" s="162"/>
      <c r="O89" s="128"/>
      <c r="P89" s="128"/>
      <c r="Q89" s="128"/>
      <c r="R89" s="128"/>
      <c r="S89" s="128"/>
      <c r="T89" s="91"/>
      <c r="U89" s="91"/>
      <c r="V89" s="91"/>
      <c r="AB89" s="79" t="s">
        <v>118</v>
      </c>
      <c r="AC89" s="91"/>
      <c r="AD89" s="91"/>
      <c r="AE89" s="162"/>
      <c r="AI89" s="79" t="s">
        <v>118</v>
      </c>
      <c r="AJ89" s="91"/>
      <c r="AK89" s="91"/>
      <c r="AL89" s="162"/>
    </row>
    <row r="90" spans="1:38" hidden="1" x14ac:dyDescent="0.25">
      <c r="C90" s="79" t="s">
        <v>117</v>
      </c>
      <c r="D90" s="91"/>
      <c r="E90" s="91"/>
      <c r="F90" s="162"/>
      <c r="G90" s="128"/>
      <c r="H90" s="128"/>
      <c r="I90" s="138"/>
      <c r="J90" s="128"/>
      <c r="K90" s="128"/>
      <c r="L90" s="162"/>
      <c r="M90" s="162"/>
      <c r="N90" s="162"/>
      <c r="O90" s="128"/>
      <c r="P90" s="128"/>
      <c r="Q90" s="128"/>
      <c r="R90" s="128"/>
      <c r="S90" s="128"/>
      <c r="T90" s="91"/>
      <c r="U90" s="91"/>
      <c r="V90" s="91"/>
      <c r="AB90" s="79" t="s">
        <v>117</v>
      </c>
      <c r="AC90" s="91"/>
      <c r="AD90" s="91"/>
      <c r="AE90" s="162"/>
      <c r="AI90" s="79" t="s">
        <v>117</v>
      </c>
      <c r="AJ90" s="91"/>
      <c r="AK90" s="91"/>
      <c r="AL90" s="162"/>
    </row>
    <row r="91" spans="1:38" hidden="1" x14ac:dyDescent="0.25">
      <c r="D91" s="91"/>
      <c r="E91" s="91"/>
      <c r="F91" s="162"/>
      <c r="G91" s="128"/>
      <c r="H91" s="128"/>
      <c r="I91" s="138"/>
      <c r="J91" s="128"/>
      <c r="K91" s="128"/>
      <c r="L91" s="162"/>
      <c r="M91" s="162"/>
      <c r="N91" s="162"/>
      <c r="O91" s="128"/>
      <c r="P91" s="128"/>
      <c r="Q91" s="128"/>
      <c r="R91" s="128"/>
      <c r="S91" s="128"/>
      <c r="T91" s="91"/>
      <c r="U91" s="91"/>
      <c r="V91" s="91"/>
      <c r="AC91" s="91"/>
      <c r="AD91" s="91"/>
      <c r="AE91" s="162"/>
      <c r="AJ91" s="91"/>
      <c r="AK91" s="91"/>
      <c r="AL91" s="162"/>
    </row>
    <row r="92" spans="1:38" ht="18.75" hidden="1" x14ac:dyDescent="0.3">
      <c r="D92" s="91"/>
      <c r="E92" s="91"/>
      <c r="F92" s="162"/>
      <c r="G92" s="128"/>
      <c r="H92" s="128"/>
      <c r="I92" s="138"/>
      <c r="J92" s="128"/>
      <c r="K92" s="128"/>
      <c r="L92" s="162"/>
      <c r="M92" s="162"/>
      <c r="N92" s="162"/>
      <c r="O92" s="128"/>
      <c r="P92" s="128"/>
      <c r="Q92" s="128"/>
      <c r="R92" s="128"/>
      <c r="S92" s="128"/>
      <c r="T92" s="91"/>
      <c r="U92" s="91"/>
      <c r="V92" s="77" t="s">
        <v>113</v>
      </c>
      <c r="AC92" s="91"/>
      <c r="AD92" s="91"/>
      <c r="AE92" s="162"/>
      <c r="AJ92" s="91"/>
      <c r="AK92" s="91"/>
      <c r="AL92" s="162"/>
    </row>
    <row r="93" spans="1:38" hidden="1" x14ac:dyDescent="0.25">
      <c r="D93" s="91"/>
      <c r="E93" s="91"/>
      <c r="F93" s="162"/>
      <c r="G93" s="128"/>
      <c r="H93" s="128"/>
      <c r="I93" s="138"/>
      <c r="J93" s="128"/>
      <c r="K93" s="128"/>
      <c r="L93" s="162"/>
      <c r="M93" s="162"/>
      <c r="N93" s="162"/>
      <c r="O93" s="128"/>
      <c r="P93" s="128"/>
      <c r="Q93" s="128"/>
      <c r="R93" s="128"/>
      <c r="S93" s="128"/>
      <c r="T93" s="91"/>
      <c r="U93" s="91"/>
      <c r="V93" s="81" t="s">
        <v>106</v>
      </c>
      <c r="AC93" s="91"/>
      <c r="AD93" s="91"/>
      <c r="AE93" s="162"/>
      <c r="AJ93" s="91"/>
      <c r="AK93" s="91"/>
      <c r="AL93" s="162"/>
    </row>
    <row r="94" spans="1:38" hidden="1" x14ac:dyDescent="0.25">
      <c r="D94" s="91"/>
      <c r="E94" s="91"/>
      <c r="F94" s="162"/>
      <c r="G94" s="128"/>
      <c r="H94" s="128"/>
      <c r="I94" s="138"/>
      <c r="J94" s="128"/>
      <c r="K94" s="128"/>
      <c r="L94" s="162"/>
      <c r="M94" s="162"/>
      <c r="N94" s="162"/>
      <c r="O94" s="128"/>
      <c r="P94" s="128"/>
      <c r="Q94" s="128"/>
      <c r="R94" s="128"/>
      <c r="S94" s="128"/>
      <c r="T94" s="91"/>
      <c r="U94" s="91"/>
      <c r="V94" s="91"/>
      <c r="AC94" s="91"/>
      <c r="AD94" s="91"/>
      <c r="AE94" s="162"/>
      <c r="AJ94" s="91"/>
      <c r="AK94" s="91"/>
      <c r="AL94" s="162"/>
    </row>
    <row r="95" spans="1:38" hidden="1" x14ac:dyDescent="0.25">
      <c r="D95" s="91"/>
      <c r="E95" s="91"/>
      <c r="F95" s="162"/>
      <c r="G95" s="128"/>
      <c r="H95" s="128"/>
      <c r="I95" s="138"/>
      <c r="J95" s="128"/>
      <c r="K95" s="128"/>
      <c r="L95" s="162"/>
      <c r="M95" s="162"/>
      <c r="N95" s="162"/>
      <c r="O95" s="128"/>
      <c r="P95" s="128"/>
      <c r="Q95" s="128"/>
      <c r="R95" s="128"/>
      <c r="S95" s="128"/>
      <c r="T95" s="91"/>
      <c r="U95" s="91"/>
      <c r="V95" s="91"/>
      <c r="AC95" s="91"/>
      <c r="AD95" s="91"/>
      <c r="AE95" s="162"/>
      <c r="AJ95" s="91"/>
      <c r="AK95" s="91"/>
      <c r="AL95" s="162"/>
    </row>
    <row r="96" spans="1:38" s="139" customFormat="1" ht="51.6" hidden="1" customHeight="1" x14ac:dyDescent="0.25">
      <c r="A96" s="446" t="s">
        <v>161</v>
      </c>
      <c r="B96" s="446"/>
      <c r="C96" s="446"/>
      <c r="D96" s="446"/>
      <c r="E96" s="446"/>
      <c r="F96" s="446"/>
      <c r="G96" s="446"/>
      <c r="H96" s="446"/>
      <c r="I96" s="446"/>
      <c r="J96" s="446"/>
      <c r="K96" s="446"/>
      <c r="L96" s="446"/>
      <c r="M96" s="446"/>
      <c r="N96" s="446"/>
      <c r="O96" s="446"/>
      <c r="P96" s="446"/>
      <c r="Q96" s="446"/>
      <c r="R96" s="446"/>
      <c r="S96" s="446"/>
      <c r="T96" s="446"/>
      <c r="U96" s="446"/>
      <c r="V96" s="446"/>
    </row>
    <row r="97" spans="2:38" hidden="1" x14ac:dyDescent="0.25">
      <c r="D97" s="91"/>
      <c r="E97" s="91"/>
      <c r="F97" s="162"/>
      <c r="G97" s="128"/>
      <c r="H97" s="128"/>
      <c r="I97" s="138"/>
      <c r="J97" s="128"/>
      <c r="K97" s="128"/>
      <c r="L97" s="162"/>
      <c r="M97" s="162"/>
      <c r="N97" s="162"/>
      <c r="O97" s="128"/>
      <c r="P97" s="128"/>
      <c r="Q97" s="128"/>
      <c r="R97" s="128"/>
      <c r="S97" s="128"/>
      <c r="T97" s="91"/>
      <c r="U97" s="91"/>
      <c r="V97" s="91"/>
      <c r="AC97" s="91"/>
      <c r="AD97" s="91"/>
      <c r="AE97" s="162"/>
      <c r="AJ97" s="91"/>
      <c r="AK97" s="91"/>
      <c r="AL97" s="162"/>
    </row>
    <row r="98" spans="2:38" ht="18.75" hidden="1" x14ac:dyDescent="0.3">
      <c r="C98" s="61">
        <v>2023</v>
      </c>
      <c r="F98" s="128"/>
      <c r="G98" s="128"/>
      <c r="H98" s="140"/>
      <c r="I98" s="138"/>
      <c r="J98" s="128"/>
      <c r="K98" s="128"/>
      <c r="L98" s="128"/>
      <c r="M98" s="128"/>
      <c r="N98" s="128"/>
      <c r="O98" s="128"/>
      <c r="P98" s="140"/>
      <c r="Q98" s="128"/>
      <c r="R98" s="128"/>
      <c r="S98" s="128"/>
      <c r="AB98" s="61">
        <v>2023</v>
      </c>
      <c r="AE98" s="128"/>
      <c r="AI98" s="61">
        <v>2023</v>
      </c>
      <c r="AL98" s="128"/>
    </row>
    <row r="99" spans="2:38" ht="20.25" hidden="1" x14ac:dyDescent="0.3">
      <c r="B99" s="452" t="s">
        <v>134</v>
      </c>
      <c r="C99" s="452"/>
      <c r="H99" s="95"/>
      <c r="J99" s="452" t="s">
        <v>135</v>
      </c>
      <c r="K99" s="452"/>
      <c r="P99" s="95"/>
      <c r="R99" s="452" t="s">
        <v>146</v>
      </c>
      <c r="S99" s="452"/>
      <c r="AA99" s="452" t="s">
        <v>134</v>
      </c>
      <c r="AB99" s="452"/>
      <c r="AH99" s="452" t="s">
        <v>134</v>
      </c>
      <c r="AI99" s="452"/>
    </row>
    <row r="100" spans="2:38" ht="18.75" hidden="1" x14ac:dyDescent="0.3">
      <c r="C100" s="142"/>
      <c r="H100" s="95"/>
      <c r="K100" s="142"/>
      <c r="P100" s="95"/>
      <c r="S100" s="142"/>
      <c r="AB100" s="142"/>
      <c r="AI100" s="142"/>
    </row>
    <row r="101" spans="2:38" hidden="1" x14ac:dyDescent="0.25">
      <c r="B101" s="448" t="s">
        <v>131</v>
      </c>
      <c r="C101" s="448"/>
      <c r="H101" s="96"/>
      <c r="J101" s="448" t="s">
        <v>132</v>
      </c>
      <c r="K101" s="448"/>
      <c r="P101" s="96"/>
      <c r="R101" s="448" t="s">
        <v>133</v>
      </c>
      <c r="S101" s="448"/>
      <c r="AA101" s="448" t="s">
        <v>131</v>
      </c>
      <c r="AB101" s="448"/>
      <c r="AH101" s="448" t="s">
        <v>131</v>
      </c>
      <c r="AI101" s="448"/>
    </row>
    <row r="102" spans="2:38" hidden="1" x14ac:dyDescent="0.25">
      <c r="B102" s="449" t="s">
        <v>61</v>
      </c>
      <c r="C102" s="449"/>
      <c r="D102" s="143" t="s">
        <v>66</v>
      </c>
      <c r="E102" s="143" t="s">
        <v>47</v>
      </c>
      <c r="F102" s="144" t="s">
        <v>12</v>
      </c>
      <c r="H102" s="96"/>
      <c r="J102" s="449" t="s">
        <v>61</v>
      </c>
      <c r="K102" s="449"/>
      <c r="L102" s="143" t="s">
        <v>42</v>
      </c>
      <c r="M102" s="143" t="s">
        <v>47</v>
      </c>
      <c r="N102" s="144" t="s">
        <v>12</v>
      </c>
      <c r="P102" s="96"/>
      <c r="R102" s="449" t="s">
        <v>61</v>
      </c>
      <c r="S102" s="449"/>
      <c r="T102" s="143" t="s">
        <v>66</v>
      </c>
      <c r="U102" s="143" t="s">
        <v>47</v>
      </c>
      <c r="V102" s="144" t="s">
        <v>12</v>
      </c>
      <c r="AA102" s="449" t="s">
        <v>61</v>
      </c>
      <c r="AB102" s="449"/>
      <c r="AC102" s="143" t="s">
        <v>66</v>
      </c>
      <c r="AD102" s="143" t="s">
        <v>47</v>
      </c>
      <c r="AE102" s="144" t="s">
        <v>12</v>
      </c>
      <c r="AH102" s="449" t="s">
        <v>61</v>
      </c>
      <c r="AI102" s="449"/>
      <c r="AJ102" s="143" t="s">
        <v>66</v>
      </c>
      <c r="AK102" s="143" t="s">
        <v>47</v>
      </c>
      <c r="AL102" s="144" t="s">
        <v>12</v>
      </c>
    </row>
    <row r="103" spans="2:38" hidden="1" x14ac:dyDescent="0.25">
      <c r="B103" s="450" t="s">
        <v>107</v>
      </c>
      <c r="C103" s="450"/>
      <c r="D103" s="145">
        <f>D111+D118</f>
        <v>39702052.773660421</v>
      </c>
      <c r="E103" s="145">
        <f>E111+E118</f>
        <v>4768048.8517985605</v>
      </c>
      <c r="F103" s="146">
        <f>D103+E103</f>
        <v>44470101.625458986</v>
      </c>
      <c r="H103" s="96"/>
      <c r="J103" s="450" t="s">
        <v>107</v>
      </c>
      <c r="K103" s="450"/>
      <c r="L103" s="145">
        <f>L111+L118</f>
        <v>0</v>
      </c>
      <c r="M103" s="145">
        <f>M111+M118</f>
        <v>44470101.625458986</v>
      </c>
      <c r="N103" s="146">
        <f>L103+M103</f>
        <v>44470101.625458986</v>
      </c>
      <c r="P103" s="96"/>
      <c r="R103" s="450" t="s">
        <v>107</v>
      </c>
      <c r="S103" s="450"/>
      <c r="T103" s="145" t="e">
        <f>T111+T118</f>
        <v>#REF!</v>
      </c>
      <c r="U103" s="145" t="e">
        <f>U111+U118</f>
        <v>#REF!</v>
      </c>
      <c r="V103" s="146" t="e">
        <f>T103+U103</f>
        <v>#REF!</v>
      </c>
      <c r="AA103" s="450" t="s">
        <v>107</v>
      </c>
      <c r="AB103" s="450"/>
      <c r="AC103" s="145">
        <f>AC111+AC118</f>
        <v>0</v>
      </c>
      <c r="AD103" s="145">
        <f>AD111+AD118</f>
        <v>0</v>
      </c>
      <c r="AE103" s="146">
        <f>AC103+AD103</f>
        <v>0</v>
      </c>
      <c r="AH103" s="450" t="s">
        <v>107</v>
      </c>
      <c r="AI103" s="450"/>
      <c r="AJ103" s="145">
        <f>AJ111+AJ118</f>
        <v>0</v>
      </c>
      <c r="AK103" s="145">
        <f>AK111+AK118</f>
        <v>0</v>
      </c>
      <c r="AL103" s="146">
        <f>AJ103+AK103</f>
        <v>0</v>
      </c>
    </row>
    <row r="104" spans="2:38" hidden="1" x14ac:dyDescent="0.25">
      <c r="B104" s="450" t="s">
        <v>108</v>
      </c>
      <c r="C104" s="450"/>
      <c r="D104" s="145">
        <f t="shared" ref="D104:E104" si="86">D112+D119</f>
        <v>654067.9482323837</v>
      </c>
      <c r="E104" s="145">
        <f t="shared" si="86"/>
        <v>0</v>
      </c>
      <c r="F104" s="145">
        <f t="shared" ref="F104:F105" si="87">D104+E104</f>
        <v>654067.9482323837</v>
      </c>
      <c r="H104" s="96"/>
      <c r="J104" s="450" t="s">
        <v>108</v>
      </c>
      <c r="K104" s="450"/>
      <c r="L104" s="145">
        <f t="shared" ref="L104" si="88">L112+L119</f>
        <v>0</v>
      </c>
      <c r="M104" s="145">
        <f>M112+M119</f>
        <v>654067.9482323837</v>
      </c>
      <c r="N104" s="145">
        <f t="shared" ref="N104:N105" si="89">L104+M104</f>
        <v>654067.9482323837</v>
      </c>
      <c r="P104" s="96"/>
      <c r="R104" s="450" t="s">
        <v>108</v>
      </c>
      <c r="S104" s="450"/>
      <c r="T104" s="145">
        <f t="shared" ref="T104:U104" si="90">T112+T119</f>
        <v>654067.9482323837</v>
      </c>
      <c r="U104" s="145">
        <f t="shared" si="90"/>
        <v>0</v>
      </c>
      <c r="V104" s="145">
        <f t="shared" ref="V104:V105" si="91">T104+U104</f>
        <v>654067.9482323837</v>
      </c>
      <c r="AA104" s="450" t="s">
        <v>108</v>
      </c>
      <c r="AB104" s="450"/>
      <c r="AC104" s="145">
        <f t="shared" ref="AC104:AD104" si="92">AC112+AC119</f>
        <v>0</v>
      </c>
      <c r="AD104" s="145">
        <f t="shared" si="92"/>
        <v>0</v>
      </c>
      <c r="AE104" s="145">
        <f t="shared" ref="AE104:AE105" si="93">AC104+AD104</f>
        <v>0</v>
      </c>
      <c r="AH104" s="450" t="s">
        <v>108</v>
      </c>
      <c r="AI104" s="450"/>
      <c r="AJ104" s="145">
        <f t="shared" ref="AJ104:AK104" si="94">AJ112+AJ119</f>
        <v>0</v>
      </c>
      <c r="AK104" s="145">
        <f t="shared" si="94"/>
        <v>0</v>
      </c>
      <c r="AL104" s="145">
        <f t="shared" ref="AL104:AL105" si="95">AJ104+AK104</f>
        <v>0</v>
      </c>
    </row>
    <row r="105" spans="2:38" hidden="1" x14ac:dyDescent="0.25">
      <c r="B105" s="147" t="s">
        <v>104</v>
      </c>
      <c r="C105" s="147"/>
      <c r="D105" s="145">
        <f t="shared" ref="D105:E105" si="96">D113+D120</f>
        <v>2017806.0360946406</v>
      </c>
      <c r="E105" s="145">
        <f t="shared" si="96"/>
        <v>238402.44258992805</v>
      </c>
      <c r="F105" s="145">
        <f t="shared" si="87"/>
        <v>2256208.4786845688</v>
      </c>
      <c r="H105" s="96"/>
      <c r="J105" s="148" t="s">
        <v>104</v>
      </c>
      <c r="K105" s="147"/>
      <c r="L105" s="145">
        <f t="shared" ref="L105:M105" si="97">L113+L120</f>
        <v>0</v>
      </c>
      <c r="M105" s="145">
        <f t="shared" si="97"/>
        <v>2256208.4786845688</v>
      </c>
      <c r="N105" s="145">
        <f t="shared" si="89"/>
        <v>2256208.4786845688</v>
      </c>
      <c r="P105" s="96"/>
      <c r="R105" s="147" t="s">
        <v>104</v>
      </c>
      <c r="S105" s="147"/>
      <c r="T105" s="145" t="e">
        <f t="shared" ref="T105:U105" si="98">T113+T120</f>
        <v>#REF!</v>
      </c>
      <c r="U105" s="145" t="e">
        <f t="shared" si="98"/>
        <v>#REF!</v>
      </c>
      <c r="V105" s="145" t="e">
        <f t="shared" si="91"/>
        <v>#REF!</v>
      </c>
      <c r="AA105" s="418" t="s">
        <v>104</v>
      </c>
      <c r="AB105" s="418"/>
      <c r="AC105" s="145">
        <f t="shared" ref="AC105:AD105" si="99">AC113+AC120</f>
        <v>0</v>
      </c>
      <c r="AD105" s="145">
        <f t="shared" si="99"/>
        <v>0</v>
      </c>
      <c r="AE105" s="145">
        <f t="shared" si="93"/>
        <v>0</v>
      </c>
      <c r="AH105" s="418" t="s">
        <v>104</v>
      </c>
      <c r="AI105" s="418"/>
      <c r="AJ105" s="145">
        <f t="shared" ref="AJ105:AK105" si="100">AJ113+AJ120</f>
        <v>0</v>
      </c>
      <c r="AK105" s="145">
        <f t="shared" si="100"/>
        <v>0</v>
      </c>
      <c r="AL105" s="145">
        <f t="shared" si="95"/>
        <v>0</v>
      </c>
    </row>
    <row r="106" spans="2:38" hidden="1" x14ac:dyDescent="0.25">
      <c r="B106" s="451" t="s">
        <v>39</v>
      </c>
      <c r="C106" s="451"/>
      <c r="D106" s="149">
        <f>D103+D104+D105</f>
        <v>42373926.757987447</v>
      </c>
      <c r="E106" s="149">
        <f t="shared" ref="E106:F106" si="101">E103+E104+E105</f>
        <v>5006451.2943884889</v>
      </c>
      <c r="F106" s="149">
        <f t="shared" si="101"/>
        <v>47380378.052375935</v>
      </c>
      <c r="G106" s="150">
        <f>F106-F114-F121</f>
        <v>0</v>
      </c>
      <c r="H106" s="96"/>
      <c r="J106" s="451" t="s">
        <v>39</v>
      </c>
      <c r="K106" s="451"/>
      <c r="L106" s="149">
        <f>L103+L104+L105</f>
        <v>0</v>
      </c>
      <c r="M106" s="149">
        <f t="shared" ref="M106:N106" si="102">M103+M104+M105</f>
        <v>47380378.052375935</v>
      </c>
      <c r="N106" s="149">
        <f t="shared" si="102"/>
        <v>47380378.052375935</v>
      </c>
      <c r="O106" s="150">
        <f>N106-N114-N121</f>
        <v>0</v>
      </c>
      <c r="P106" s="96"/>
      <c r="R106" s="451" t="s">
        <v>39</v>
      </c>
      <c r="S106" s="451"/>
      <c r="T106" s="149" t="e">
        <f>T103+T104+T105</f>
        <v>#REF!</v>
      </c>
      <c r="U106" s="149" t="e">
        <f t="shared" ref="U106:V106" si="103">U103+U104+U105</f>
        <v>#REF!</v>
      </c>
      <c r="V106" s="149" t="e">
        <f t="shared" si="103"/>
        <v>#REF!</v>
      </c>
      <c r="AA106" s="451" t="s">
        <v>39</v>
      </c>
      <c r="AB106" s="451"/>
      <c r="AC106" s="149">
        <f>AC103+AC104+AC105</f>
        <v>0</v>
      </c>
      <c r="AD106" s="149">
        <f t="shared" ref="AD106:AE106" si="104">AD103+AD104+AD105</f>
        <v>0</v>
      </c>
      <c r="AE106" s="149">
        <f t="shared" si="104"/>
        <v>0</v>
      </c>
      <c r="AH106" s="451" t="s">
        <v>39</v>
      </c>
      <c r="AI106" s="451"/>
      <c r="AJ106" s="149">
        <f>AJ103+AJ104+AJ105</f>
        <v>0</v>
      </c>
      <c r="AK106" s="149">
        <f t="shared" ref="AK106:AL106" si="105">AK103+AK104+AK105</f>
        <v>0</v>
      </c>
      <c r="AL106" s="149">
        <f t="shared" si="105"/>
        <v>0</v>
      </c>
    </row>
    <row r="107" spans="2:38" hidden="1" x14ac:dyDescent="0.25">
      <c r="C107" s="142" t="s">
        <v>62</v>
      </c>
      <c r="H107" s="96"/>
      <c r="K107" s="142" t="s">
        <v>62</v>
      </c>
      <c r="P107" s="96"/>
      <c r="S107" s="142" t="s">
        <v>62</v>
      </c>
      <c r="AB107" s="142" t="s">
        <v>62</v>
      </c>
      <c r="AI107" s="142" t="s">
        <v>62</v>
      </c>
    </row>
    <row r="108" spans="2:38" hidden="1" x14ac:dyDescent="0.25">
      <c r="C108" s="142"/>
      <c r="H108" s="96"/>
      <c r="K108" s="142"/>
      <c r="P108" s="96"/>
      <c r="S108" s="142"/>
      <c r="AB108" s="142"/>
      <c r="AI108" s="142"/>
    </row>
    <row r="109" spans="2:38" hidden="1" x14ac:dyDescent="0.25">
      <c r="C109" s="151" t="s">
        <v>136</v>
      </c>
      <c r="H109" s="96"/>
      <c r="K109" s="151" t="s">
        <v>137</v>
      </c>
      <c r="P109" s="96"/>
      <c r="S109" s="151" t="s">
        <v>138</v>
      </c>
      <c r="AB109" s="151" t="s">
        <v>136</v>
      </c>
      <c r="AI109" s="151" t="s">
        <v>136</v>
      </c>
    </row>
    <row r="110" spans="2:38" hidden="1" x14ac:dyDescent="0.25">
      <c r="C110" s="152" t="s">
        <v>61</v>
      </c>
      <c r="D110" s="153" t="s">
        <v>42</v>
      </c>
      <c r="E110" s="153" t="s">
        <v>47</v>
      </c>
      <c r="F110" s="154" t="s">
        <v>12</v>
      </c>
      <c r="H110" s="96"/>
      <c r="K110" s="152" t="s">
        <v>61</v>
      </c>
      <c r="L110" s="153" t="s">
        <v>42</v>
      </c>
      <c r="M110" s="153" t="s">
        <v>47</v>
      </c>
      <c r="N110" s="154" t="s">
        <v>12</v>
      </c>
      <c r="P110" s="96"/>
      <c r="S110" s="152" t="s">
        <v>61</v>
      </c>
      <c r="T110" s="153" t="s">
        <v>42</v>
      </c>
      <c r="U110" s="153" t="s">
        <v>47</v>
      </c>
      <c r="V110" s="154" t="s">
        <v>12</v>
      </c>
      <c r="AB110" s="152" t="s">
        <v>61</v>
      </c>
      <c r="AC110" s="153" t="s">
        <v>42</v>
      </c>
      <c r="AD110" s="153" t="s">
        <v>47</v>
      </c>
      <c r="AE110" s="154" t="s">
        <v>12</v>
      </c>
      <c r="AI110" s="152" t="s">
        <v>61</v>
      </c>
      <c r="AJ110" s="153" t="s">
        <v>42</v>
      </c>
      <c r="AK110" s="153" t="s">
        <v>47</v>
      </c>
      <c r="AL110" s="154" t="s">
        <v>12</v>
      </c>
    </row>
    <row r="111" spans="2:38" hidden="1" x14ac:dyDescent="0.25">
      <c r="C111" s="121" t="str">
        <f>C67</f>
        <v>Atlīdzības izdevumi pak.cenā, euro</v>
      </c>
      <c r="D111" s="155">
        <f>'1.2.'!L26</f>
        <v>28020333.086753953</v>
      </c>
      <c r="E111" s="155">
        <v>0</v>
      </c>
      <c r="F111" s="156">
        <f>D111+E111</f>
        <v>28020333.086753953</v>
      </c>
      <c r="H111" s="96"/>
      <c r="K111" s="121" t="str">
        <f>K67</f>
        <v>Atlīdzības izdevumi pak.cenā, euro</v>
      </c>
      <c r="L111" s="155">
        <v>0</v>
      </c>
      <c r="M111" s="155">
        <f>D111</f>
        <v>28020333.086753953</v>
      </c>
      <c r="N111" s="156">
        <f>L111+M111</f>
        <v>28020333.086753953</v>
      </c>
      <c r="P111" s="96"/>
      <c r="S111" s="121" t="str">
        <f>S67</f>
        <v>Atlīdzības izdevumi pak.cenā, euro</v>
      </c>
      <c r="T111" s="155" t="e">
        <f>'1.2.'!L47</f>
        <v>#REF!</v>
      </c>
      <c r="U111" s="155">
        <v>0</v>
      </c>
      <c r="V111" s="156" t="e">
        <f>T111+U111</f>
        <v>#REF!</v>
      </c>
      <c r="AB111" s="121" t="str">
        <f>AB67</f>
        <v>Atlīdzības izdevumi pak.cenā, euro</v>
      </c>
      <c r="AC111" s="155">
        <f>'1.2.'!AK26</f>
        <v>0</v>
      </c>
      <c r="AD111" s="155">
        <v>0</v>
      </c>
      <c r="AE111" s="156">
        <f>AC111+AD111</f>
        <v>0</v>
      </c>
      <c r="AI111" s="121" t="str">
        <f>AI67</f>
        <v>Atlīdzības izdevumi pak.cenā, euro</v>
      </c>
      <c r="AJ111" s="155">
        <f>'1.2.'!AR26</f>
        <v>0</v>
      </c>
      <c r="AK111" s="155">
        <v>0</v>
      </c>
      <c r="AL111" s="156">
        <f>AJ111+AK111</f>
        <v>0</v>
      </c>
    </row>
    <row r="112" spans="2:38" hidden="1" x14ac:dyDescent="0.25">
      <c r="C112" s="121" t="str">
        <f>C68</f>
        <v>Transporta izdevumi, euro</v>
      </c>
      <c r="D112" s="155">
        <f>'1.2.'!L27</f>
        <v>356613.82050511101</v>
      </c>
      <c r="E112" s="155">
        <v>0</v>
      </c>
      <c r="F112" s="155">
        <f t="shared" ref="F112:F113" si="106">D112+E112</f>
        <v>356613.82050511101</v>
      </c>
      <c r="H112" s="96"/>
      <c r="K112" s="121" t="str">
        <f>K68</f>
        <v>Transporta izdevumi, euro</v>
      </c>
      <c r="L112" s="155">
        <v>0</v>
      </c>
      <c r="M112" s="155">
        <f t="shared" ref="M112:M113" si="107">D112</f>
        <v>356613.82050511101</v>
      </c>
      <c r="N112" s="155">
        <f t="shared" ref="N112:N113" si="108">L112+M112</f>
        <v>356613.82050511101</v>
      </c>
      <c r="P112" s="96"/>
      <c r="S112" s="121" t="str">
        <f>S68</f>
        <v>Transporta izdevumi, euro</v>
      </c>
      <c r="T112" s="155">
        <f>'1.2.'!L48</f>
        <v>356613.82050511101</v>
      </c>
      <c r="U112" s="155">
        <v>0</v>
      </c>
      <c r="V112" s="155">
        <f t="shared" ref="V112:V113" si="109">T112+U112</f>
        <v>356613.82050511101</v>
      </c>
      <c r="AB112" s="121" t="str">
        <f>AB68</f>
        <v>Transporta izdevumi, euro</v>
      </c>
      <c r="AC112" s="155">
        <f>'1.2.'!AK27</f>
        <v>0</v>
      </c>
      <c r="AD112" s="155">
        <v>0</v>
      </c>
      <c r="AE112" s="155">
        <f t="shared" ref="AE112:AE113" si="110">AC112+AD112</f>
        <v>0</v>
      </c>
      <c r="AI112" s="121" t="str">
        <f>AI68</f>
        <v>Transporta izdevumi, euro</v>
      </c>
      <c r="AJ112" s="155">
        <f>'1.2.'!AR27</f>
        <v>0</v>
      </c>
      <c r="AK112" s="155">
        <v>0</v>
      </c>
      <c r="AL112" s="155">
        <f t="shared" ref="AL112:AL113" si="111">AJ112+AK112</f>
        <v>0</v>
      </c>
    </row>
    <row r="113" spans="2:38" hidden="1" x14ac:dyDescent="0.25">
      <c r="C113" s="121" t="str">
        <f>C69</f>
        <v>Administrēšana ~5%, euro</v>
      </c>
      <c r="D113" s="155">
        <f>'1.2.'!L28</f>
        <v>1418847.3453629534</v>
      </c>
      <c r="E113" s="155">
        <v>0</v>
      </c>
      <c r="F113" s="155">
        <f t="shared" si="106"/>
        <v>1418847.3453629534</v>
      </c>
      <c r="H113" s="96"/>
      <c r="K113" s="121" t="str">
        <f>K69</f>
        <v>Administrēšana ~5%, euro</v>
      </c>
      <c r="L113" s="155">
        <v>0</v>
      </c>
      <c r="M113" s="155">
        <f t="shared" si="107"/>
        <v>1418847.3453629534</v>
      </c>
      <c r="N113" s="155">
        <f t="shared" si="108"/>
        <v>1418847.3453629534</v>
      </c>
      <c r="P113" s="96"/>
      <c r="S113" s="121" t="str">
        <f>S69</f>
        <v>Administrēšana ~5%, euro</v>
      </c>
      <c r="T113" s="155" t="e">
        <f>'1.2.'!L49</f>
        <v>#REF!</v>
      </c>
      <c r="U113" s="155">
        <v>0</v>
      </c>
      <c r="V113" s="155" t="e">
        <f t="shared" si="109"/>
        <v>#REF!</v>
      </c>
      <c r="AB113" s="121" t="str">
        <f>AB69</f>
        <v>Administrēšana ~5%, euro</v>
      </c>
      <c r="AC113" s="155">
        <f>'1.2.'!AK28</f>
        <v>0</v>
      </c>
      <c r="AD113" s="155">
        <v>0</v>
      </c>
      <c r="AE113" s="155">
        <f t="shared" si="110"/>
        <v>0</v>
      </c>
      <c r="AI113" s="121" t="str">
        <f>AI69</f>
        <v>Administrēšana ~5%, euro</v>
      </c>
      <c r="AJ113" s="155">
        <f>'1.2.'!AR28</f>
        <v>0</v>
      </c>
      <c r="AK113" s="155">
        <v>0</v>
      </c>
      <c r="AL113" s="155">
        <f t="shared" si="111"/>
        <v>0</v>
      </c>
    </row>
    <row r="114" spans="2:38" hidden="1" x14ac:dyDescent="0.25">
      <c r="C114" s="157" t="s">
        <v>39</v>
      </c>
      <c r="D114" s="149">
        <f>D111+D112+D113</f>
        <v>29795794.252622019</v>
      </c>
      <c r="E114" s="149">
        <f t="shared" ref="E114:F114" si="112">E111+E112+E113</f>
        <v>0</v>
      </c>
      <c r="F114" s="149">
        <f t="shared" si="112"/>
        <v>29795794.252622019</v>
      </c>
      <c r="G114" s="150"/>
      <c r="H114" s="96"/>
      <c r="K114" s="157" t="s">
        <v>39</v>
      </c>
      <c r="L114" s="149">
        <f>L111+L112+L113</f>
        <v>0</v>
      </c>
      <c r="M114" s="149">
        <f t="shared" ref="M114:N114" si="113">M111+M112+M113</f>
        <v>29795794.252622019</v>
      </c>
      <c r="N114" s="149">
        <f t="shared" si="113"/>
        <v>29795794.252622019</v>
      </c>
      <c r="O114" s="150">
        <f>F114-N114</f>
        <v>0</v>
      </c>
      <c r="P114" s="96"/>
      <c r="S114" s="157" t="s">
        <v>39</v>
      </c>
      <c r="T114" s="149" t="e">
        <f>T111+T112+T113</f>
        <v>#REF!</v>
      </c>
      <c r="U114" s="149">
        <f t="shared" ref="U114:V114" si="114">U111+U112+U113</f>
        <v>0</v>
      </c>
      <c r="V114" s="149" t="e">
        <f t="shared" si="114"/>
        <v>#REF!</v>
      </c>
      <c r="AB114" s="157" t="s">
        <v>39</v>
      </c>
      <c r="AC114" s="149">
        <f>AC111+AC112+AC113</f>
        <v>0</v>
      </c>
      <c r="AD114" s="149">
        <f t="shared" ref="AD114:AE114" si="115">AD111+AD112+AD113</f>
        <v>0</v>
      </c>
      <c r="AE114" s="149">
        <f t="shared" si="115"/>
        <v>0</v>
      </c>
      <c r="AI114" s="157" t="s">
        <v>39</v>
      </c>
      <c r="AJ114" s="149">
        <f>AJ111+AJ112+AJ113</f>
        <v>0</v>
      </c>
      <c r="AK114" s="149">
        <f t="shared" ref="AK114:AL114" si="116">AK111+AK112+AK113</f>
        <v>0</v>
      </c>
      <c r="AL114" s="149">
        <f t="shared" si="116"/>
        <v>0</v>
      </c>
    </row>
    <row r="115" spans="2:38" hidden="1" x14ac:dyDescent="0.25">
      <c r="H115" s="96"/>
      <c r="P115" s="96"/>
    </row>
    <row r="116" spans="2:38" hidden="1" x14ac:dyDescent="0.25">
      <c r="C116" s="151" t="s">
        <v>139</v>
      </c>
      <c r="H116" s="96"/>
      <c r="K116" s="151" t="s">
        <v>140</v>
      </c>
      <c r="P116" s="96"/>
      <c r="S116" s="151" t="s">
        <v>141</v>
      </c>
      <c r="AB116" s="151" t="s">
        <v>139</v>
      </c>
      <c r="AI116" s="151" t="s">
        <v>139</v>
      </c>
    </row>
    <row r="117" spans="2:38" hidden="1" x14ac:dyDescent="0.25">
      <c r="C117" s="152" t="s">
        <v>61</v>
      </c>
      <c r="D117" s="153" t="s">
        <v>42</v>
      </c>
      <c r="E117" s="153" t="s">
        <v>47</v>
      </c>
      <c r="F117" s="154" t="s">
        <v>12</v>
      </c>
      <c r="H117" s="96"/>
      <c r="K117" s="152" t="s">
        <v>61</v>
      </c>
      <c r="L117" s="153" t="s">
        <v>42</v>
      </c>
      <c r="M117" s="153" t="s">
        <v>47</v>
      </c>
      <c r="N117" s="154" t="s">
        <v>12</v>
      </c>
      <c r="P117" s="96"/>
      <c r="S117" s="152" t="s">
        <v>61</v>
      </c>
      <c r="T117" s="153" t="s">
        <v>42</v>
      </c>
      <c r="U117" s="153" t="s">
        <v>47</v>
      </c>
      <c r="V117" s="154" t="s">
        <v>12</v>
      </c>
      <c r="AB117" s="152" t="s">
        <v>61</v>
      </c>
      <c r="AC117" s="153" t="s">
        <v>42</v>
      </c>
      <c r="AD117" s="153" t="s">
        <v>47</v>
      </c>
      <c r="AE117" s="154" t="s">
        <v>12</v>
      </c>
      <c r="AI117" s="152" t="s">
        <v>61</v>
      </c>
      <c r="AJ117" s="153" t="s">
        <v>42</v>
      </c>
      <c r="AK117" s="153" t="s">
        <v>47</v>
      </c>
      <c r="AL117" s="154" t="s">
        <v>12</v>
      </c>
    </row>
    <row r="118" spans="2:38" hidden="1" x14ac:dyDescent="0.25">
      <c r="C118" s="121" t="str">
        <f>C111</f>
        <v>Atlīdzības izdevumi pak.cenā, euro</v>
      </c>
      <c r="D118" s="155">
        <f>'1.3.'!C92</f>
        <v>11681719.686906472</v>
      </c>
      <c r="E118" s="155">
        <f>'1.3.'!G92</f>
        <v>4768048.8517985605</v>
      </c>
      <c r="F118" s="156">
        <f>D118+E118</f>
        <v>16449768.538705032</v>
      </c>
      <c r="H118" s="96"/>
      <c r="K118" s="121" t="str">
        <f>K111</f>
        <v>Atlīdzības izdevumi pak.cenā, euro</v>
      </c>
      <c r="L118" s="155">
        <v>0</v>
      </c>
      <c r="M118" s="155">
        <f>F118</f>
        <v>16449768.538705032</v>
      </c>
      <c r="N118" s="156">
        <f>L118+M118</f>
        <v>16449768.538705032</v>
      </c>
      <c r="P118" s="96"/>
      <c r="S118" s="121" t="str">
        <f>S111</f>
        <v>Atlīdzības izdevumi pak.cenā, euro</v>
      </c>
      <c r="T118" s="155" t="e">
        <f>'1.3.'!V92</f>
        <v>#REF!</v>
      </c>
      <c r="U118" s="155" t="e">
        <f>'1.3.'!Z92</f>
        <v>#REF!</v>
      </c>
      <c r="V118" s="156" t="e">
        <f>T118+U118</f>
        <v>#REF!</v>
      </c>
      <c r="AB118" s="121" t="str">
        <f>AB111</f>
        <v>Atlīdzības izdevumi pak.cenā, euro</v>
      </c>
      <c r="AC118" s="155">
        <f>'1.3.'!AB92</f>
        <v>0</v>
      </c>
      <c r="AD118" s="155">
        <f>'1.3.'!AF92</f>
        <v>0</v>
      </c>
      <c r="AE118" s="156">
        <f>AC118+AD118</f>
        <v>0</v>
      </c>
      <c r="AI118" s="121" t="str">
        <f>AI111</f>
        <v>Atlīdzības izdevumi pak.cenā, euro</v>
      </c>
      <c r="AJ118" s="155">
        <f>'1.3.'!AI92</f>
        <v>0</v>
      </c>
      <c r="AK118" s="155">
        <f>'1.3.'!AM92</f>
        <v>0</v>
      </c>
      <c r="AL118" s="156">
        <f>AJ118+AK118</f>
        <v>0</v>
      </c>
    </row>
    <row r="119" spans="2:38" hidden="1" x14ac:dyDescent="0.25">
      <c r="C119" s="121" t="str">
        <f t="shared" ref="C119:C120" si="117">C112</f>
        <v>Transporta izdevumi, euro</v>
      </c>
      <c r="D119" s="155">
        <f>'1.3.'!C93</f>
        <v>297454.12772727269</v>
      </c>
      <c r="E119" s="155">
        <f>'1.3.'!G93</f>
        <v>0</v>
      </c>
      <c r="F119" s="155">
        <f t="shared" ref="F119:F120" si="118">D119+E119</f>
        <v>297454.12772727269</v>
      </c>
      <c r="H119" s="96"/>
      <c r="K119" s="121" t="str">
        <f t="shared" ref="K119:K120" si="119">K112</f>
        <v>Transporta izdevumi, euro</v>
      </c>
      <c r="L119" s="155">
        <v>0</v>
      </c>
      <c r="M119" s="155">
        <f t="shared" ref="M119:M120" si="120">F119</f>
        <v>297454.12772727269</v>
      </c>
      <c r="N119" s="155">
        <f t="shared" ref="N119:N120" si="121">L119+M119</f>
        <v>297454.12772727269</v>
      </c>
      <c r="P119" s="96"/>
      <c r="S119" s="121" t="str">
        <f t="shared" ref="S119:S120" si="122">S112</f>
        <v>Transporta izdevumi, euro</v>
      </c>
      <c r="T119" s="155">
        <f>'1.3.'!V93</f>
        <v>297454.12772727269</v>
      </c>
      <c r="U119" s="155">
        <f>'1.3.'!Z93</f>
        <v>0</v>
      </c>
      <c r="V119" s="155">
        <f t="shared" ref="V119:V120" si="123">T119+U119</f>
        <v>297454.12772727269</v>
      </c>
      <c r="AB119" s="121" t="str">
        <f t="shared" ref="AB119:AB120" si="124">AB112</f>
        <v>Transporta izdevumi, euro</v>
      </c>
      <c r="AC119" s="155">
        <f>'1.3.'!AB93</f>
        <v>0</v>
      </c>
      <c r="AD119" s="155">
        <f>'1.3.'!AF93</f>
        <v>0</v>
      </c>
      <c r="AE119" s="155">
        <f t="shared" ref="AE119:AE120" si="125">AC119+AD119</f>
        <v>0</v>
      </c>
      <c r="AI119" s="121" t="str">
        <f t="shared" ref="AI119:AI120" si="126">AI112</f>
        <v>Transporta izdevumi, euro</v>
      </c>
      <c r="AJ119" s="155">
        <f>'1.3.'!AI93</f>
        <v>0</v>
      </c>
      <c r="AK119" s="155">
        <f>'1.3.'!AM93</f>
        <v>0</v>
      </c>
      <c r="AL119" s="155">
        <f t="shared" ref="AL119:AL120" si="127">AJ119+AK119</f>
        <v>0</v>
      </c>
    </row>
    <row r="120" spans="2:38" hidden="1" x14ac:dyDescent="0.25">
      <c r="C120" s="121" t="str">
        <f t="shared" si="117"/>
        <v>Administrēšana ~5%, euro</v>
      </c>
      <c r="D120" s="155">
        <f>'1.3.'!C94</f>
        <v>598958.69073168724</v>
      </c>
      <c r="E120" s="155">
        <f>'1.3.'!G94</f>
        <v>238402.44258992805</v>
      </c>
      <c r="F120" s="155">
        <f t="shared" si="118"/>
        <v>837361.13332161529</v>
      </c>
      <c r="H120" s="96"/>
      <c r="K120" s="121" t="str">
        <f t="shared" si="119"/>
        <v>Administrēšana ~5%, euro</v>
      </c>
      <c r="L120" s="155">
        <v>0</v>
      </c>
      <c r="M120" s="155">
        <f t="shared" si="120"/>
        <v>837361.13332161529</v>
      </c>
      <c r="N120" s="155">
        <f t="shared" si="121"/>
        <v>837361.13332161529</v>
      </c>
      <c r="P120" s="96"/>
      <c r="S120" s="121" t="str">
        <f t="shared" si="122"/>
        <v>Administrēšana ~5%, euro</v>
      </c>
      <c r="T120" s="155" t="e">
        <f>'1.3.'!V94</f>
        <v>#REF!</v>
      </c>
      <c r="U120" s="155" t="e">
        <f>'1.3.'!Z94</f>
        <v>#REF!</v>
      </c>
      <c r="V120" s="155" t="e">
        <f t="shared" si="123"/>
        <v>#REF!</v>
      </c>
      <c r="AB120" s="121" t="str">
        <f t="shared" si="124"/>
        <v>Administrēšana ~5%, euro</v>
      </c>
      <c r="AC120" s="155">
        <f>'1.3.'!AB94</f>
        <v>0</v>
      </c>
      <c r="AD120" s="155">
        <f>'1.3.'!AF94</f>
        <v>0</v>
      </c>
      <c r="AE120" s="155">
        <f t="shared" si="125"/>
        <v>0</v>
      </c>
      <c r="AI120" s="121" t="str">
        <f t="shared" si="126"/>
        <v>Administrēšana ~5%, euro</v>
      </c>
      <c r="AJ120" s="155">
        <f>'1.3.'!AI94</f>
        <v>0</v>
      </c>
      <c r="AK120" s="155">
        <f>'1.3.'!AM94</f>
        <v>0</v>
      </c>
      <c r="AL120" s="155">
        <f t="shared" si="127"/>
        <v>0</v>
      </c>
    </row>
    <row r="121" spans="2:38" hidden="1" x14ac:dyDescent="0.25">
      <c r="C121" s="157" t="s">
        <v>39</v>
      </c>
      <c r="D121" s="149">
        <f>D118+D119+D120</f>
        <v>12578132.505365431</v>
      </c>
      <c r="E121" s="149">
        <f t="shared" ref="E121:F121" si="128">E118+E119+E120</f>
        <v>5006451.2943884889</v>
      </c>
      <c r="F121" s="149">
        <f t="shared" si="128"/>
        <v>17584583.799753919</v>
      </c>
      <c r="G121" s="150"/>
      <c r="H121" s="96"/>
      <c r="K121" s="157" t="s">
        <v>39</v>
      </c>
      <c r="L121" s="149">
        <f>L118+L119+L120</f>
        <v>0</v>
      </c>
      <c r="M121" s="149">
        <f t="shared" ref="M121:N121" si="129">M118+M119+M120</f>
        <v>17584583.799753919</v>
      </c>
      <c r="N121" s="149">
        <f t="shared" si="129"/>
        <v>17584583.799753919</v>
      </c>
      <c r="O121" s="150"/>
      <c r="P121" s="96"/>
      <c r="S121" s="157" t="s">
        <v>39</v>
      </c>
      <c r="T121" s="149" t="e">
        <f>T118+T119+T120</f>
        <v>#REF!</v>
      </c>
      <c r="U121" s="149" t="e">
        <f t="shared" ref="U121:V121" si="130">U118+U119+U120</f>
        <v>#REF!</v>
      </c>
      <c r="V121" s="149" t="e">
        <f t="shared" si="130"/>
        <v>#REF!</v>
      </c>
      <c r="AB121" s="157" t="s">
        <v>39</v>
      </c>
      <c r="AC121" s="149">
        <f>AC118+AC119+AC120</f>
        <v>0</v>
      </c>
      <c r="AD121" s="149">
        <f t="shared" ref="AD121:AE121" si="131">AD118+AD119+AD120</f>
        <v>0</v>
      </c>
      <c r="AE121" s="149">
        <f t="shared" si="131"/>
        <v>0</v>
      </c>
      <c r="AI121" s="157" t="s">
        <v>39</v>
      </c>
      <c r="AJ121" s="149">
        <f>AJ118+AJ119+AJ120</f>
        <v>0</v>
      </c>
      <c r="AK121" s="149">
        <f t="shared" ref="AK121:AL121" si="132">AK118+AK119+AK120</f>
        <v>0</v>
      </c>
      <c r="AL121" s="149">
        <f t="shared" si="132"/>
        <v>0</v>
      </c>
    </row>
    <row r="122" spans="2:38" ht="14.45" hidden="1" customHeight="1" x14ac:dyDescent="0.25">
      <c r="D122" s="92"/>
      <c r="E122" s="92"/>
      <c r="F122" s="92"/>
      <c r="H122" s="96"/>
      <c r="L122" s="92"/>
      <c r="M122" s="92"/>
      <c r="N122" s="92"/>
      <c r="P122" s="96"/>
      <c r="T122" s="92"/>
      <c r="U122" s="92"/>
      <c r="V122" s="92"/>
      <c r="AC122" s="92"/>
      <c r="AD122" s="92"/>
      <c r="AE122" s="92"/>
      <c r="AJ122" s="92"/>
      <c r="AK122" s="92"/>
      <c r="AL122" s="92"/>
    </row>
    <row r="123" spans="2:38" hidden="1" x14ac:dyDescent="0.25">
      <c r="H123" s="96"/>
      <c r="P123" s="96"/>
    </row>
    <row r="124" spans="2:38" hidden="1" x14ac:dyDescent="0.25">
      <c r="H124" s="96"/>
      <c r="P124" s="96"/>
    </row>
    <row r="125" spans="2:38" hidden="1" x14ac:dyDescent="0.25">
      <c r="C125" s="158" t="s">
        <v>120</v>
      </c>
      <c r="D125" s="159">
        <f>D126+D127</f>
        <v>12244.365000000002</v>
      </c>
      <c r="H125" s="96"/>
      <c r="K125" s="158" t="s">
        <v>120</v>
      </c>
      <c r="L125" s="159">
        <f>L126+L127</f>
        <v>12244.365000000002</v>
      </c>
      <c r="P125" s="96"/>
      <c r="S125" s="158" t="s">
        <v>120</v>
      </c>
      <c r="T125" s="159">
        <f>T126+T127</f>
        <v>12244.365000000002</v>
      </c>
      <c r="AB125" s="417" t="s">
        <v>120</v>
      </c>
      <c r="AC125" s="159">
        <f>AC126+AC127</f>
        <v>0</v>
      </c>
      <c r="AI125" s="417" t="s">
        <v>120</v>
      </c>
      <c r="AJ125" s="159">
        <f>AJ126+AJ127</f>
        <v>0</v>
      </c>
    </row>
    <row r="126" spans="2:38" hidden="1" x14ac:dyDescent="0.25">
      <c r="C126" s="81" t="s">
        <v>64</v>
      </c>
      <c r="D126" s="89">
        <f>'1.2.'!J24</f>
        <v>9377.8650000000016</v>
      </c>
      <c r="H126" s="96"/>
      <c r="K126" s="81" t="s">
        <v>64</v>
      </c>
      <c r="L126" s="89">
        <f>D126</f>
        <v>9377.8650000000016</v>
      </c>
      <c r="P126" s="96"/>
      <c r="S126" s="81" t="s">
        <v>64</v>
      </c>
      <c r="T126" s="89">
        <f>L126</f>
        <v>9377.8650000000016</v>
      </c>
      <c r="AB126" s="416" t="s">
        <v>64</v>
      </c>
      <c r="AC126" s="89">
        <f>'1.2.'!AI24</f>
        <v>0</v>
      </c>
      <c r="AI126" s="416" t="s">
        <v>64</v>
      </c>
      <c r="AJ126" s="89">
        <f>'1.2.'!AP24</f>
        <v>0</v>
      </c>
    </row>
    <row r="127" spans="2:38" hidden="1" x14ac:dyDescent="0.25">
      <c r="C127" s="81" t="s">
        <v>22</v>
      </c>
      <c r="D127" s="89">
        <f>'1.3.'!C84</f>
        <v>2866.5</v>
      </c>
      <c r="H127" s="96"/>
      <c r="K127" s="81" t="s">
        <v>22</v>
      </c>
      <c r="L127" s="89">
        <f>'1.3.'!M84</f>
        <v>2866.5</v>
      </c>
      <c r="P127" s="96"/>
      <c r="S127" s="81" t="s">
        <v>22</v>
      </c>
      <c r="T127" s="89">
        <f>'1.3.'!V84</f>
        <v>2866.5</v>
      </c>
      <c r="AB127" s="416" t="s">
        <v>22</v>
      </c>
      <c r="AC127" s="89">
        <f>'1.3.'!AB84</f>
        <v>0</v>
      </c>
      <c r="AI127" s="416" t="s">
        <v>22</v>
      </c>
      <c r="AJ127" s="89">
        <f>'1.3.'!AI84</f>
        <v>0</v>
      </c>
    </row>
    <row r="128" spans="2:38" ht="30.6" hidden="1" customHeight="1" x14ac:dyDescent="0.25">
      <c r="B128" s="453" t="s">
        <v>227</v>
      </c>
      <c r="C128" s="453"/>
      <c r="D128" s="453"/>
      <c r="E128" s="453"/>
      <c r="F128" s="453"/>
      <c r="G128" s="453"/>
      <c r="H128" s="453"/>
      <c r="I128" s="453"/>
      <c r="J128" s="453"/>
      <c r="K128" s="453"/>
      <c r="L128" s="453"/>
      <c r="M128" s="453"/>
      <c r="N128" s="453"/>
      <c r="O128" s="453"/>
      <c r="P128" s="453"/>
      <c r="Q128" s="453"/>
      <c r="R128" s="453"/>
      <c r="S128" s="81"/>
      <c r="T128" s="89"/>
    </row>
    <row r="129" spans="3:35" hidden="1" x14ac:dyDescent="0.25">
      <c r="J129" s="161"/>
      <c r="K129" s="161"/>
      <c r="L129" s="161"/>
      <c r="M129" s="161"/>
      <c r="N129" s="161"/>
    </row>
    <row r="130" spans="3:35" hidden="1" x14ac:dyDescent="0.25"/>
    <row r="131" spans="3:35" hidden="1" x14ac:dyDescent="0.25"/>
    <row r="132" spans="3:35" hidden="1" x14ac:dyDescent="0.25"/>
    <row r="133" spans="3:35" hidden="1" x14ac:dyDescent="0.25">
      <c r="C133" s="79" t="s">
        <v>118</v>
      </c>
      <c r="AB133" s="79" t="s">
        <v>118</v>
      </c>
      <c r="AI133" s="79" t="s">
        <v>118</v>
      </c>
    </row>
    <row r="134" spans="3:35" hidden="1" x14ac:dyDescent="0.25">
      <c r="C134" s="79" t="s">
        <v>117</v>
      </c>
      <c r="AB134" s="79" t="s">
        <v>117</v>
      </c>
      <c r="AI134" s="79" t="s">
        <v>117</v>
      </c>
    </row>
    <row r="135" spans="3:35" hidden="1" x14ac:dyDescent="0.25"/>
    <row r="136" spans="3:35" hidden="1" x14ac:dyDescent="0.25"/>
    <row r="137" spans="3:35" hidden="1" x14ac:dyDescent="0.25"/>
    <row r="138" spans="3:35" hidden="1" x14ac:dyDescent="0.25"/>
    <row r="139" spans="3:35" hidden="1" x14ac:dyDescent="0.25"/>
    <row r="140" spans="3:35" hidden="1" x14ac:dyDescent="0.25"/>
    <row r="141" spans="3:35" hidden="1" x14ac:dyDescent="0.25"/>
    <row r="142" spans="3:35" hidden="1" x14ac:dyDescent="0.25"/>
    <row r="143" spans="3:35" hidden="1" x14ac:dyDescent="0.25"/>
    <row r="144" spans="3:35"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spans="2:6" hidden="1" x14ac:dyDescent="0.25"/>
    <row r="162" spans="2:6" hidden="1" x14ac:dyDescent="0.25"/>
    <row r="163" spans="2:6" hidden="1" x14ac:dyDescent="0.25"/>
    <row r="164" spans="2:6" x14ac:dyDescent="0.25">
      <c r="B164" s="444" t="s">
        <v>310</v>
      </c>
      <c r="C164" s="444"/>
      <c r="D164" s="444"/>
      <c r="E164" s="444"/>
      <c r="F164" s="444"/>
    </row>
    <row r="167" spans="2:6" x14ac:dyDescent="0.25">
      <c r="B167" s="424" t="s">
        <v>306</v>
      </c>
      <c r="C167" s="424"/>
      <c r="D167" s="424"/>
    </row>
    <row r="168" spans="2:6" x14ac:dyDescent="0.25">
      <c r="B168" s="424"/>
      <c r="C168" s="424"/>
      <c r="D168" s="424"/>
    </row>
    <row r="169" spans="2:6" x14ac:dyDescent="0.25">
      <c r="B169" s="424"/>
      <c r="C169" s="424"/>
      <c r="D169" s="424"/>
    </row>
    <row r="170" spans="2:6" x14ac:dyDescent="0.25">
      <c r="B170" s="424"/>
      <c r="C170" s="424"/>
      <c r="D170" s="424"/>
    </row>
    <row r="171" spans="2:6" x14ac:dyDescent="0.25">
      <c r="B171" s="424"/>
      <c r="C171" s="424"/>
      <c r="D171" s="424"/>
    </row>
  </sheetData>
  <mergeCells count="101">
    <mergeCell ref="R13:S13"/>
    <mergeCell ref="B128:R128"/>
    <mergeCell ref="B36:V36"/>
    <mergeCell ref="B37:V37"/>
    <mergeCell ref="B13:C13"/>
    <mergeCell ref="B15:C15"/>
    <mergeCell ref="R15:S15"/>
    <mergeCell ref="B58:C58"/>
    <mergeCell ref="J58:K58"/>
    <mergeCell ref="R58:S58"/>
    <mergeCell ref="B59:C59"/>
    <mergeCell ref="J59:K59"/>
    <mergeCell ref="R59:S59"/>
    <mergeCell ref="B62:C62"/>
    <mergeCell ref="B106:C106"/>
    <mergeCell ref="J106:K106"/>
    <mergeCell ref="R106:S106"/>
    <mergeCell ref="A52:V52"/>
    <mergeCell ref="B60:C60"/>
    <mergeCell ref="J60:K60"/>
    <mergeCell ref="R60:S60"/>
    <mergeCell ref="R8:S8"/>
    <mergeCell ref="B55:C55"/>
    <mergeCell ref="J55:K55"/>
    <mergeCell ref="R55:S55"/>
    <mergeCell ref="B57:C57"/>
    <mergeCell ref="J57:K57"/>
    <mergeCell ref="R57:S57"/>
    <mergeCell ref="J15:K15"/>
    <mergeCell ref="B8:C8"/>
    <mergeCell ref="J8:K8"/>
    <mergeCell ref="J10:K10"/>
    <mergeCell ref="J11:K11"/>
    <mergeCell ref="J12:K12"/>
    <mergeCell ref="J13:K13"/>
    <mergeCell ref="B11:C11"/>
    <mergeCell ref="B12:C12"/>
    <mergeCell ref="B10:C10"/>
    <mergeCell ref="R10:S10"/>
    <mergeCell ref="R11:S11"/>
    <mergeCell ref="R12:S12"/>
    <mergeCell ref="AA8:AB8"/>
    <mergeCell ref="AA10:AB10"/>
    <mergeCell ref="AA11:AB11"/>
    <mergeCell ref="AA12:AB12"/>
    <mergeCell ref="AA13:AB13"/>
    <mergeCell ref="A96:V96"/>
    <mergeCell ref="B104:C104"/>
    <mergeCell ref="J104:K104"/>
    <mergeCell ref="R104:S104"/>
    <mergeCell ref="B99:C99"/>
    <mergeCell ref="J99:K99"/>
    <mergeCell ref="R99:S99"/>
    <mergeCell ref="B101:C101"/>
    <mergeCell ref="J101:K101"/>
    <mergeCell ref="R101:S101"/>
    <mergeCell ref="B102:C102"/>
    <mergeCell ref="J102:K102"/>
    <mergeCell ref="R102:S102"/>
    <mergeCell ref="B103:C103"/>
    <mergeCell ref="J103:K103"/>
    <mergeCell ref="R103:S103"/>
    <mergeCell ref="J62:K62"/>
    <mergeCell ref="R62:S62"/>
    <mergeCell ref="B84:R84"/>
    <mergeCell ref="AH62:AI62"/>
    <mergeCell ref="AH99:AI99"/>
    <mergeCell ref="AA60:AB60"/>
    <mergeCell ref="AA62:AB62"/>
    <mergeCell ref="AA99:AB99"/>
    <mergeCell ref="AA101:AB101"/>
    <mergeCell ref="AA102:AB102"/>
    <mergeCell ref="AA15:AB15"/>
    <mergeCell ref="AA55:AB55"/>
    <mergeCell ref="AA57:AB57"/>
    <mergeCell ref="AA58:AB58"/>
    <mergeCell ref="AA59:AB59"/>
    <mergeCell ref="B164:F164"/>
    <mergeCell ref="B5:AL5"/>
    <mergeCell ref="A6:AL6"/>
    <mergeCell ref="AB36:AL36"/>
    <mergeCell ref="B167:D171"/>
    <mergeCell ref="AH101:AI101"/>
    <mergeCell ref="AH102:AI102"/>
    <mergeCell ref="AH103:AI103"/>
    <mergeCell ref="AH104:AI104"/>
    <mergeCell ref="AH106:AI106"/>
    <mergeCell ref="AA103:AB103"/>
    <mergeCell ref="AA104:AB104"/>
    <mergeCell ref="AA106:AB106"/>
    <mergeCell ref="AH8:AI8"/>
    <mergeCell ref="AH10:AI10"/>
    <mergeCell ref="AH11:AI11"/>
    <mergeCell ref="AH12:AI12"/>
    <mergeCell ref="AH13:AI13"/>
    <mergeCell ref="AH15:AI15"/>
    <mergeCell ref="AH55:AI55"/>
    <mergeCell ref="AH57:AI57"/>
    <mergeCell ref="AH58:AI58"/>
    <mergeCell ref="AH59:AI59"/>
    <mergeCell ref="AH60:AI60"/>
  </mergeCells>
  <pageMargins left="0.70866141732283472" right="0.70866141732283472" top="1.1417322834645669" bottom="0.55118110236220474" header="0.31496062992125984" footer="0.31496062992125984"/>
  <pageSetup paperSize="9" scale="61"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74EB-D341-49BD-8836-F96287DF7223}">
  <dimension ref="A1:S69"/>
  <sheetViews>
    <sheetView topLeftCell="A3" zoomScale="80" zoomScaleNormal="80" workbookViewId="0">
      <selection activeCell="AB35" sqref="AB35"/>
    </sheetView>
  </sheetViews>
  <sheetFormatPr defaultColWidth="8.85546875" defaultRowHeight="15" x14ac:dyDescent="0.25"/>
  <cols>
    <col min="1" max="1" width="8.28515625" style="37" customWidth="1"/>
    <col min="2" max="2" width="54.42578125" style="37" customWidth="1"/>
    <col min="3" max="3" width="13.28515625" style="37" customWidth="1"/>
    <col min="4" max="4" width="14.140625" style="37" hidden="1" customWidth="1"/>
    <col min="5" max="5" width="11.5703125" style="37" hidden="1" customWidth="1"/>
    <col min="6" max="7" width="11.140625" style="37" hidden="1" customWidth="1"/>
    <col min="8" max="9" width="11.5703125" style="37" hidden="1" customWidth="1"/>
    <col min="10" max="10" width="7.7109375" style="37" hidden="1" customWidth="1"/>
    <col min="11" max="11" width="11.42578125" style="37" hidden="1" customWidth="1"/>
    <col min="12" max="12" width="14.140625" style="37" hidden="1" customWidth="1"/>
    <col min="13" max="13" width="11.5703125" style="37" hidden="1" customWidth="1"/>
    <col min="14" max="15" width="11.140625" style="37" hidden="1" customWidth="1"/>
    <col min="16" max="16" width="11.5703125" style="37" hidden="1" customWidth="1"/>
    <col min="17" max="17" width="8.85546875" style="37" hidden="1" customWidth="1"/>
    <col min="18" max="18" width="0" style="37" hidden="1" customWidth="1"/>
    <col min="19" max="19" width="10.85546875" style="37" customWidth="1"/>
    <col min="20" max="16384" width="8.85546875" style="37"/>
  </cols>
  <sheetData>
    <row r="1" spans="1:16" hidden="1" x14ac:dyDescent="0.25">
      <c r="A1" s="459" t="s">
        <v>232</v>
      </c>
      <c r="B1" s="459"/>
      <c r="C1" s="459"/>
      <c r="D1" s="459"/>
      <c r="E1" s="459"/>
      <c r="F1" s="459"/>
      <c r="G1" s="459"/>
      <c r="H1" s="459"/>
      <c r="I1" s="459"/>
      <c r="J1" s="459"/>
      <c r="K1" s="459"/>
      <c r="L1" s="459"/>
      <c r="M1" s="459"/>
      <c r="N1" s="459"/>
      <c r="O1" s="459"/>
      <c r="P1" s="459"/>
    </row>
    <row r="2" spans="1:16" hidden="1" x14ac:dyDescent="0.25">
      <c r="A2" s="458" t="s">
        <v>106</v>
      </c>
      <c r="B2" s="458"/>
      <c r="C2" s="458"/>
      <c r="D2" s="458"/>
      <c r="E2" s="458"/>
      <c r="F2" s="458"/>
      <c r="G2" s="458"/>
      <c r="H2" s="458"/>
      <c r="I2" s="458"/>
      <c r="J2" s="458"/>
      <c r="K2" s="458"/>
      <c r="L2" s="458"/>
      <c r="M2" s="458"/>
      <c r="N2" s="458"/>
      <c r="O2" s="458"/>
      <c r="P2" s="458"/>
    </row>
    <row r="3" spans="1:16" x14ac:dyDescent="0.25">
      <c r="A3" s="416"/>
      <c r="B3" s="416"/>
      <c r="C3" s="416" t="str">
        <f>'1.'!AL3</f>
        <v>Pielikums</v>
      </c>
      <c r="D3" s="416"/>
      <c r="E3" s="416"/>
      <c r="F3" s="416"/>
      <c r="G3" s="416"/>
      <c r="H3" s="416"/>
      <c r="I3" s="416"/>
      <c r="J3" s="416"/>
      <c r="K3" s="416"/>
      <c r="L3" s="416"/>
      <c r="M3" s="416"/>
      <c r="N3" s="416"/>
      <c r="O3" s="416"/>
      <c r="P3" s="416"/>
    </row>
    <row r="4" spans="1:16" ht="38.25" customHeight="1" x14ac:dyDescent="0.25">
      <c r="A4" s="460" t="str">
        <f>'1.'!AL4</f>
        <v>Likumprojekta “Grozījumi Invaliditātes likumā” sākotnējās ietekmes novērtējuma ziņojumam (anotācijai)</v>
      </c>
      <c r="B4" s="460"/>
      <c r="C4" s="460"/>
      <c r="D4" s="416"/>
      <c r="E4" s="416"/>
      <c r="F4" s="416"/>
      <c r="G4" s="416"/>
      <c r="H4" s="416"/>
      <c r="I4" s="416"/>
      <c r="J4" s="416"/>
      <c r="K4" s="416"/>
      <c r="L4" s="416"/>
      <c r="M4" s="416"/>
      <c r="N4" s="416"/>
      <c r="O4" s="416"/>
      <c r="P4" s="416"/>
    </row>
    <row r="5" spans="1:16" ht="30.75" customHeight="1" x14ac:dyDescent="0.25">
      <c r="A5" s="461" t="s">
        <v>304</v>
      </c>
      <c r="B5" s="461"/>
      <c r="C5" s="461"/>
      <c r="D5" s="416"/>
      <c r="E5" s="416"/>
      <c r="F5" s="416"/>
      <c r="G5" s="416"/>
      <c r="H5" s="416"/>
      <c r="I5" s="416"/>
      <c r="J5" s="416"/>
      <c r="K5" s="416"/>
      <c r="L5" s="416"/>
      <c r="M5" s="416"/>
      <c r="N5" s="416"/>
      <c r="O5" s="416"/>
      <c r="P5" s="416"/>
    </row>
    <row r="6" spans="1:16" x14ac:dyDescent="0.25">
      <c r="A6" s="461"/>
      <c r="B6" s="461"/>
      <c r="C6" s="461"/>
      <c r="D6" s="416"/>
      <c r="E6" s="416"/>
      <c r="F6" s="416"/>
      <c r="G6" s="416"/>
      <c r="H6" s="416"/>
      <c r="I6" s="416"/>
      <c r="J6" s="416"/>
      <c r="K6" s="416"/>
      <c r="L6" s="416"/>
      <c r="M6" s="416"/>
      <c r="N6" s="416"/>
      <c r="O6" s="416"/>
      <c r="P6" s="416"/>
    </row>
    <row r="7" spans="1:16" ht="4.5" customHeight="1" x14ac:dyDescent="0.25">
      <c r="A7" s="461"/>
      <c r="B7" s="461"/>
      <c r="C7" s="461"/>
      <c r="D7" s="416"/>
      <c r="E7" s="416"/>
      <c r="F7" s="416"/>
      <c r="G7" s="416"/>
      <c r="H7" s="416"/>
      <c r="I7" s="416"/>
      <c r="J7" s="416"/>
      <c r="K7" s="416"/>
      <c r="L7" s="416"/>
      <c r="M7" s="416"/>
      <c r="N7" s="416"/>
      <c r="O7" s="416"/>
      <c r="P7" s="416"/>
    </row>
    <row r="8" spans="1:16" hidden="1" x14ac:dyDescent="0.25">
      <c r="A8" s="416"/>
      <c r="B8" s="416"/>
      <c r="C8" s="416"/>
      <c r="D8" s="416"/>
      <c r="E8" s="416"/>
      <c r="F8" s="416"/>
      <c r="G8" s="416"/>
      <c r="H8" s="416"/>
      <c r="I8" s="416"/>
      <c r="J8" s="416"/>
      <c r="K8" s="416"/>
      <c r="L8" s="416"/>
      <c r="M8" s="416"/>
      <c r="N8" s="416"/>
      <c r="O8" s="416"/>
      <c r="P8" s="416"/>
    </row>
    <row r="9" spans="1:16" hidden="1" x14ac:dyDescent="0.25">
      <c r="A9" s="416"/>
      <c r="B9" s="416"/>
      <c r="C9" s="416"/>
      <c r="D9" s="416"/>
      <c r="E9" s="416"/>
      <c r="F9" s="416"/>
      <c r="G9" s="416"/>
      <c r="H9" s="416"/>
      <c r="I9" s="416"/>
      <c r="J9" s="416"/>
      <c r="K9" s="416"/>
      <c r="L9" s="416"/>
      <c r="M9" s="416"/>
      <c r="N9" s="416"/>
      <c r="O9" s="416"/>
      <c r="P9" s="416"/>
    </row>
    <row r="10" spans="1:16" hidden="1" x14ac:dyDescent="0.25">
      <c r="A10" s="416"/>
      <c r="B10" s="416"/>
      <c r="C10" s="416"/>
      <c r="D10" s="416"/>
      <c r="E10" s="416"/>
      <c r="F10" s="416"/>
      <c r="G10" s="416"/>
      <c r="H10" s="416"/>
      <c r="I10" s="416"/>
      <c r="J10" s="416"/>
      <c r="K10" s="416"/>
      <c r="L10" s="416"/>
      <c r="M10" s="416"/>
      <c r="N10" s="416"/>
      <c r="O10" s="416"/>
      <c r="P10" s="416"/>
    </row>
    <row r="11" spans="1:16" ht="45" customHeight="1" x14ac:dyDescent="0.25">
      <c r="A11" s="457" t="s">
        <v>317</v>
      </c>
      <c r="B11" s="457"/>
      <c r="C11" s="457"/>
      <c r="D11" s="457"/>
      <c r="E11" s="457"/>
      <c r="F11" s="457"/>
      <c r="G11" s="457"/>
      <c r="H11" s="457"/>
      <c r="I11" s="457"/>
      <c r="J11" s="457"/>
      <c r="K11" s="457"/>
      <c r="L11" s="457"/>
      <c r="M11" s="457"/>
      <c r="N11" s="457"/>
      <c r="O11" s="457"/>
      <c r="P11" s="457"/>
    </row>
    <row r="12" spans="1:16" hidden="1" x14ac:dyDescent="0.25"/>
    <row r="13" spans="1:16" hidden="1" x14ac:dyDescent="0.25">
      <c r="A13" s="178"/>
      <c r="B13" s="178"/>
      <c r="C13" s="178"/>
      <c r="D13" s="178"/>
      <c r="E13" s="178"/>
      <c r="F13" s="178"/>
      <c r="G13" s="178"/>
      <c r="H13" s="179"/>
      <c r="I13" s="179"/>
      <c r="P13" s="62" t="s">
        <v>105</v>
      </c>
    </row>
    <row r="14" spans="1:16" ht="27" x14ac:dyDescent="0.3">
      <c r="A14" s="63"/>
      <c r="B14" s="64">
        <v>2021</v>
      </c>
      <c r="C14" s="558" t="s">
        <v>319</v>
      </c>
      <c r="D14" s="65" t="s">
        <v>101</v>
      </c>
      <c r="E14" s="65" t="s">
        <v>102</v>
      </c>
      <c r="F14" s="65" t="s">
        <v>90</v>
      </c>
      <c r="G14" s="65" t="s">
        <v>91</v>
      </c>
      <c r="H14" s="65" t="s">
        <v>92</v>
      </c>
      <c r="I14" s="65" t="s">
        <v>231</v>
      </c>
      <c r="K14" s="65" t="s">
        <v>100</v>
      </c>
      <c r="L14" s="65" t="s">
        <v>101</v>
      </c>
      <c r="M14" s="65" t="s">
        <v>102</v>
      </c>
      <c r="N14" s="65" t="s">
        <v>90</v>
      </c>
      <c r="O14" s="65" t="s">
        <v>91</v>
      </c>
      <c r="P14" s="65" t="s">
        <v>92</v>
      </c>
    </row>
    <row r="15" spans="1:16" x14ac:dyDescent="0.25">
      <c r="A15" s="66">
        <v>1</v>
      </c>
      <c r="B15" s="66" t="s">
        <v>77</v>
      </c>
      <c r="C15" s="67">
        <f>'1.'!D32</f>
        <v>11106</v>
      </c>
      <c r="D15" s="67">
        <f>'1.'!L32</f>
        <v>11106</v>
      </c>
      <c r="E15" s="67">
        <f>'1.'!T32</f>
        <v>11106</v>
      </c>
      <c r="F15" s="67" t="e">
        <f>#REF!</f>
        <v>#REF!</v>
      </c>
      <c r="G15" s="67" t="e">
        <f>#REF!</f>
        <v>#REF!</v>
      </c>
      <c r="H15" s="67" t="e">
        <f>#REF!</f>
        <v>#REF!</v>
      </c>
      <c r="I15" s="67" t="e">
        <f>#REF!</f>
        <v>#REF!</v>
      </c>
      <c r="K15" s="67" t="s">
        <v>81</v>
      </c>
      <c r="L15" s="67" t="s">
        <v>81</v>
      </c>
      <c r="M15" s="67" t="s">
        <v>81</v>
      </c>
      <c r="N15" s="67" t="s">
        <v>81</v>
      </c>
      <c r="O15" s="67" t="s">
        <v>81</v>
      </c>
      <c r="P15" s="67" t="s">
        <v>81</v>
      </c>
    </row>
    <row r="16" spans="1:16" x14ac:dyDescent="0.25">
      <c r="A16" s="68" t="s">
        <v>7</v>
      </c>
      <c r="B16" s="68" t="s">
        <v>74</v>
      </c>
      <c r="C16" s="69">
        <f>'1.'!D34</f>
        <v>2600</v>
      </c>
      <c r="D16" s="69">
        <f>'1.'!L34</f>
        <v>2600</v>
      </c>
      <c r="E16" s="69">
        <f>'1.'!T34</f>
        <v>2600</v>
      </c>
      <c r="F16" s="69" t="e">
        <f>#REF!</f>
        <v>#REF!</v>
      </c>
      <c r="G16" s="69" t="e">
        <f>#REF!</f>
        <v>#REF!</v>
      </c>
      <c r="H16" s="69" t="e">
        <f>#REF!</f>
        <v>#REF!</v>
      </c>
      <c r="I16" s="69" t="e">
        <f>#REF!</f>
        <v>#REF!</v>
      </c>
      <c r="K16" s="69" t="s">
        <v>81</v>
      </c>
      <c r="L16" s="69" t="s">
        <v>81</v>
      </c>
      <c r="M16" s="69" t="s">
        <v>81</v>
      </c>
      <c r="N16" s="69" t="s">
        <v>81</v>
      </c>
      <c r="O16" s="69" t="s">
        <v>81</v>
      </c>
      <c r="P16" s="69" t="s">
        <v>81</v>
      </c>
    </row>
    <row r="17" spans="1:19" x14ac:dyDescent="0.25">
      <c r="A17" s="66">
        <v>2</v>
      </c>
      <c r="B17" s="66" t="s">
        <v>124</v>
      </c>
      <c r="C17" s="70">
        <f>C18+C19</f>
        <v>42975399.593991771</v>
      </c>
      <c r="D17" s="70">
        <f t="shared" ref="D17:I17" si="0">D18+D19</f>
        <v>42975399.593991771</v>
      </c>
      <c r="E17" s="70" t="e">
        <f t="shared" si="0"/>
        <v>#REF!</v>
      </c>
      <c r="F17" s="70" t="e">
        <f t="shared" si="0"/>
        <v>#REF!</v>
      </c>
      <c r="G17" s="70" t="e">
        <f t="shared" si="0"/>
        <v>#REF!</v>
      </c>
      <c r="H17" s="70" t="e">
        <f t="shared" si="0"/>
        <v>#REF!</v>
      </c>
      <c r="I17" s="70" t="e">
        <f t="shared" si="0"/>
        <v>#REF!</v>
      </c>
      <c r="K17" s="71">
        <f>C17/1000000</f>
        <v>42.975399593991774</v>
      </c>
      <c r="L17" s="71">
        <f t="shared" ref="L17" si="1">D17/1000000</f>
        <v>42.975399593991774</v>
      </c>
      <c r="M17" s="71" t="e">
        <f t="shared" ref="M17" si="2">E17/1000000</f>
        <v>#REF!</v>
      </c>
      <c r="N17" s="71" t="e">
        <f t="shared" ref="N17" si="3">F17/1000000</f>
        <v>#REF!</v>
      </c>
      <c r="O17" s="71" t="e">
        <f t="shared" ref="O17" si="4">G17/1000000</f>
        <v>#REF!</v>
      </c>
      <c r="P17" s="71" t="e">
        <f t="shared" ref="P17" si="5">H17/1000000</f>
        <v>#REF!</v>
      </c>
      <c r="R17" s="228">
        <f>C17-Sheet5!G20</f>
        <v>0</v>
      </c>
    </row>
    <row r="18" spans="1:19" x14ac:dyDescent="0.25">
      <c r="A18" s="68" t="s">
        <v>10</v>
      </c>
      <c r="B18" s="68" t="s">
        <v>75</v>
      </c>
      <c r="C18" s="72">
        <f>'1.'!D15</f>
        <v>38434400.68751695</v>
      </c>
      <c r="D18" s="72">
        <f>'1.'!L15</f>
        <v>0</v>
      </c>
      <c r="E18" s="72" t="e">
        <f>'1.'!T15</f>
        <v>#REF!</v>
      </c>
      <c r="F18" s="72" t="e">
        <f>#REF!</f>
        <v>#REF!</v>
      </c>
      <c r="G18" s="72" t="e">
        <f>#REF!</f>
        <v>#REF!</v>
      </c>
      <c r="H18" s="72" t="e">
        <f>#REF!</f>
        <v>#REF!</v>
      </c>
      <c r="I18" s="72" t="e">
        <f>#REF!</f>
        <v>#REF!</v>
      </c>
      <c r="K18" s="73">
        <f t="shared" ref="K18:K19" si="6">C18/1000000</f>
        <v>38.434400687516948</v>
      </c>
      <c r="L18" s="73">
        <f t="shared" ref="L18:L20" si="7">D18/1000000</f>
        <v>0</v>
      </c>
      <c r="M18" s="73" t="e">
        <f t="shared" ref="M18:M20" si="8">E18/1000000</f>
        <v>#REF!</v>
      </c>
      <c r="N18" s="73" t="e">
        <f t="shared" ref="N18:N20" si="9">F18/1000000</f>
        <v>#REF!</v>
      </c>
      <c r="O18" s="73" t="e">
        <f t="shared" ref="O18:O20" si="10">G18/1000000</f>
        <v>#REF!</v>
      </c>
      <c r="P18" s="73" t="e">
        <f t="shared" ref="P18:P20" si="11">H18/1000000</f>
        <v>#REF!</v>
      </c>
      <c r="Q18" s="228" t="e">
        <f>#REF!-I18</f>
        <v>#REF!</v>
      </c>
      <c r="R18" s="228">
        <f>C18-Sheet5!K20</f>
        <v>0</v>
      </c>
    </row>
    <row r="19" spans="1:19" x14ac:dyDescent="0.25">
      <c r="A19" s="68" t="s">
        <v>67</v>
      </c>
      <c r="B19" s="68" t="s">
        <v>76</v>
      </c>
      <c r="C19" s="72">
        <f>'1.'!E15</f>
        <v>4540998.9064748194</v>
      </c>
      <c r="D19" s="72">
        <f>'1.'!M15</f>
        <v>42975399.593991771</v>
      </c>
      <c r="E19" s="72" t="e">
        <f>'1.'!U15</f>
        <v>#REF!</v>
      </c>
      <c r="F19" s="72" t="e">
        <f>#REF!</f>
        <v>#REF!</v>
      </c>
      <c r="G19" s="72">
        <v>0</v>
      </c>
      <c r="H19" s="72">
        <v>0</v>
      </c>
      <c r="I19" s="72">
        <v>0</v>
      </c>
      <c r="K19" s="73">
        <f t="shared" si="6"/>
        <v>4.5409989064748197</v>
      </c>
      <c r="L19" s="73">
        <f t="shared" si="7"/>
        <v>42.975399593991774</v>
      </c>
      <c r="M19" s="73" t="e">
        <f t="shared" si="8"/>
        <v>#REF!</v>
      </c>
      <c r="N19" s="73" t="e">
        <f t="shared" si="9"/>
        <v>#REF!</v>
      </c>
      <c r="O19" s="73">
        <f t="shared" si="10"/>
        <v>0</v>
      </c>
      <c r="P19" s="73">
        <f t="shared" si="11"/>
        <v>0</v>
      </c>
      <c r="Q19" s="228" t="e">
        <f>I19-#REF!</f>
        <v>#REF!</v>
      </c>
      <c r="R19" s="228">
        <f>C19-Sheet5!O20</f>
        <v>0</v>
      </c>
    </row>
    <row r="20" spans="1:19" x14ac:dyDescent="0.25">
      <c r="A20" s="66">
        <v>3</v>
      </c>
      <c r="B20" s="66" t="s">
        <v>124</v>
      </c>
      <c r="C20" s="70">
        <f>C17</f>
        <v>42975399.593991771</v>
      </c>
      <c r="D20" s="70">
        <f t="shared" ref="D20:I20" si="12">D17</f>
        <v>42975399.593991771</v>
      </c>
      <c r="E20" s="70" t="e">
        <f t="shared" si="12"/>
        <v>#REF!</v>
      </c>
      <c r="F20" s="70" t="e">
        <f t="shared" si="12"/>
        <v>#REF!</v>
      </c>
      <c r="G20" s="70" t="e">
        <f t="shared" si="12"/>
        <v>#REF!</v>
      </c>
      <c r="H20" s="70" t="e">
        <f t="shared" si="12"/>
        <v>#REF!</v>
      </c>
      <c r="I20" s="70" t="e">
        <f t="shared" si="12"/>
        <v>#REF!</v>
      </c>
      <c r="K20" s="71">
        <f>C20/1000000</f>
        <v>42.975399593991774</v>
      </c>
      <c r="L20" s="71">
        <f t="shared" si="7"/>
        <v>42.975399593991774</v>
      </c>
      <c r="M20" s="71" t="e">
        <f t="shared" si="8"/>
        <v>#REF!</v>
      </c>
      <c r="N20" s="71" t="e">
        <f t="shared" si="9"/>
        <v>#REF!</v>
      </c>
      <c r="O20" s="71" t="e">
        <f t="shared" si="10"/>
        <v>#REF!</v>
      </c>
      <c r="P20" s="71" t="e">
        <f t="shared" si="11"/>
        <v>#REF!</v>
      </c>
    </row>
    <row r="21" spans="1:19" x14ac:dyDescent="0.25">
      <c r="A21" s="68"/>
      <c r="B21" s="68" t="s">
        <v>62</v>
      </c>
      <c r="C21" s="192" t="str">
        <f>IF(C20=C22+C23+C24+C25," ",FALSE)</f>
        <v xml:space="preserve"> </v>
      </c>
      <c r="D21" s="192" t="str">
        <f t="shared" ref="D21:H21" si="13">IF(D20=D22+D23+D24+D25," ",FALSE)</f>
        <v xml:space="preserve"> </v>
      </c>
      <c r="E21" s="192"/>
      <c r="F21" s="192" t="e">
        <f t="shared" si="13"/>
        <v>#REF!</v>
      </c>
      <c r="G21" s="192" t="e">
        <f t="shared" si="13"/>
        <v>#REF!</v>
      </c>
      <c r="H21" s="192" t="e">
        <f t="shared" si="13"/>
        <v>#REF!</v>
      </c>
      <c r="I21" s="192"/>
      <c r="K21" s="73"/>
      <c r="L21" s="73"/>
      <c r="M21" s="73"/>
      <c r="N21" s="73"/>
      <c r="O21" s="73"/>
      <c r="P21" s="73"/>
    </row>
    <row r="22" spans="1:19" x14ac:dyDescent="0.25">
      <c r="A22" s="68" t="s">
        <v>68</v>
      </c>
      <c r="B22" s="68" t="s">
        <v>145</v>
      </c>
      <c r="C22" s="72">
        <f>'1.'!F12</f>
        <v>40335693.084316537</v>
      </c>
      <c r="D22" s="72">
        <f>'1.'!N12</f>
        <v>40335693.084316537</v>
      </c>
      <c r="E22" s="72" t="e">
        <f>'1.'!V12</f>
        <v>#REF!</v>
      </c>
      <c r="F22" s="72">
        <v>0</v>
      </c>
      <c r="G22" s="72" t="e">
        <f>#REF!</f>
        <v>#REF!</v>
      </c>
      <c r="H22" s="72" t="e">
        <f>#REF!</f>
        <v>#REF!</v>
      </c>
      <c r="I22" s="72" t="e">
        <f>#REF!</f>
        <v>#REF!</v>
      </c>
      <c r="K22" s="73"/>
      <c r="L22" s="73"/>
      <c r="M22" s="73"/>
      <c r="N22" s="73"/>
      <c r="O22" s="73"/>
      <c r="P22" s="73"/>
    </row>
    <row r="23" spans="1:19" x14ac:dyDescent="0.25">
      <c r="A23" s="68" t="s">
        <v>69</v>
      </c>
      <c r="B23" s="68" t="s">
        <v>152</v>
      </c>
      <c r="C23" s="72">
        <f>0</f>
        <v>0</v>
      </c>
      <c r="D23" s="72">
        <v>0</v>
      </c>
      <c r="E23" s="72">
        <v>0</v>
      </c>
      <c r="F23" s="72" t="e">
        <f>#REF!</f>
        <v>#REF!</v>
      </c>
      <c r="G23" s="72">
        <v>0</v>
      </c>
      <c r="H23" s="72">
        <v>0</v>
      </c>
      <c r="I23" s="72">
        <v>0</v>
      </c>
      <c r="K23" s="73"/>
      <c r="L23" s="73"/>
      <c r="M23" s="73"/>
      <c r="N23" s="73"/>
      <c r="O23" s="73"/>
      <c r="P23" s="73"/>
    </row>
    <row r="24" spans="1:19" x14ac:dyDescent="0.25">
      <c r="A24" s="68" t="s">
        <v>70</v>
      </c>
      <c r="B24" s="68" t="s">
        <v>56</v>
      </c>
      <c r="C24" s="72">
        <f>'1.'!F13</f>
        <v>593258.90996134572</v>
      </c>
      <c r="D24" s="72">
        <f>'1.'!N13</f>
        <v>593258.90996134572</v>
      </c>
      <c r="E24" s="72">
        <f>'1.'!V13</f>
        <v>593258.90996134572</v>
      </c>
      <c r="F24" s="72">
        <v>0</v>
      </c>
      <c r="G24" s="72" t="e">
        <f>#REF!</f>
        <v>#REF!</v>
      </c>
      <c r="H24" s="72" t="e">
        <f>#REF!</f>
        <v>#REF!</v>
      </c>
      <c r="I24" s="72">
        <v>0</v>
      </c>
      <c r="K24" s="73"/>
      <c r="L24" s="73"/>
      <c r="M24" s="73"/>
      <c r="N24" s="73"/>
      <c r="O24" s="73"/>
      <c r="P24" s="73"/>
    </row>
    <row r="25" spans="1:19" x14ac:dyDescent="0.25">
      <c r="A25" s="68" t="s">
        <v>163</v>
      </c>
      <c r="B25" s="68" t="s">
        <v>164</v>
      </c>
      <c r="C25" s="72">
        <f>'1.'!F14</f>
        <v>2046447.5997138945</v>
      </c>
      <c r="D25" s="72">
        <f>'1.'!N14</f>
        <v>2046447.5997138943</v>
      </c>
      <c r="E25" s="72" t="e">
        <f>'1.'!V14</f>
        <v>#REF!</v>
      </c>
      <c r="F25" s="72" t="e">
        <f>#REF!</f>
        <v>#REF!</v>
      </c>
      <c r="G25" s="72" t="e">
        <f>#REF!</f>
        <v>#REF!</v>
      </c>
      <c r="H25" s="72" t="e">
        <f>#REF!</f>
        <v>#REF!</v>
      </c>
      <c r="I25" s="72" t="e">
        <f>#REF!</f>
        <v>#REF!</v>
      </c>
      <c r="K25" s="73"/>
      <c r="L25" s="73"/>
      <c r="M25" s="73"/>
      <c r="N25" s="73"/>
      <c r="O25" s="73"/>
      <c r="P25" s="73"/>
    </row>
    <row r="26" spans="1:19" x14ac:dyDescent="0.25">
      <c r="A26" s="66">
        <v>4</v>
      </c>
      <c r="B26" s="66" t="s">
        <v>71</v>
      </c>
      <c r="C26" s="67">
        <f>C27+C28</f>
        <v>8953620</v>
      </c>
      <c r="D26" s="67">
        <f t="shared" ref="D26:I26" si="14">D27+D28</f>
        <v>8953620</v>
      </c>
      <c r="E26" s="67">
        <f t="shared" si="14"/>
        <v>8953620</v>
      </c>
      <c r="F26" s="67" t="s">
        <v>81</v>
      </c>
      <c r="G26" s="67" t="e">
        <f t="shared" si="14"/>
        <v>#REF!</v>
      </c>
      <c r="H26" s="67" t="e">
        <f t="shared" si="14"/>
        <v>#REF!</v>
      </c>
      <c r="I26" s="67" t="e">
        <f t="shared" si="14"/>
        <v>#REF!</v>
      </c>
      <c r="K26" s="67" t="s">
        <v>81</v>
      </c>
      <c r="L26" s="67" t="s">
        <v>81</v>
      </c>
      <c r="M26" s="67" t="s">
        <v>81</v>
      </c>
      <c r="N26" s="67" t="s">
        <v>81</v>
      </c>
      <c r="O26" s="67" t="s">
        <v>81</v>
      </c>
      <c r="P26" s="67" t="s">
        <v>81</v>
      </c>
      <c r="S26" s="75" t="s">
        <v>318</v>
      </c>
    </row>
    <row r="27" spans="1:19" x14ac:dyDescent="0.25">
      <c r="A27" s="68" t="s">
        <v>78</v>
      </c>
      <c r="B27" s="68" t="s">
        <v>75</v>
      </c>
      <c r="C27" s="38">
        <f>'1.2.'!F24+'1.3.'!G17+'1.3.'!G18</f>
        <v>7993620</v>
      </c>
      <c r="D27" s="38">
        <v>0</v>
      </c>
      <c r="E27" s="38">
        <f>'1.2.'!F45+'1.3.'!Z17+'1.3.'!Z18</f>
        <v>7993620</v>
      </c>
      <c r="F27" s="38" t="s">
        <v>4</v>
      </c>
      <c r="G27" s="38" t="e">
        <f>#REF!</f>
        <v>#REF!</v>
      </c>
      <c r="H27" s="38" t="e">
        <f>#REF!</f>
        <v>#REF!</v>
      </c>
      <c r="I27" s="38" t="e">
        <f>#REF!</f>
        <v>#REF!</v>
      </c>
      <c r="K27" s="38" t="s">
        <v>81</v>
      </c>
      <c r="L27" s="38" t="s">
        <v>81</v>
      </c>
      <c r="M27" s="38" t="s">
        <v>81</v>
      </c>
      <c r="N27" s="38" t="s">
        <v>81</v>
      </c>
      <c r="O27" s="38" t="s">
        <v>81</v>
      </c>
      <c r="P27" s="38" t="s">
        <v>81</v>
      </c>
      <c r="Q27" s="228" t="e">
        <f>I27-#REF!</f>
        <v>#REF!</v>
      </c>
      <c r="S27" s="557">
        <f>C27/2</f>
        <v>3996810</v>
      </c>
    </row>
    <row r="28" spans="1:19" x14ac:dyDescent="0.25">
      <c r="A28" s="68" t="s">
        <v>79</v>
      </c>
      <c r="B28" s="68" t="s">
        <v>76</v>
      </c>
      <c r="C28" s="38">
        <f>'1.3.'!G19</f>
        <v>960000</v>
      </c>
      <c r="D28" s="38">
        <f>'1.2.'!F24+'1.3.'!Q20</f>
        <v>8953620</v>
      </c>
      <c r="E28" s="38">
        <f>'1.3.'!Z19</f>
        <v>960000</v>
      </c>
      <c r="F28" s="38" t="s">
        <v>4</v>
      </c>
      <c r="G28" s="38">
        <v>0</v>
      </c>
      <c r="H28" s="38">
        <v>0</v>
      </c>
      <c r="I28" s="38">
        <v>0</v>
      </c>
      <c r="K28" s="38" t="s">
        <v>81</v>
      </c>
      <c r="L28" s="38" t="s">
        <v>81</v>
      </c>
      <c r="M28" s="38" t="s">
        <v>81</v>
      </c>
      <c r="N28" s="38" t="s">
        <v>81</v>
      </c>
      <c r="O28" s="38" t="s">
        <v>81</v>
      </c>
      <c r="P28" s="38" t="s">
        <v>81</v>
      </c>
      <c r="Q28" s="228"/>
      <c r="S28" s="557">
        <f>C28/2</f>
        <v>480000</v>
      </c>
    </row>
    <row r="29" spans="1:19" s="75" customFormat="1" x14ac:dyDescent="0.25">
      <c r="A29" s="68" t="s">
        <v>165</v>
      </c>
      <c r="B29" s="68" t="s">
        <v>80</v>
      </c>
      <c r="C29" s="74">
        <f>C26/C15/12</f>
        <v>67.183054204934265</v>
      </c>
      <c r="D29" s="74">
        <f>D26/D15/12</f>
        <v>67.183054204934265</v>
      </c>
      <c r="E29" s="74">
        <f>E26/E15/12</f>
        <v>67.183054204934265</v>
      </c>
      <c r="F29" s="74" t="s">
        <v>4</v>
      </c>
      <c r="G29" s="74" t="e">
        <f>G26/G15/12</f>
        <v>#REF!</v>
      </c>
      <c r="H29" s="74" t="e">
        <f>H26/H15/12</f>
        <v>#REF!</v>
      </c>
      <c r="I29" s="74" t="e">
        <f>I26/I15/12</f>
        <v>#REF!</v>
      </c>
      <c r="K29" s="74" t="s">
        <v>81</v>
      </c>
      <c r="L29" s="74" t="s">
        <v>81</v>
      </c>
      <c r="M29" s="74" t="s">
        <v>81</v>
      </c>
      <c r="N29" s="74" t="s">
        <v>81</v>
      </c>
      <c r="O29" s="74" t="s">
        <v>81</v>
      </c>
      <c r="P29" s="74" t="s">
        <v>81</v>
      </c>
    </row>
    <row r="30" spans="1:19" s="75" customFormat="1" x14ac:dyDescent="0.25">
      <c r="A30" s="180"/>
      <c r="B30" s="180"/>
      <c r="C30" s="181"/>
      <c r="D30" s="181"/>
      <c r="E30" s="181"/>
      <c r="F30" s="181"/>
      <c r="G30" s="181"/>
      <c r="H30" s="181"/>
      <c r="I30" s="181"/>
      <c r="K30" s="76"/>
      <c r="L30" s="76"/>
      <c r="M30" s="76"/>
      <c r="N30" s="76"/>
      <c r="O30" s="76"/>
      <c r="P30" s="76"/>
    </row>
    <row r="31" spans="1:19" ht="18.75" x14ac:dyDescent="0.3">
      <c r="A31" s="63"/>
      <c r="B31" s="64">
        <v>2022</v>
      </c>
      <c r="C31" s="65" t="s">
        <v>100</v>
      </c>
      <c r="D31" s="65" t="s">
        <v>101</v>
      </c>
      <c r="E31" s="65" t="s">
        <v>102</v>
      </c>
      <c r="F31" s="65" t="s">
        <v>90</v>
      </c>
      <c r="G31" s="65" t="s">
        <v>91</v>
      </c>
      <c r="H31" s="65" t="s">
        <v>92</v>
      </c>
      <c r="I31" s="65" t="s">
        <v>231</v>
      </c>
      <c r="K31" s="65" t="s">
        <v>100</v>
      </c>
      <c r="L31" s="65" t="s">
        <v>101</v>
      </c>
      <c r="M31" s="65" t="s">
        <v>102</v>
      </c>
      <c r="N31" s="65" t="s">
        <v>90</v>
      </c>
      <c r="O31" s="65" t="s">
        <v>91</v>
      </c>
      <c r="P31" s="65" t="s">
        <v>92</v>
      </c>
    </row>
    <row r="32" spans="1:19" x14ac:dyDescent="0.25">
      <c r="A32" s="66">
        <v>1</v>
      </c>
      <c r="B32" s="66" t="s">
        <v>77</v>
      </c>
      <c r="C32" s="67">
        <f>'1.'!D81</f>
        <v>11661.300000000001</v>
      </c>
      <c r="D32" s="67">
        <f>'1.'!L81</f>
        <v>11661.300000000001</v>
      </c>
      <c r="E32" s="67">
        <f>'1.'!T81</f>
        <v>11661.300000000001</v>
      </c>
      <c r="F32" s="67" t="e">
        <f>#REF!</f>
        <v>#REF!</v>
      </c>
      <c r="G32" s="67" t="e">
        <f>#REF!</f>
        <v>#REF!</v>
      </c>
      <c r="H32" s="67" t="e">
        <f>#REF!</f>
        <v>#REF!</v>
      </c>
      <c r="I32" s="67" t="e">
        <f>#REF!</f>
        <v>#REF!</v>
      </c>
      <c r="K32" s="67" t="s">
        <v>81</v>
      </c>
      <c r="L32" s="67" t="s">
        <v>81</v>
      </c>
      <c r="M32" s="67" t="s">
        <v>81</v>
      </c>
      <c r="N32" s="67" t="s">
        <v>81</v>
      </c>
      <c r="O32" s="67" t="s">
        <v>81</v>
      </c>
      <c r="P32" s="67" t="s">
        <v>81</v>
      </c>
    </row>
    <row r="33" spans="1:18" x14ac:dyDescent="0.25">
      <c r="A33" s="68" t="s">
        <v>7</v>
      </c>
      <c r="B33" s="68" t="s">
        <v>74</v>
      </c>
      <c r="C33" s="69">
        <f>'1.'!D83</f>
        <v>2730</v>
      </c>
      <c r="D33" s="69">
        <f>'1.'!L83</f>
        <v>2730</v>
      </c>
      <c r="E33" s="69">
        <f>'1.'!T83</f>
        <v>2730</v>
      </c>
      <c r="F33" s="69" t="e">
        <f>#REF!*1.05</f>
        <v>#REF!</v>
      </c>
      <c r="G33" s="69" t="e">
        <f>#REF!</f>
        <v>#REF!</v>
      </c>
      <c r="H33" s="69" t="e">
        <f>#REF!</f>
        <v>#REF!</v>
      </c>
      <c r="I33" s="69" t="e">
        <f>#REF!</f>
        <v>#REF!</v>
      </c>
      <c r="K33" s="69" t="s">
        <v>81</v>
      </c>
      <c r="L33" s="69" t="s">
        <v>81</v>
      </c>
      <c r="M33" s="69" t="s">
        <v>81</v>
      </c>
      <c r="N33" s="69" t="s">
        <v>81</v>
      </c>
      <c r="O33" s="69" t="s">
        <v>81</v>
      </c>
      <c r="P33" s="69" t="s">
        <v>81</v>
      </c>
    </row>
    <row r="34" spans="1:18" x14ac:dyDescent="0.25">
      <c r="A34" s="66">
        <v>2</v>
      </c>
      <c r="B34" s="66" t="s">
        <v>124</v>
      </c>
      <c r="C34" s="70">
        <f>C35+C36</f>
        <v>45124169.573691368</v>
      </c>
      <c r="D34" s="70">
        <f t="shared" ref="D34:I34" si="15">D35+D36</f>
        <v>45124169.573691368</v>
      </c>
      <c r="E34" s="70" t="e">
        <f t="shared" si="15"/>
        <v>#REF!</v>
      </c>
      <c r="F34" s="70" t="e">
        <f t="shared" si="15"/>
        <v>#REF!</v>
      </c>
      <c r="G34" s="70" t="e">
        <f t="shared" si="15"/>
        <v>#REF!</v>
      </c>
      <c r="H34" s="70" t="e">
        <f t="shared" si="15"/>
        <v>#REF!</v>
      </c>
      <c r="I34" s="70" t="e">
        <f t="shared" si="15"/>
        <v>#REF!</v>
      </c>
      <c r="K34" s="71">
        <f>C34/1000000</f>
        <v>45.124169573691368</v>
      </c>
      <c r="L34" s="71">
        <f t="shared" ref="L34:L37" si="16">D34/1000000</f>
        <v>45.124169573691368</v>
      </c>
      <c r="M34" s="71" t="e">
        <f t="shared" ref="M34:M37" si="17">E34/1000000</f>
        <v>#REF!</v>
      </c>
      <c r="N34" s="71" t="e">
        <f t="shared" ref="N34:N37" si="18">F34/1000000</f>
        <v>#REF!</v>
      </c>
      <c r="O34" s="71" t="e">
        <f t="shared" ref="O34:O37" si="19">G34/1000000</f>
        <v>#REF!</v>
      </c>
      <c r="P34" s="71" t="e">
        <f t="shared" ref="P34:P37" si="20">H34/1000000</f>
        <v>#REF!</v>
      </c>
      <c r="R34" s="228">
        <f>C34-Sheet5!H20</f>
        <v>0</v>
      </c>
    </row>
    <row r="35" spans="1:18" x14ac:dyDescent="0.25">
      <c r="A35" s="68" t="s">
        <v>10</v>
      </c>
      <c r="B35" s="68" t="s">
        <v>75</v>
      </c>
      <c r="C35" s="72">
        <f>'1.'!D62</f>
        <v>40356120.721892811</v>
      </c>
      <c r="D35" s="72">
        <f>'1.'!L62</f>
        <v>0</v>
      </c>
      <c r="E35" s="72" t="e">
        <f>'1.'!T62</f>
        <v>#REF!</v>
      </c>
      <c r="F35" s="72" t="e">
        <f>#REF!</f>
        <v>#REF!</v>
      </c>
      <c r="G35" s="72" t="e">
        <f>#REF!</f>
        <v>#REF!</v>
      </c>
      <c r="H35" s="72" t="e">
        <f>#REF!</f>
        <v>#REF!</v>
      </c>
      <c r="I35" s="228" t="e">
        <f>I18</f>
        <v>#REF!</v>
      </c>
      <c r="K35" s="73">
        <f t="shared" ref="K35:K36" si="21">C35/1000000</f>
        <v>40.356120721892815</v>
      </c>
      <c r="L35" s="73">
        <f t="shared" si="16"/>
        <v>0</v>
      </c>
      <c r="M35" s="73" t="e">
        <f t="shared" si="17"/>
        <v>#REF!</v>
      </c>
      <c r="N35" s="73" t="e">
        <f t="shared" si="18"/>
        <v>#REF!</v>
      </c>
      <c r="O35" s="73" t="e">
        <f t="shared" si="19"/>
        <v>#REF!</v>
      </c>
      <c r="P35" s="73" t="e">
        <f t="shared" si="20"/>
        <v>#REF!</v>
      </c>
      <c r="Q35" s="228" t="e">
        <f>I35-#REF!</f>
        <v>#REF!</v>
      </c>
      <c r="R35" s="228">
        <f>C35-Sheet5!L20</f>
        <v>0</v>
      </c>
    </row>
    <row r="36" spans="1:18" x14ac:dyDescent="0.25">
      <c r="A36" s="68" t="s">
        <v>67</v>
      </c>
      <c r="B36" s="68" t="s">
        <v>76</v>
      </c>
      <c r="C36" s="72">
        <f>'1.'!E62</f>
        <v>4768048.8517985605</v>
      </c>
      <c r="D36" s="72">
        <f>'1.'!M62</f>
        <v>45124169.573691368</v>
      </c>
      <c r="E36" s="72" t="e">
        <f>'1.'!U62</f>
        <v>#REF!</v>
      </c>
      <c r="F36" s="72" t="e">
        <f>#REF!</f>
        <v>#REF!</v>
      </c>
      <c r="G36" s="72">
        <v>0</v>
      </c>
      <c r="H36" s="72">
        <v>0</v>
      </c>
      <c r="I36" s="72" t="e">
        <f>#REF!-I35</f>
        <v>#REF!</v>
      </c>
      <c r="K36" s="73">
        <f t="shared" si="21"/>
        <v>4.7680488517985609</v>
      </c>
      <c r="L36" s="73">
        <f t="shared" si="16"/>
        <v>45.124169573691368</v>
      </c>
      <c r="M36" s="73" t="e">
        <f t="shared" si="17"/>
        <v>#REF!</v>
      </c>
      <c r="N36" s="73" t="e">
        <f t="shared" si="18"/>
        <v>#REF!</v>
      </c>
      <c r="O36" s="73">
        <f t="shared" si="19"/>
        <v>0</v>
      </c>
      <c r="P36" s="73">
        <f t="shared" si="20"/>
        <v>0</v>
      </c>
      <c r="Q36" s="228" t="e">
        <f>I36-#REF!</f>
        <v>#REF!</v>
      </c>
      <c r="R36" s="228">
        <f>C36-Sheet5!P20</f>
        <v>0</v>
      </c>
    </row>
    <row r="37" spans="1:18" x14ac:dyDescent="0.25">
      <c r="A37" s="66">
        <v>3</v>
      </c>
      <c r="B37" s="66" t="s">
        <v>124</v>
      </c>
      <c r="C37" s="70">
        <f>C34</f>
        <v>45124169.573691368</v>
      </c>
      <c r="D37" s="70">
        <f t="shared" ref="D37:I37" si="22">D34</f>
        <v>45124169.573691368</v>
      </c>
      <c r="E37" s="70" t="e">
        <f t="shared" si="22"/>
        <v>#REF!</v>
      </c>
      <c r="F37" s="70" t="e">
        <f t="shared" si="22"/>
        <v>#REF!</v>
      </c>
      <c r="G37" s="70" t="e">
        <f t="shared" si="22"/>
        <v>#REF!</v>
      </c>
      <c r="H37" s="70" t="e">
        <f t="shared" si="22"/>
        <v>#REF!</v>
      </c>
      <c r="I37" s="70" t="e">
        <f t="shared" si="22"/>
        <v>#REF!</v>
      </c>
      <c r="K37" s="71">
        <f>C37/1000000</f>
        <v>45.124169573691368</v>
      </c>
      <c r="L37" s="71">
        <f t="shared" si="16"/>
        <v>45.124169573691368</v>
      </c>
      <c r="M37" s="71" t="e">
        <f t="shared" si="17"/>
        <v>#REF!</v>
      </c>
      <c r="N37" s="71" t="e">
        <f t="shared" si="18"/>
        <v>#REF!</v>
      </c>
      <c r="O37" s="71" t="e">
        <f t="shared" si="19"/>
        <v>#REF!</v>
      </c>
      <c r="P37" s="71" t="e">
        <f t="shared" si="20"/>
        <v>#REF!</v>
      </c>
    </row>
    <row r="38" spans="1:18" x14ac:dyDescent="0.25">
      <c r="A38" s="68"/>
      <c r="B38" s="68" t="s">
        <v>62</v>
      </c>
      <c r="C38" s="192" t="str">
        <f>IF(C37=C39+C40+C41+C42," ",FALSE)</f>
        <v xml:space="preserve"> </v>
      </c>
      <c r="D38" s="192" t="str">
        <f t="shared" ref="D38" si="23">IF(D37=D39+D40+D41+D42," ",FALSE)</f>
        <v xml:space="preserve"> </v>
      </c>
      <c r="E38" s="192" t="e">
        <f t="shared" ref="E38" si="24">IF(E37=E39+E40+E41+E42," ",FALSE)</f>
        <v>#REF!</v>
      </c>
      <c r="F38" s="192" t="e">
        <f t="shared" ref="F38" si="25">IF(F37=F39+F40+F41+F42," ",FALSE)</f>
        <v>#REF!</v>
      </c>
      <c r="G38" s="192" t="e">
        <f t="shared" ref="G38" si="26">IF(G37=G39+G40+G41+G42," ",FALSE)</f>
        <v>#REF!</v>
      </c>
      <c r="H38" s="192" t="e">
        <f t="shared" ref="H38" si="27">IF(H37=H39+H40+H41+H42," ",FALSE)</f>
        <v>#REF!</v>
      </c>
      <c r="I38" s="192"/>
      <c r="K38" s="73"/>
      <c r="L38" s="73"/>
      <c r="M38" s="73"/>
      <c r="N38" s="73"/>
      <c r="O38" s="73"/>
      <c r="P38" s="73"/>
    </row>
    <row r="39" spans="1:18" x14ac:dyDescent="0.25">
      <c r="A39" s="68" t="s">
        <v>68</v>
      </c>
      <c r="B39" s="68" t="s">
        <v>145</v>
      </c>
      <c r="C39" s="72">
        <f>'1.'!F59</f>
        <v>42352477.738532372</v>
      </c>
      <c r="D39" s="72">
        <f>'1.'!N59</f>
        <v>42352477.738532364</v>
      </c>
      <c r="E39" s="72" t="e">
        <f>'1.'!V59</f>
        <v>#REF!</v>
      </c>
      <c r="F39" s="72">
        <v>0</v>
      </c>
      <c r="G39" s="72" t="e">
        <f>#REF!</f>
        <v>#REF!</v>
      </c>
      <c r="H39" s="72" t="e">
        <f>#REF!</f>
        <v>#REF!</v>
      </c>
      <c r="I39" s="72" t="e">
        <f>#REF!</f>
        <v>#REF!</v>
      </c>
      <c r="K39" s="73"/>
      <c r="L39" s="73"/>
      <c r="M39" s="73"/>
      <c r="N39" s="73"/>
      <c r="O39" s="73"/>
      <c r="P39" s="73"/>
    </row>
    <row r="40" spans="1:18" x14ac:dyDescent="0.25">
      <c r="A40" s="68" t="s">
        <v>69</v>
      </c>
      <c r="B40" s="68" t="s">
        <v>152</v>
      </c>
      <c r="C40" s="72">
        <v>0</v>
      </c>
      <c r="D40" s="72">
        <v>0</v>
      </c>
      <c r="E40" s="72">
        <v>0</v>
      </c>
      <c r="F40" s="72" t="e">
        <f>#REF!</f>
        <v>#REF!</v>
      </c>
      <c r="G40" s="72">
        <v>0</v>
      </c>
      <c r="H40" s="72">
        <v>0</v>
      </c>
      <c r="I40" s="72">
        <v>0</v>
      </c>
      <c r="K40" s="73"/>
      <c r="L40" s="73"/>
      <c r="M40" s="73"/>
      <c r="N40" s="73"/>
      <c r="O40" s="73"/>
      <c r="P40" s="73"/>
    </row>
    <row r="41" spans="1:18" x14ac:dyDescent="0.25">
      <c r="A41" s="68" t="s">
        <v>70</v>
      </c>
      <c r="B41" s="68" t="s">
        <v>56</v>
      </c>
      <c r="C41" s="72">
        <f>'1.'!F60</f>
        <v>622921.85545941303</v>
      </c>
      <c r="D41" s="72">
        <f>'1.'!N60</f>
        <v>622921.85545941303</v>
      </c>
      <c r="E41" s="72">
        <f>'1.'!V60</f>
        <v>622921.85545941303</v>
      </c>
      <c r="F41" s="72">
        <v>0</v>
      </c>
      <c r="G41" s="72" t="e">
        <f>#REF!</f>
        <v>#REF!</v>
      </c>
      <c r="H41" s="72" t="e">
        <f>#REF!</f>
        <v>#REF!</v>
      </c>
      <c r="I41" s="72">
        <v>0</v>
      </c>
      <c r="K41" s="73"/>
      <c r="L41" s="73"/>
      <c r="M41" s="73"/>
      <c r="N41" s="73"/>
      <c r="O41" s="73"/>
      <c r="P41" s="73"/>
    </row>
    <row r="42" spans="1:18" x14ac:dyDescent="0.25">
      <c r="A42" s="68" t="s">
        <v>163</v>
      </c>
      <c r="B42" s="68" t="s">
        <v>164</v>
      </c>
      <c r="C42" s="72">
        <f>'1.'!F61</f>
        <v>2148769.9796995893</v>
      </c>
      <c r="D42" s="72">
        <f>'1.'!N61</f>
        <v>2148769.9796995893</v>
      </c>
      <c r="E42" s="72" t="e">
        <f>'1.'!V61</f>
        <v>#REF!</v>
      </c>
      <c r="F42" s="72" t="e">
        <f>#REF!</f>
        <v>#REF!</v>
      </c>
      <c r="G42" s="72" t="e">
        <f>#REF!</f>
        <v>#REF!</v>
      </c>
      <c r="H42" s="72" t="e">
        <f>#REF!</f>
        <v>#REF!</v>
      </c>
      <c r="I42" s="72" t="e">
        <f>#REF!</f>
        <v>#REF!</v>
      </c>
      <c r="K42" s="73"/>
      <c r="L42" s="73"/>
      <c r="M42" s="73"/>
      <c r="N42" s="73"/>
      <c r="O42" s="73"/>
      <c r="P42" s="73"/>
      <c r="Q42" s="228"/>
    </row>
    <row r="43" spans="1:18" x14ac:dyDescent="0.25">
      <c r="A43" s="66">
        <v>4</v>
      </c>
      <c r="B43" s="66" t="s">
        <v>71</v>
      </c>
      <c r="C43" s="67">
        <f>C44+C45</f>
        <v>9401301</v>
      </c>
      <c r="D43" s="67">
        <f t="shared" ref="D43" si="28">D44+D45</f>
        <v>9401301</v>
      </c>
      <c r="E43" s="67">
        <f t="shared" ref="E43" si="29">E44+E45</f>
        <v>9401301</v>
      </c>
      <c r="F43" s="67" t="s">
        <v>81</v>
      </c>
      <c r="G43" s="67" t="e">
        <f t="shared" ref="G43" si="30">G44+G45</f>
        <v>#REF!</v>
      </c>
      <c r="H43" s="67" t="e">
        <f t="shared" ref="H43:P43" si="31">H44+H45</f>
        <v>#REF!</v>
      </c>
      <c r="I43" s="67" t="e">
        <f t="shared" si="31"/>
        <v>#REF!</v>
      </c>
      <c r="J43" s="67">
        <f t="shared" si="31"/>
        <v>0</v>
      </c>
      <c r="K43" s="67" t="e">
        <f t="shared" si="31"/>
        <v>#VALUE!</v>
      </c>
      <c r="L43" s="67" t="e">
        <f t="shared" si="31"/>
        <v>#VALUE!</v>
      </c>
      <c r="M43" s="67" t="e">
        <f t="shared" si="31"/>
        <v>#VALUE!</v>
      </c>
      <c r="N43" s="67" t="e">
        <f t="shared" si="31"/>
        <v>#VALUE!</v>
      </c>
      <c r="O43" s="67" t="e">
        <f t="shared" si="31"/>
        <v>#VALUE!</v>
      </c>
      <c r="P43" s="67" t="e">
        <f t="shared" si="31"/>
        <v>#VALUE!</v>
      </c>
    </row>
    <row r="44" spans="1:18" x14ac:dyDescent="0.25">
      <c r="A44" s="68" t="s">
        <v>78</v>
      </c>
      <c r="B44" s="68" t="s">
        <v>75</v>
      </c>
      <c r="C44" s="38">
        <f>'1.2.'!I24+'1.3.'!G48+'1.3.'!G49</f>
        <v>8393301</v>
      </c>
      <c r="D44" s="38">
        <v>0</v>
      </c>
      <c r="E44" s="38">
        <f>'1.2.'!I45+'1.3.'!Z48+'1.3.'!Z49</f>
        <v>8393301</v>
      </c>
      <c r="F44" s="38" t="s">
        <v>4</v>
      </c>
      <c r="G44" s="38" t="e">
        <f>#REF!</f>
        <v>#REF!</v>
      </c>
      <c r="H44" s="38" t="e">
        <f>#REF!</f>
        <v>#REF!</v>
      </c>
      <c r="I44" s="38" t="e">
        <f>I27</f>
        <v>#REF!</v>
      </c>
      <c r="K44" s="38" t="s">
        <v>81</v>
      </c>
      <c r="L44" s="38" t="s">
        <v>81</v>
      </c>
      <c r="M44" s="38" t="s">
        <v>81</v>
      </c>
      <c r="N44" s="38" t="s">
        <v>81</v>
      </c>
      <c r="O44" s="38" t="s">
        <v>81</v>
      </c>
      <c r="P44" s="38" t="s">
        <v>81</v>
      </c>
      <c r="Q44" s="228"/>
    </row>
    <row r="45" spans="1:18" x14ac:dyDescent="0.25">
      <c r="A45" s="68" t="s">
        <v>79</v>
      </c>
      <c r="B45" s="68" t="s">
        <v>76</v>
      </c>
      <c r="C45" s="38">
        <f>'1.3.'!G50</f>
        <v>1008000</v>
      </c>
      <c r="D45" s="38">
        <f>'1.2.'!I24+'1.3.'!Q51</f>
        <v>9401301</v>
      </c>
      <c r="E45" s="38">
        <f>'1.3.'!Z50</f>
        <v>1008000</v>
      </c>
      <c r="F45" s="38" t="s">
        <v>4</v>
      </c>
      <c r="G45" s="38">
        <v>0</v>
      </c>
      <c r="H45" s="38">
        <v>0</v>
      </c>
      <c r="I45" s="38" t="e">
        <f>#REF!-I44</f>
        <v>#REF!</v>
      </c>
      <c r="K45" s="38" t="s">
        <v>81</v>
      </c>
      <c r="L45" s="38" t="s">
        <v>81</v>
      </c>
      <c r="M45" s="38" t="s">
        <v>81</v>
      </c>
      <c r="N45" s="38" t="s">
        <v>81</v>
      </c>
      <c r="O45" s="38" t="s">
        <v>81</v>
      </c>
      <c r="P45" s="38" t="s">
        <v>81</v>
      </c>
      <c r="Q45" s="228" t="e">
        <f>I45+I27-I43</f>
        <v>#REF!</v>
      </c>
    </row>
    <row r="46" spans="1:18" s="75" customFormat="1" x14ac:dyDescent="0.25">
      <c r="A46" s="68" t="s">
        <v>165</v>
      </c>
      <c r="B46" s="68" t="s">
        <v>80</v>
      </c>
      <c r="C46" s="74">
        <f>C43/C32/12</f>
        <v>67.183054204934265</v>
      </c>
      <c r="D46" s="74">
        <f>D43/D32/12</f>
        <v>67.183054204934265</v>
      </c>
      <c r="E46" s="74">
        <f>E43/E32/12</f>
        <v>67.183054204934265</v>
      </c>
      <c r="F46" s="74" t="s">
        <v>4</v>
      </c>
      <c r="G46" s="74" t="e">
        <f>G43/G32/12</f>
        <v>#REF!</v>
      </c>
      <c r="H46" s="74" t="e">
        <f>H43/H32/12</f>
        <v>#REF!</v>
      </c>
      <c r="I46" s="74" t="e">
        <f>I43/I32/12</f>
        <v>#REF!</v>
      </c>
      <c r="K46" s="74" t="s">
        <v>81</v>
      </c>
      <c r="L46" s="74" t="s">
        <v>81</v>
      </c>
      <c r="M46" s="74" t="s">
        <v>81</v>
      </c>
      <c r="N46" s="74" t="s">
        <v>81</v>
      </c>
      <c r="O46" s="74" t="s">
        <v>81</v>
      </c>
      <c r="P46" s="74" t="s">
        <v>81</v>
      </c>
    </row>
    <row r="48" spans="1:18" ht="18.75" x14ac:dyDescent="0.3">
      <c r="A48" s="63"/>
      <c r="B48" s="64">
        <v>2023</v>
      </c>
      <c r="C48" s="65" t="s">
        <v>100</v>
      </c>
      <c r="D48" s="65" t="s">
        <v>101</v>
      </c>
      <c r="E48" s="65" t="s">
        <v>102</v>
      </c>
      <c r="F48" s="65" t="s">
        <v>90</v>
      </c>
      <c r="G48" s="65" t="s">
        <v>91</v>
      </c>
      <c r="H48" s="65" t="s">
        <v>92</v>
      </c>
      <c r="I48" s="65" t="s">
        <v>231</v>
      </c>
      <c r="K48" s="65" t="s">
        <v>100</v>
      </c>
      <c r="L48" s="65" t="s">
        <v>101</v>
      </c>
      <c r="M48" s="65" t="s">
        <v>102</v>
      </c>
      <c r="N48" s="65" t="s">
        <v>90</v>
      </c>
      <c r="O48" s="65" t="s">
        <v>91</v>
      </c>
      <c r="P48" s="65" t="s">
        <v>92</v>
      </c>
    </row>
    <row r="49" spans="1:18" x14ac:dyDescent="0.25">
      <c r="A49" s="66">
        <v>1</v>
      </c>
      <c r="B49" s="66" t="s">
        <v>77</v>
      </c>
      <c r="C49" s="67">
        <f>'1.'!D125</f>
        <v>12244.365000000002</v>
      </c>
      <c r="D49" s="67">
        <f>'1.'!L125</f>
        <v>12244.365000000002</v>
      </c>
      <c r="E49" s="67">
        <f>'1.'!T125</f>
        <v>12244.365000000002</v>
      </c>
      <c r="F49" s="67" t="e">
        <f>#REF!</f>
        <v>#REF!</v>
      </c>
      <c r="G49" s="67" t="e">
        <f>#REF!</f>
        <v>#REF!</v>
      </c>
      <c r="H49" s="67" t="e">
        <f>#REF!</f>
        <v>#REF!</v>
      </c>
      <c r="I49" s="67" t="e">
        <f>#REF!</f>
        <v>#REF!</v>
      </c>
      <c r="K49" s="67" t="s">
        <v>81</v>
      </c>
      <c r="L49" s="67" t="s">
        <v>81</v>
      </c>
      <c r="M49" s="67" t="s">
        <v>81</v>
      </c>
      <c r="N49" s="67" t="s">
        <v>81</v>
      </c>
      <c r="O49" s="67" t="s">
        <v>81</v>
      </c>
      <c r="P49" s="67" t="s">
        <v>81</v>
      </c>
    </row>
    <row r="50" spans="1:18" x14ac:dyDescent="0.25">
      <c r="A50" s="68" t="s">
        <v>7</v>
      </c>
      <c r="B50" s="68" t="s">
        <v>74</v>
      </c>
      <c r="C50" s="69">
        <f>'1.'!D127</f>
        <v>2866.5</v>
      </c>
      <c r="D50" s="69">
        <f>'1.'!L127</f>
        <v>2866.5</v>
      </c>
      <c r="E50" s="69">
        <f>'1.'!T127</f>
        <v>2866.5</v>
      </c>
      <c r="F50" s="69" t="e">
        <f>#REF!</f>
        <v>#REF!</v>
      </c>
      <c r="G50" s="69" t="e">
        <f>#REF!</f>
        <v>#REF!</v>
      </c>
      <c r="H50" s="69" t="e">
        <f>#REF!</f>
        <v>#REF!</v>
      </c>
      <c r="I50" s="69" t="e">
        <f>#REF!</f>
        <v>#REF!</v>
      </c>
      <c r="K50" s="69" t="s">
        <v>81</v>
      </c>
      <c r="L50" s="69" t="s">
        <v>81</v>
      </c>
      <c r="M50" s="69" t="s">
        <v>81</v>
      </c>
      <c r="N50" s="69" t="s">
        <v>81</v>
      </c>
      <c r="O50" s="69" t="s">
        <v>81</v>
      </c>
      <c r="P50" s="69" t="s">
        <v>81</v>
      </c>
    </row>
    <row r="51" spans="1:18" x14ac:dyDescent="0.25">
      <c r="A51" s="66">
        <v>2</v>
      </c>
      <c r="B51" s="66" t="s">
        <v>124</v>
      </c>
      <c r="C51" s="70">
        <f>C52+C53</f>
        <v>47380378.052375935</v>
      </c>
      <c r="D51" s="70">
        <f t="shared" ref="D51:I51" si="32">D52+D53</f>
        <v>47380378.052375935</v>
      </c>
      <c r="E51" s="70" t="e">
        <f t="shared" si="32"/>
        <v>#REF!</v>
      </c>
      <c r="F51" s="70" t="e">
        <f t="shared" si="32"/>
        <v>#REF!</v>
      </c>
      <c r="G51" s="70" t="e">
        <f t="shared" si="32"/>
        <v>#REF!</v>
      </c>
      <c r="H51" s="70" t="e">
        <f t="shared" si="32"/>
        <v>#REF!</v>
      </c>
      <c r="I51" s="70" t="e">
        <f t="shared" si="32"/>
        <v>#REF!</v>
      </c>
      <c r="K51" s="71">
        <f>C51/1000000</f>
        <v>47.380378052375931</v>
      </c>
      <c r="L51" s="71">
        <f t="shared" ref="L51:L54" si="33">D51/1000000</f>
        <v>47.380378052375931</v>
      </c>
      <c r="M51" s="71" t="e">
        <f t="shared" ref="M51:M54" si="34">E51/1000000</f>
        <v>#REF!</v>
      </c>
      <c r="N51" s="71" t="e">
        <f t="shared" ref="N51:N54" si="35">F51/1000000</f>
        <v>#REF!</v>
      </c>
      <c r="O51" s="71" t="e">
        <f t="shared" ref="O51:O54" si="36">G51/1000000</f>
        <v>#REF!</v>
      </c>
      <c r="P51" s="71" t="e">
        <f t="shared" ref="P51:P54" si="37">H51/1000000</f>
        <v>#REF!</v>
      </c>
      <c r="R51" s="228">
        <f>C51-Sheet5!I20</f>
        <v>0</v>
      </c>
    </row>
    <row r="52" spans="1:18" x14ac:dyDescent="0.25">
      <c r="A52" s="68" t="s">
        <v>10</v>
      </c>
      <c r="B52" s="68" t="s">
        <v>75</v>
      </c>
      <c r="C52" s="72">
        <f>'1.'!D106</f>
        <v>42373926.757987447</v>
      </c>
      <c r="D52" s="72">
        <f>'1.'!L106</f>
        <v>0</v>
      </c>
      <c r="E52" s="72" t="e">
        <f>'1.'!T106</f>
        <v>#REF!</v>
      </c>
      <c r="F52" s="72" t="e">
        <f>#REF!</f>
        <v>#REF!</v>
      </c>
      <c r="G52" s="72" t="e">
        <f>#REF!</f>
        <v>#REF!</v>
      </c>
      <c r="H52" s="72" t="e">
        <f>#REF!</f>
        <v>#REF!</v>
      </c>
      <c r="I52" s="228" t="e">
        <f>I18</f>
        <v>#REF!</v>
      </c>
      <c r="K52" s="73">
        <f t="shared" ref="K52:K53" si="38">C52/1000000</f>
        <v>42.373926757987448</v>
      </c>
      <c r="L52" s="73">
        <f t="shared" si="33"/>
        <v>0</v>
      </c>
      <c r="M52" s="73" t="e">
        <f t="shared" si="34"/>
        <v>#REF!</v>
      </c>
      <c r="N52" s="73" t="e">
        <f t="shared" si="35"/>
        <v>#REF!</v>
      </c>
      <c r="O52" s="73" t="e">
        <f t="shared" si="36"/>
        <v>#REF!</v>
      </c>
      <c r="P52" s="73" t="e">
        <f t="shared" si="37"/>
        <v>#REF!</v>
      </c>
      <c r="Q52" s="228" t="e">
        <f>'1.1.'!I52-#REF!</f>
        <v>#REF!</v>
      </c>
      <c r="R52" s="228">
        <f>C52-Sheet5!M20</f>
        <v>0</v>
      </c>
    </row>
    <row r="53" spans="1:18" x14ac:dyDescent="0.25">
      <c r="A53" s="68" t="s">
        <v>67</v>
      </c>
      <c r="B53" s="68" t="s">
        <v>76</v>
      </c>
      <c r="C53" s="72">
        <f>'1.'!E106</f>
        <v>5006451.2943884889</v>
      </c>
      <c r="D53" s="72">
        <f>'1.'!M106</f>
        <v>47380378.052375935</v>
      </c>
      <c r="E53" s="72" t="e">
        <f>'1.'!U106</f>
        <v>#REF!</v>
      </c>
      <c r="F53" s="72" t="e">
        <f>#REF!</f>
        <v>#REF!</v>
      </c>
      <c r="G53" s="72">
        <v>0</v>
      </c>
      <c r="H53" s="72">
        <v>0</v>
      </c>
      <c r="I53" s="72" t="e">
        <f>#REF!-I52</f>
        <v>#REF!</v>
      </c>
      <c r="K53" s="73">
        <f t="shared" si="38"/>
        <v>5.0064512943884889</v>
      </c>
      <c r="L53" s="73">
        <f t="shared" si="33"/>
        <v>47.380378052375931</v>
      </c>
      <c r="M53" s="73" t="e">
        <f t="shared" si="34"/>
        <v>#REF!</v>
      </c>
      <c r="N53" s="73" t="e">
        <f t="shared" si="35"/>
        <v>#REF!</v>
      </c>
      <c r="O53" s="73">
        <f t="shared" si="36"/>
        <v>0</v>
      </c>
      <c r="P53" s="73">
        <f t="shared" si="37"/>
        <v>0</v>
      </c>
      <c r="Q53" s="228" t="e">
        <f>I53-#REF!</f>
        <v>#REF!</v>
      </c>
      <c r="R53" s="228">
        <f>C53-Sheet5!Q20</f>
        <v>0</v>
      </c>
    </row>
    <row r="54" spans="1:18" x14ac:dyDescent="0.25">
      <c r="A54" s="66">
        <v>3</v>
      </c>
      <c r="B54" s="66" t="s">
        <v>124</v>
      </c>
      <c r="C54" s="70">
        <f>C51</f>
        <v>47380378.052375935</v>
      </c>
      <c r="D54" s="70">
        <f t="shared" ref="D54:I54" si="39">D51</f>
        <v>47380378.052375935</v>
      </c>
      <c r="E54" s="70" t="e">
        <f t="shared" si="39"/>
        <v>#REF!</v>
      </c>
      <c r="F54" s="70" t="e">
        <f t="shared" si="39"/>
        <v>#REF!</v>
      </c>
      <c r="G54" s="70" t="e">
        <f t="shared" si="39"/>
        <v>#REF!</v>
      </c>
      <c r="H54" s="70" t="e">
        <f t="shared" si="39"/>
        <v>#REF!</v>
      </c>
      <c r="I54" s="70" t="e">
        <f t="shared" si="39"/>
        <v>#REF!</v>
      </c>
      <c r="K54" s="71">
        <f>C54/1000000</f>
        <v>47.380378052375931</v>
      </c>
      <c r="L54" s="71">
        <f t="shared" si="33"/>
        <v>47.380378052375931</v>
      </c>
      <c r="M54" s="71" t="e">
        <f t="shared" si="34"/>
        <v>#REF!</v>
      </c>
      <c r="N54" s="71" t="e">
        <f t="shared" si="35"/>
        <v>#REF!</v>
      </c>
      <c r="O54" s="71" t="e">
        <f t="shared" si="36"/>
        <v>#REF!</v>
      </c>
      <c r="P54" s="71" t="e">
        <f t="shared" si="37"/>
        <v>#REF!</v>
      </c>
    </row>
    <row r="55" spans="1:18" x14ac:dyDescent="0.25">
      <c r="A55" s="68"/>
      <c r="B55" s="68" t="s">
        <v>62</v>
      </c>
      <c r="C55" s="192" t="str">
        <f>IF(C54=C56+C57+C58+C59," ",FALSE)</f>
        <v xml:space="preserve"> </v>
      </c>
      <c r="D55" s="192" t="str">
        <f t="shared" ref="D55" si="40">IF(D54=D56+D57+D58+D59," ",FALSE)</f>
        <v xml:space="preserve"> </v>
      </c>
      <c r="E55" s="192" t="e">
        <f t="shared" ref="E55" si="41">IF(E54=E56+E57+E58+E59," ",FALSE)</f>
        <v>#REF!</v>
      </c>
      <c r="F55" s="192" t="e">
        <f t="shared" ref="F55" si="42">IF(F54=F56+F57+F58+F59," ",FALSE)</f>
        <v>#REF!</v>
      </c>
      <c r="G55" s="192" t="e">
        <f t="shared" ref="G55" si="43">IF(G54=G56+G57+G58+G59," ",FALSE)</f>
        <v>#REF!</v>
      </c>
      <c r="H55" s="192" t="e">
        <f t="shared" ref="H55" si="44">IF(H54=H56+H57+H58+H59," ",FALSE)</f>
        <v>#REF!</v>
      </c>
      <c r="I55" s="192"/>
      <c r="K55" s="73"/>
      <c r="L55" s="73"/>
      <c r="M55" s="73"/>
      <c r="N55" s="73"/>
      <c r="O55" s="73"/>
      <c r="P55" s="73"/>
    </row>
    <row r="56" spans="1:18" x14ac:dyDescent="0.25">
      <c r="A56" s="68" t="s">
        <v>68</v>
      </c>
      <c r="B56" s="68" t="s">
        <v>145</v>
      </c>
      <c r="C56" s="72">
        <f>'1.'!F103</f>
        <v>44470101.625458986</v>
      </c>
      <c r="D56" s="72">
        <f>'1.'!N103</f>
        <v>44470101.625458986</v>
      </c>
      <c r="E56" s="72" t="e">
        <f>'1.'!V103</f>
        <v>#REF!</v>
      </c>
      <c r="F56" s="72">
        <v>0</v>
      </c>
      <c r="G56" s="72" t="e">
        <f>#REF!</f>
        <v>#REF!</v>
      </c>
      <c r="H56" s="72" t="e">
        <f>#REF!</f>
        <v>#REF!</v>
      </c>
      <c r="I56" s="72" t="e">
        <f>#REF!</f>
        <v>#REF!</v>
      </c>
      <c r="K56" s="73"/>
      <c r="L56" s="73"/>
      <c r="M56" s="73"/>
      <c r="N56" s="73"/>
      <c r="O56" s="73"/>
      <c r="P56" s="73"/>
    </row>
    <row r="57" spans="1:18" x14ac:dyDescent="0.25">
      <c r="A57" s="68" t="s">
        <v>69</v>
      </c>
      <c r="B57" s="68" t="s">
        <v>152</v>
      </c>
      <c r="C57" s="72">
        <v>0</v>
      </c>
      <c r="D57" s="72">
        <v>0</v>
      </c>
      <c r="E57" s="72">
        <v>0</v>
      </c>
      <c r="F57" s="72" t="e">
        <f>#REF!</f>
        <v>#REF!</v>
      </c>
      <c r="G57" s="72">
        <v>0</v>
      </c>
      <c r="H57" s="72">
        <v>0</v>
      </c>
      <c r="I57" s="72">
        <v>0</v>
      </c>
      <c r="K57" s="73"/>
      <c r="L57" s="73"/>
      <c r="M57" s="73"/>
      <c r="N57" s="73"/>
      <c r="O57" s="73"/>
      <c r="P57" s="73"/>
    </row>
    <row r="58" spans="1:18" x14ac:dyDescent="0.25">
      <c r="A58" s="68" t="s">
        <v>70</v>
      </c>
      <c r="B58" s="68" t="s">
        <v>56</v>
      </c>
      <c r="C58" s="72">
        <f>'1.'!F104</f>
        <v>654067.9482323837</v>
      </c>
      <c r="D58" s="72">
        <f>'1.'!N104</f>
        <v>654067.9482323837</v>
      </c>
      <c r="E58" s="72">
        <f>'1.'!V104</f>
        <v>654067.9482323837</v>
      </c>
      <c r="F58" s="72">
        <v>0</v>
      </c>
      <c r="G58" s="72" t="e">
        <f>#REF!</f>
        <v>#REF!</v>
      </c>
      <c r="H58" s="72" t="e">
        <f>#REF!</f>
        <v>#REF!</v>
      </c>
      <c r="I58" s="72">
        <v>0</v>
      </c>
      <c r="K58" s="73"/>
      <c r="L58" s="73"/>
      <c r="M58" s="73"/>
      <c r="N58" s="73"/>
      <c r="O58" s="73"/>
      <c r="P58" s="73"/>
    </row>
    <row r="59" spans="1:18" x14ac:dyDescent="0.25">
      <c r="A59" s="68" t="s">
        <v>163</v>
      </c>
      <c r="B59" s="68" t="s">
        <v>164</v>
      </c>
      <c r="C59" s="72">
        <f>'1.'!F105</f>
        <v>2256208.4786845688</v>
      </c>
      <c r="D59" s="72">
        <f>'1.'!N105</f>
        <v>2256208.4786845688</v>
      </c>
      <c r="E59" s="72" t="e">
        <f>'1.'!V105</f>
        <v>#REF!</v>
      </c>
      <c r="F59" s="72" t="e">
        <f>#REF!</f>
        <v>#REF!</v>
      </c>
      <c r="G59" s="72" t="e">
        <f>#REF!</f>
        <v>#REF!</v>
      </c>
      <c r="H59" s="72" t="e">
        <f>#REF!</f>
        <v>#REF!</v>
      </c>
      <c r="I59" s="72" t="e">
        <f>#REF!</f>
        <v>#REF!</v>
      </c>
      <c r="K59" s="73"/>
      <c r="L59" s="73"/>
      <c r="M59" s="73"/>
      <c r="N59" s="73"/>
      <c r="O59" s="73"/>
      <c r="P59" s="73"/>
    </row>
    <row r="60" spans="1:18" x14ac:dyDescent="0.25">
      <c r="A60" s="66">
        <v>4</v>
      </c>
      <c r="B60" s="66" t="s">
        <v>71</v>
      </c>
      <c r="C60" s="67">
        <f>C61+C62</f>
        <v>9871366.0500000007</v>
      </c>
      <c r="D60" s="67">
        <f t="shared" ref="D60" si="45">D61+D62</f>
        <v>9871366.0500000007</v>
      </c>
      <c r="E60" s="67">
        <f t="shared" ref="E60" si="46">E61+E62</f>
        <v>9871366.0500000007</v>
      </c>
      <c r="F60" s="67" t="s">
        <v>81</v>
      </c>
      <c r="G60" s="67" t="e">
        <f t="shared" ref="G60" si="47">G61+G62</f>
        <v>#REF!</v>
      </c>
      <c r="H60" s="67" t="e">
        <f t="shared" ref="H60:P60" si="48">H61+H62</f>
        <v>#REF!</v>
      </c>
      <c r="I60" s="67" t="e">
        <f t="shared" si="48"/>
        <v>#REF!</v>
      </c>
      <c r="J60" s="67">
        <f t="shared" si="48"/>
        <v>0</v>
      </c>
      <c r="K60" s="67" t="e">
        <f t="shared" si="48"/>
        <v>#VALUE!</v>
      </c>
      <c r="L60" s="67" t="e">
        <f t="shared" si="48"/>
        <v>#VALUE!</v>
      </c>
      <c r="M60" s="67" t="e">
        <f t="shared" si="48"/>
        <v>#VALUE!</v>
      </c>
      <c r="N60" s="67" t="e">
        <f t="shared" si="48"/>
        <v>#VALUE!</v>
      </c>
      <c r="O60" s="67" t="e">
        <f t="shared" si="48"/>
        <v>#VALUE!</v>
      </c>
      <c r="P60" s="67" t="e">
        <f t="shared" si="48"/>
        <v>#VALUE!</v>
      </c>
    </row>
    <row r="61" spans="1:18" x14ac:dyDescent="0.25">
      <c r="A61" s="68" t="s">
        <v>78</v>
      </c>
      <c r="B61" s="68" t="s">
        <v>75</v>
      </c>
      <c r="C61" s="38">
        <f>'1.2.'!L24+'1.3.'!G81+'1.3.'!G82</f>
        <v>8812966.0500000007</v>
      </c>
      <c r="D61" s="38">
        <v>0</v>
      </c>
      <c r="E61" s="38">
        <f>'1.2.'!L45+'1.3.'!Z81+'1.3.'!Z82</f>
        <v>8812966.0500000007</v>
      </c>
      <c r="F61" s="38" t="s">
        <v>4</v>
      </c>
      <c r="G61" s="38" t="e">
        <f>#REF!</f>
        <v>#REF!</v>
      </c>
      <c r="H61" s="38" t="e">
        <f>#REF!</f>
        <v>#REF!</v>
      </c>
      <c r="I61" s="38" t="e">
        <f>I27</f>
        <v>#REF!</v>
      </c>
      <c r="K61" s="38" t="s">
        <v>81</v>
      </c>
      <c r="L61" s="38" t="s">
        <v>81</v>
      </c>
      <c r="M61" s="38" t="s">
        <v>81</v>
      </c>
      <c r="N61" s="38" t="s">
        <v>81</v>
      </c>
      <c r="O61" s="38" t="s">
        <v>81</v>
      </c>
      <c r="P61" s="38" t="s">
        <v>81</v>
      </c>
    </row>
    <row r="62" spans="1:18" x14ac:dyDescent="0.25">
      <c r="A62" s="68" t="s">
        <v>79</v>
      </c>
      <c r="B62" s="68" t="s">
        <v>76</v>
      </c>
      <c r="C62" s="38">
        <f>'1.3.'!G83</f>
        <v>1058400</v>
      </c>
      <c r="D62" s="38">
        <f>'1.2.'!L24+'1.3.'!Q84</f>
        <v>9871366.0500000007</v>
      </c>
      <c r="E62" s="38">
        <f>'1.3.'!Z83</f>
        <v>1058400</v>
      </c>
      <c r="F62" s="38" t="s">
        <v>4</v>
      </c>
      <c r="G62" s="38">
        <v>0</v>
      </c>
      <c r="H62" s="38">
        <v>0</v>
      </c>
      <c r="I62" s="38" t="e">
        <f>#REF!-I61</f>
        <v>#REF!</v>
      </c>
      <c r="K62" s="38" t="s">
        <v>81</v>
      </c>
      <c r="L62" s="38" t="s">
        <v>81</v>
      </c>
      <c r="M62" s="38" t="s">
        <v>81</v>
      </c>
      <c r="N62" s="38" t="s">
        <v>81</v>
      </c>
      <c r="O62" s="38" t="s">
        <v>81</v>
      </c>
      <c r="P62" s="38" t="s">
        <v>81</v>
      </c>
      <c r="Q62" s="228" t="e">
        <f>I62+I27-I60</f>
        <v>#REF!</v>
      </c>
    </row>
    <row r="63" spans="1:18" s="75" customFormat="1" x14ac:dyDescent="0.25">
      <c r="A63" s="68" t="s">
        <v>165</v>
      </c>
      <c r="B63" s="68" t="s">
        <v>80</v>
      </c>
      <c r="C63" s="74">
        <f>C60/C49/12</f>
        <v>67.183054204934265</v>
      </c>
      <c r="D63" s="74">
        <f>D60/D49/12</f>
        <v>67.183054204934265</v>
      </c>
      <c r="E63" s="74">
        <f>E60/E49/12</f>
        <v>67.183054204934265</v>
      </c>
      <c r="F63" s="74" t="s">
        <v>4</v>
      </c>
      <c r="G63" s="74" t="e">
        <f>G60/G49/12</f>
        <v>#REF!</v>
      </c>
      <c r="H63" s="74" t="e">
        <f>H60/H49/12</f>
        <v>#REF!</v>
      </c>
      <c r="I63" s="74" t="e">
        <f>I60/I49/12</f>
        <v>#REF!</v>
      </c>
      <c r="K63" s="74" t="s">
        <v>81</v>
      </c>
      <c r="L63" s="74" t="s">
        <v>81</v>
      </c>
      <c r="M63" s="74" t="s">
        <v>81</v>
      </c>
      <c r="N63" s="74" t="s">
        <v>81</v>
      </c>
      <c r="O63" s="74" t="s">
        <v>81</v>
      </c>
      <c r="P63" s="74" t="s">
        <v>81</v>
      </c>
    </row>
    <row r="64" spans="1:18" ht="7.5" customHeight="1" x14ac:dyDescent="0.25"/>
    <row r="65" spans="1:9" x14ac:dyDescent="0.25">
      <c r="A65" s="424" t="s">
        <v>306</v>
      </c>
      <c r="B65" s="424"/>
      <c r="C65" s="424"/>
      <c r="I65" s="228" t="e">
        <f>I18-I35</f>
        <v>#REF!</v>
      </c>
    </row>
    <row r="66" spans="1:9" x14ac:dyDescent="0.25">
      <c r="A66" s="424"/>
      <c r="B66" s="424"/>
      <c r="C66" s="424"/>
      <c r="I66" s="228" t="e">
        <f>I35-I52</f>
        <v>#REF!</v>
      </c>
    </row>
    <row r="67" spans="1:9" x14ac:dyDescent="0.25">
      <c r="A67" s="424"/>
      <c r="B67" s="424"/>
      <c r="C67" s="424"/>
      <c r="I67" s="228" t="e">
        <f>I27-I44</f>
        <v>#REF!</v>
      </c>
    </row>
    <row r="68" spans="1:9" x14ac:dyDescent="0.25">
      <c r="A68" s="424"/>
      <c r="B68" s="424"/>
      <c r="C68" s="424"/>
      <c r="I68" s="228" t="e">
        <f>I44-I61</f>
        <v>#REF!</v>
      </c>
    </row>
    <row r="69" spans="1:9" x14ac:dyDescent="0.25">
      <c r="A69" s="424"/>
      <c r="B69" s="424"/>
      <c r="C69" s="424"/>
    </row>
  </sheetData>
  <mergeCells count="6">
    <mergeCell ref="A65:C69"/>
    <mergeCell ref="A11:P11"/>
    <mergeCell ref="A2:P2"/>
    <mergeCell ref="A1:P1"/>
    <mergeCell ref="A4:C4"/>
    <mergeCell ref="A5:C7"/>
  </mergeCells>
  <pageMargins left="1.299212598425197" right="0.70866141732283472" top="0.74803149606299213" bottom="0.74803149606299213" header="0.31496062992125984" footer="0.31496062992125984"/>
  <pageSetup paperSize="9" scale="75"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16A6-A084-41E8-8B35-68F38667F355}">
  <dimension ref="A1:T57"/>
  <sheetViews>
    <sheetView topLeftCell="A3" zoomScale="60" zoomScaleNormal="60" workbookViewId="0">
      <selection activeCell="Y22" sqref="Y22"/>
    </sheetView>
  </sheetViews>
  <sheetFormatPr defaultColWidth="8.85546875" defaultRowHeight="15" x14ac:dyDescent="0.25"/>
  <cols>
    <col min="1" max="1" width="27" style="79" customWidth="1"/>
    <col min="2" max="3" width="7" style="79" customWidth="1"/>
    <col min="4" max="5" width="11.5703125" style="79" customWidth="1"/>
    <col min="6" max="6" width="15.85546875" style="79" customWidth="1"/>
    <col min="7" max="8" width="11" style="79" customWidth="1"/>
    <col min="9" max="9" width="15.85546875" style="79" customWidth="1"/>
    <col min="10" max="11" width="11" style="79" customWidth="1"/>
    <col min="12" max="12" width="15.85546875" style="79" customWidth="1"/>
    <col min="13" max="13" width="4.7109375" style="128" hidden="1" customWidth="1"/>
    <col min="14" max="16384" width="8.85546875" style="79"/>
  </cols>
  <sheetData>
    <row r="1" spans="1:20" ht="18.75" hidden="1" x14ac:dyDescent="0.3">
      <c r="I1" s="77"/>
      <c r="L1" s="77" t="s">
        <v>114</v>
      </c>
    </row>
    <row r="2" spans="1:20" ht="18.75" hidden="1" x14ac:dyDescent="0.3">
      <c r="I2" s="78"/>
      <c r="L2" s="78" t="s">
        <v>106</v>
      </c>
    </row>
    <row r="3" spans="1:20" ht="18.75" x14ac:dyDescent="0.3">
      <c r="I3" s="78"/>
      <c r="L3" s="421" t="str">
        <f>'1.'!AL3</f>
        <v>Pielikums</v>
      </c>
    </row>
    <row r="4" spans="1:20" ht="18.75" x14ac:dyDescent="0.3">
      <c r="I4" s="78"/>
      <c r="L4" s="421" t="str">
        <f>'1.'!AL4</f>
        <v>Likumprojekta “Grozījumi Invaliditātes likumā” sākotnējās ietekmes novērtējuma ziņojumam (anotācijai)</v>
      </c>
    </row>
    <row r="5" spans="1:20" ht="35.25" customHeight="1" x14ac:dyDescent="0.25">
      <c r="A5" s="446" t="s">
        <v>304</v>
      </c>
      <c r="B5" s="446"/>
      <c r="C5" s="446"/>
      <c r="D5" s="446"/>
      <c r="E5" s="446"/>
      <c r="F5" s="446"/>
      <c r="G5" s="446"/>
      <c r="H5" s="446"/>
      <c r="I5" s="446"/>
      <c r="J5" s="446"/>
      <c r="K5" s="446"/>
      <c r="L5" s="446"/>
    </row>
    <row r="6" spans="1:20" ht="22.5" x14ac:dyDescent="0.25">
      <c r="A6" s="480" t="s">
        <v>311</v>
      </c>
      <c r="B6" s="480"/>
      <c r="C6" s="480"/>
      <c r="D6" s="480"/>
      <c r="E6" s="480"/>
      <c r="F6" s="480"/>
      <c r="G6" s="480"/>
      <c r="H6" s="480"/>
      <c r="I6" s="480"/>
      <c r="J6" s="480"/>
      <c r="K6" s="480"/>
      <c r="L6" s="480"/>
    </row>
    <row r="7" spans="1:20" s="165" customFormat="1" ht="18.75" x14ac:dyDescent="0.3">
      <c r="C7" s="163" t="s">
        <v>23</v>
      </c>
      <c r="D7" s="164" t="s">
        <v>109</v>
      </c>
      <c r="G7" s="164"/>
      <c r="J7" s="164"/>
    </row>
    <row r="8" spans="1:20" s="165" customFormat="1" ht="18.75" x14ac:dyDescent="0.3">
      <c r="C8" s="163" t="s">
        <v>23</v>
      </c>
      <c r="D8" s="164" t="s">
        <v>24</v>
      </c>
      <c r="G8" s="164"/>
      <c r="J8" s="164"/>
    </row>
    <row r="9" spans="1:20" hidden="1" x14ac:dyDescent="0.25"/>
    <row r="10" spans="1:20" hidden="1" x14ac:dyDescent="0.25"/>
    <row r="11" spans="1:20" s="128" customFormat="1" ht="25.9" hidden="1" customHeight="1" x14ac:dyDescent="0.25">
      <c r="A11" s="446" t="s">
        <v>312</v>
      </c>
      <c r="B11" s="446"/>
      <c r="C11" s="446"/>
      <c r="D11" s="446"/>
      <c r="E11" s="446"/>
      <c r="F11" s="446"/>
      <c r="G11" s="446"/>
      <c r="H11" s="446"/>
      <c r="I11" s="446"/>
      <c r="J11" s="446"/>
      <c r="K11" s="446"/>
      <c r="L11" s="446"/>
      <c r="N11" s="79"/>
      <c r="O11" s="79"/>
      <c r="P11" s="79"/>
      <c r="Q11" s="79"/>
      <c r="R11" s="79"/>
      <c r="S11" s="79"/>
      <c r="T11" s="79"/>
    </row>
    <row r="12" spans="1:20" s="165" customFormat="1" ht="18.75" x14ac:dyDescent="0.3">
      <c r="C12" s="163" t="s">
        <v>23</v>
      </c>
      <c r="D12" s="164" t="s">
        <v>128</v>
      </c>
      <c r="G12" s="164"/>
      <c r="J12" s="164"/>
    </row>
    <row r="13" spans="1:20" s="128" customFormat="1" ht="21.6" customHeight="1" x14ac:dyDescent="0.25">
      <c r="A13" s="462" t="s">
        <v>60</v>
      </c>
      <c r="B13" s="483" t="s">
        <v>26</v>
      </c>
      <c r="C13" s="483" t="s">
        <v>27</v>
      </c>
      <c r="D13" s="469" t="s">
        <v>144</v>
      </c>
      <c r="E13" s="470"/>
      <c r="F13" s="470"/>
      <c r="G13" s="470"/>
      <c r="H13" s="470"/>
      <c r="I13" s="470"/>
      <c r="J13" s="470"/>
      <c r="K13" s="470"/>
      <c r="L13" s="471"/>
      <c r="N13" s="79"/>
      <c r="O13" s="79"/>
      <c r="P13" s="79"/>
      <c r="Q13" s="79"/>
      <c r="R13" s="79"/>
      <c r="S13" s="79"/>
      <c r="T13" s="79"/>
    </row>
    <row r="14" spans="1:20" s="128" customFormat="1" ht="33" customHeight="1" x14ac:dyDescent="0.25">
      <c r="A14" s="463"/>
      <c r="B14" s="484"/>
      <c r="C14" s="484"/>
      <c r="D14" s="472" t="s">
        <v>41</v>
      </c>
      <c r="E14" s="473"/>
      <c r="F14" s="474"/>
      <c r="G14" s="472" t="s">
        <v>44</v>
      </c>
      <c r="H14" s="473"/>
      <c r="I14" s="474"/>
      <c r="J14" s="472" t="s">
        <v>72</v>
      </c>
      <c r="K14" s="473"/>
      <c r="L14" s="474"/>
      <c r="N14" s="79"/>
      <c r="O14" s="79"/>
      <c r="P14" s="79"/>
      <c r="Q14" s="79"/>
      <c r="R14" s="79"/>
      <c r="S14" s="79"/>
      <c r="T14" s="79"/>
    </row>
    <row r="15" spans="1:20" s="128" customFormat="1" ht="31.5" customHeight="1" x14ac:dyDescent="0.25">
      <c r="A15" s="463"/>
      <c r="B15" s="485"/>
      <c r="C15" s="485"/>
      <c r="D15" s="183" t="s">
        <v>26</v>
      </c>
      <c r="E15" s="183" t="s">
        <v>27</v>
      </c>
      <c r="F15" s="191" t="s">
        <v>37</v>
      </c>
      <c r="G15" s="183" t="s">
        <v>26</v>
      </c>
      <c r="H15" s="183" t="s">
        <v>27</v>
      </c>
      <c r="I15" s="191" t="s">
        <v>37</v>
      </c>
      <c r="J15" s="183" t="s">
        <v>26</v>
      </c>
      <c r="K15" s="183" t="s">
        <v>27</v>
      </c>
      <c r="L15" s="191" t="s">
        <v>37</v>
      </c>
      <c r="N15" s="79"/>
      <c r="O15" s="79"/>
      <c r="P15" s="79"/>
      <c r="Q15" s="79"/>
      <c r="R15" s="79"/>
      <c r="S15" s="79"/>
      <c r="T15" s="79"/>
    </row>
    <row r="16" spans="1:20" s="128" customFormat="1" ht="22.15" customHeight="1" x14ac:dyDescent="0.25">
      <c r="A16" s="463"/>
      <c r="B16" s="481" t="s">
        <v>25</v>
      </c>
      <c r="C16" s="482"/>
      <c r="D16" s="481" t="s">
        <v>153</v>
      </c>
      <c r="E16" s="482"/>
      <c r="F16" s="467" t="s">
        <v>154</v>
      </c>
      <c r="G16" s="481" t="s">
        <v>153</v>
      </c>
      <c r="H16" s="482"/>
      <c r="I16" s="467" t="s">
        <v>155</v>
      </c>
      <c r="J16" s="481" t="s">
        <v>153</v>
      </c>
      <c r="K16" s="482"/>
      <c r="L16" s="467" t="s">
        <v>156</v>
      </c>
      <c r="N16" s="79"/>
      <c r="O16" s="79"/>
      <c r="P16" s="79"/>
      <c r="Q16" s="79"/>
      <c r="R16" s="79"/>
      <c r="S16" s="79"/>
      <c r="T16" s="79"/>
    </row>
    <row r="17" spans="1:20" s="128" customFormat="1" ht="36" customHeight="1" x14ac:dyDescent="0.25">
      <c r="A17" s="464"/>
      <c r="B17" s="183">
        <v>1</v>
      </c>
      <c r="C17" s="183">
        <v>2</v>
      </c>
      <c r="D17" s="183">
        <v>3</v>
      </c>
      <c r="E17" s="183">
        <v>4</v>
      </c>
      <c r="F17" s="468"/>
      <c r="G17" s="183" t="s">
        <v>148</v>
      </c>
      <c r="H17" s="183" t="s">
        <v>147</v>
      </c>
      <c r="I17" s="468"/>
      <c r="J17" s="183" t="s">
        <v>149</v>
      </c>
      <c r="K17" s="183" t="s">
        <v>150</v>
      </c>
      <c r="L17" s="468"/>
      <c r="N17" s="79"/>
      <c r="O17" s="79"/>
      <c r="P17" s="79"/>
      <c r="Q17" s="79"/>
      <c r="R17" s="79"/>
      <c r="S17" s="79"/>
      <c r="T17" s="79"/>
    </row>
    <row r="18" spans="1:20" s="128" customFormat="1" ht="70.5" customHeight="1" x14ac:dyDescent="0.25">
      <c r="A18" s="83" t="s">
        <v>28</v>
      </c>
      <c r="B18" s="190">
        <v>80</v>
      </c>
      <c r="C18" s="190">
        <f t="shared" ref="C18:C23" si="0">B18*2</f>
        <v>160</v>
      </c>
      <c r="D18" s="84">
        <v>306</v>
      </c>
      <c r="E18" s="85">
        <v>545</v>
      </c>
      <c r="F18" s="86">
        <f>($B$18*D18+$C$18*E18)*12</f>
        <v>1340160</v>
      </c>
      <c r="G18" s="90">
        <f>D18*1.05</f>
        <v>321.3</v>
      </c>
      <c r="H18" s="134">
        <f>E18*1.05</f>
        <v>572.25</v>
      </c>
      <c r="I18" s="86">
        <f>($B$18*G18+$C$18*H18)*12</f>
        <v>1407168</v>
      </c>
      <c r="J18" s="90">
        <f>G18*1.05</f>
        <v>337.36500000000001</v>
      </c>
      <c r="K18" s="134">
        <f>H18*1.05</f>
        <v>600.86250000000007</v>
      </c>
      <c r="L18" s="86">
        <f>($B$18*J18+$C$18*K18)*12</f>
        <v>1477526.4000000001</v>
      </c>
      <c r="N18" s="79"/>
      <c r="O18" s="79"/>
      <c r="P18" s="79"/>
      <c r="Q18" s="79"/>
      <c r="R18" s="79"/>
      <c r="S18" s="79"/>
      <c r="T18" s="79"/>
    </row>
    <row r="19" spans="1:20" s="128" customFormat="1" ht="70.5" customHeight="1" x14ac:dyDescent="0.25">
      <c r="A19" s="83" t="s">
        <v>29</v>
      </c>
      <c r="B19" s="190">
        <v>60</v>
      </c>
      <c r="C19" s="190">
        <f t="shared" si="0"/>
        <v>120</v>
      </c>
      <c r="D19" s="84">
        <v>184</v>
      </c>
      <c r="E19" s="85">
        <v>326</v>
      </c>
      <c r="F19" s="86">
        <f>($B$19*D19+$C$19*E19)*12</f>
        <v>601920</v>
      </c>
      <c r="G19" s="90">
        <f t="shared" ref="G19:G23" si="1">D19*1.05</f>
        <v>193.20000000000002</v>
      </c>
      <c r="H19" s="134">
        <f t="shared" ref="H19:H23" si="2">E19*1.05</f>
        <v>342.3</v>
      </c>
      <c r="I19" s="86">
        <f>($B$19*G19+$C$19*H19)*12</f>
        <v>632016</v>
      </c>
      <c r="J19" s="90">
        <f t="shared" ref="J19:J23" si="3">G19*1.05</f>
        <v>202.86</v>
      </c>
      <c r="K19" s="134">
        <f t="shared" ref="K19:K23" si="4">H19*1.05</f>
        <v>359.41500000000002</v>
      </c>
      <c r="L19" s="86">
        <f>($B$19*J19+$C$19*K19)*12</f>
        <v>663616.80000000005</v>
      </c>
      <c r="N19" s="79"/>
      <c r="O19" s="79"/>
      <c r="P19" s="79"/>
      <c r="Q19" s="79"/>
      <c r="R19" s="79"/>
      <c r="S19" s="79"/>
      <c r="T19" s="79"/>
    </row>
    <row r="20" spans="1:20" s="128" customFormat="1" ht="70.5" customHeight="1" x14ac:dyDescent="0.25">
      <c r="A20" s="83" t="s">
        <v>30</v>
      </c>
      <c r="B20" s="190">
        <v>40</v>
      </c>
      <c r="C20" s="190">
        <f t="shared" si="0"/>
        <v>80</v>
      </c>
      <c r="D20" s="84">
        <v>214</v>
      </c>
      <c r="E20" s="85">
        <v>381</v>
      </c>
      <c r="F20" s="86">
        <f>($B$20*D20+$C$20*E20)*12</f>
        <v>468480</v>
      </c>
      <c r="G20" s="90">
        <f t="shared" si="1"/>
        <v>224.70000000000002</v>
      </c>
      <c r="H20" s="134">
        <f t="shared" si="2"/>
        <v>400.05</v>
      </c>
      <c r="I20" s="86">
        <f>($B$20*G20+$C$20*H20)*12</f>
        <v>491904</v>
      </c>
      <c r="J20" s="90">
        <f t="shared" si="3"/>
        <v>235.93500000000003</v>
      </c>
      <c r="K20" s="134">
        <f t="shared" si="4"/>
        <v>420.05250000000001</v>
      </c>
      <c r="L20" s="86">
        <f>($B$20*J20+$C$20*K20)*12</f>
        <v>516499.19999999995</v>
      </c>
      <c r="N20" s="79"/>
      <c r="O20" s="79"/>
      <c r="P20" s="79"/>
      <c r="Q20" s="79"/>
      <c r="R20" s="79"/>
      <c r="S20" s="79"/>
      <c r="T20" s="79"/>
    </row>
    <row r="21" spans="1:20" ht="70.5" customHeight="1" x14ac:dyDescent="0.25">
      <c r="A21" s="83" t="s">
        <v>31</v>
      </c>
      <c r="B21" s="190">
        <v>40</v>
      </c>
      <c r="C21" s="190">
        <f t="shared" si="0"/>
        <v>80</v>
      </c>
      <c r="D21" s="84">
        <v>306</v>
      </c>
      <c r="E21" s="85">
        <v>545</v>
      </c>
      <c r="F21" s="86">
        <f>($B$21*D21+$C$21*E21)*12</f>
        <v>670080</v>
      </c>
      <c r="G21" s="90">
        <f t="shared" si="1"/>
        <v>321.3</v>
      </c>
      <c r="H21" s="134">
        <f t="shared" si="2"/>
        <v>572.25</v>
      </c>
      <c r="I21" s="86">
        <f>($B$21*G21+$C$21*H21)*12</f>
        <v>703584</v>
      </c>
      <c r="J21" s="90">
        <f t="shared" si="3"/>
        <v>337.36500000000001</v>
      </c>
      <c r="K21" s="134">
        <f t="shared" si="4"/>
        <v>600.86250000000007</v>
      </c>
      <c r="L21" s="86">
        <f>($B$21*J21+$C$21*K21)*12</f>
        <v>738763.20000000007</v>
      </c>
    </row>
    <row r="22" spans="1:20" ht="123" customHeight="1" x14ac:dyDescent="0.25">
      <c r="A22" s="83" t="s">
        <v>32</v>
      </c>
      <c r="B22" s="190">
        <v>40</v>
      </c>
      <c r="C22" s="190">
        <f t="shared" si="0"/>
        <v>80</v>
      </c>
      <c r="D22" s="84">
        <v>643</v>
      </c>
      <c r="E22" s="85">
        <v>1143</v>
      </c>
      <c r="F22" s="86">
        <f>($B$22*D22+$C$22*E22)*12</f>
        <v>1405920</v>
      </c>
      <c r="G22" s="90">
        <f t="shared" si="1"/>
        <v>675.15</v>
      </c>
      <c r="H22" s="134">
        <f t="shared" si="2"/>
        <v>1200.1500000000001</v>
      </c>
      <c r="I22" s="86">
        <f>($B$22*G22+$C$22*H22)*12</f>
        <v>1476216</v>
      </c>
      <c r="J22" s="90">
        <f t="shared" si="3"/>
        <v>708.90750000000003</v>
      </c>
      <c r="K22" s="134">
        <f t="shared" si="4"/>
        <v>1260.1575000000003</v>
      </c>
      <c r="L22" s="86">
        <f>($B$22*J22+$C$22*K22)*12</f>
        <v>1550026.8000000003</v>
      </c>
    </row>
    <row r="23" spans="1:20" ht="70.5" customHeight="1" x14ac:dyDescent="0.25">
      <c r="A23" s="83" t="s">
        <v>33</v>
      </c>
      <c r="B23" s="190">
        <v>15</v>
      </c>
      <c r="C23" s="190">
        <f t="shared" si="0"/>
        <v>30</v>
      </c>
      <c r="D23" s="84">
        <v>1409</v>
      </c>
      <c r="E23" s="85">
        <v>2504</v>
      </c>
      <c r="F23" s="86">
        <f>($B$23*D23+$C$23*E23)*12</f>
        <v>1155060</v>
      </c>
      <c r="G23" s="90">
        <f t="shared" si="1"/>
        <v>1479.45</v>
      </c>
      <c r="H23" s="134">
        <f t="shared" si="2"/>
        <v>2629.2000000000003</v>
      </c>
      <c r="I23" s="86">
        <f>($B$23*G23+$C$23*H23)*12</f>
        <v>1212813.0000000002</v>
      </c>
      <c r="J23" s="90">
        <f t="shared" si="3"/>
        <v>1553.4225000000001</v>
      </c>
      <c r="K23" s="134">
        <f t="shared" si="4"/>
        <v>2760.6600000000003</v>
      </c>
      <c r="L23" s="86">
        <f>($B$23*J23+$C$23*K23)*12</f>
        <v>1273453.6500000001</v>
      </c>
    </row>
    <row r="24" spans="1:20" ht="42" customHeight="1" x14ac:dyDescent="0.25">
      <c r="A24" s="184" t="s">
        <v>34</v>
      </c>
      <c r="B24" s="478"/>
      <c r="C24" s="478"/>
      <c r="D24" s="478">
        <f>D18+D19+D20+D21+D22+D23+E18+E19+E20+E21+E22+E23</f>
        <v>8506</v>
      </c>
      <c r="E24" s="478"/>
      <c r="F24" s="59">
        <f>SUM(F18:F23)</f>
        <v>5641620</v>
      </c>
      <c r="G24" s="478">
        <f>G18+G19+G20+G21+G22+G23+H18+H19+H20+H21+H22+H23</f>
        <v>8931.3000000000011</v>
      </c>
      <c r="H24" s="478"/>
      <c r="I24" s="59">
        <f>SUM(I18:I23)</f>
        <v>5923701</v>
      </c>
      <c r="J24" s="478">
        <f>J18+J19+J20+J21+J22+J23+K18+K19+K20+K21+K22+K23</f>
        <v>9377.8650000000016</v>
      </c>
      <c r="K24" s="478"/>
      <c r="L24" s="59">
        <f>SUM(L18:L23)</f>
        <v>6219886.0500000007</v>
      </c>
      <c r="M24" s="135"/>
    </row>
    <row r="25" spans="1:20" ht="19.899999999999999" customHeight="1" x14ac:dyDescent="0.25">
      <c r="A25" s="479" t="s">
        <v>151</v>
      </c>
      <c r="B25" s="479"/>
      <c r="C25" s="479"/>
      <c r="D25" s="479"/>
      <c r="E25" s="479"/>
      <c r="F25" s="187">
        <f>'1.4.'!G9</f>
        <v>4.7302071942446036</v>
      </c>
      <c r="G25" s="479" t="str">
        <f>A25</f>
        <v>Pakalpojuma cena/1h</v>
      </c>
      <c r="H25" s="479"/>
      <c r="I25" s="187">
        <f>F25</f>
        <v>4.7302071942446036</v>
      </c>
      <c r="J25" s="479" t="str">
        <f>G25</f>
        <v>Pakalpojuma cena/1h</v>
      </c>
      <c r="K25" s="479"/>
      <c r="L25" s="187">
        <f>I25</f>
        <v>4.7302071942446036</v>
      </c>
    </row>
    <row r="26" spans="1:20" ht="25.9" customHeight="1" x14ac:dyDescent="0.25">
      <c r="A26" s="475" t="s">
        <v>145</v>
      </c>
      <c r="B26" s="476"/>
      <c r="C26" s="476"/>
      <c r="D26" s="476"/>
      <c r="E26" s="477"/>
      <c r="F26" s="188">
        <f>F24*F25/1.05</f>
        <v>25415268.105899274</v>
      </c>
      <c r="G26" s="466"/>
      <c r="H26" s="466"/>
      <c r="I26" s="188">
        <f>I24*I25/1.05</f>
        <v>26686031.51119424</v>
      </c>
      <c r="J26" s="466"/>
      <c r="K26" s="466"/>
      <c r="L26" s="188">
        <f>L24*L25/1.05</f>
        <v>28020333.086753953</v>
      </c>
      <c r="M26" s="136"/>
    </row>
    <row r="27" spans="1:20" ht="25.9" customHeight="1" x14ac:dyDescent="0.25">
      <c r="A27" s="466" t="s">
        <v>237</v>
      </c>
      <c r="B27" s="466"/>
      <c r="C27" s="466"/>
      <c r="D27" s="466"/>
      <c r="E27" s="466"/>
      <c r="F27" s="188">
        <v>323459.24762368342</v>
      </c>
      <c r="G27" s="466"/>
      <c r="H27" s="466"/>
      <c r="I27" s="188">
        <v>339632.21000486764</v>
      </c>
      <c r="J27" s="466"/>
      <c r="K27" s="466"/>
      <c r="L27" s="188">
        <v>356613.82050511101</v>
      </c>
    </row>
    <row r="28" spans="1:20" ht="25.9" customHeight="1" x14ac:dyDescent="0.25">
      <c r="A28" s="466" t="s">
        <v>43</v>
      </c>
      <c r="B28" s="466"/>
      <c r="C28" s="466"/>
      <c r="D28" s="466"/>
      <c r="E28" s="466"/>
      <c r="F28" s="188">
        <f>(F26+F27)*0.05</f>
        <v>1286936.367676148</v>
      </c>
      <c r="G28" s="466"/>
      <c r="H28" s="466"/>
      <c r="I28" s="188">
        <f>(I26+I27)*0.05</f>
        <v>1351283.1860599555</v>
      </c>
      <c r="J28" s="466"/>
      <c r="K28" s="466"/>
      <c r="L28" s="188">
        <f>(L26+L27)*0.05</f>
        <v>1418847.3453629534</v>
      </c>
    </row>
    <row r="29" spans="1:20" ht="25.9" customHeight="1" x14ac:dyDescent="0.25">
      <c r="A29" s="465" t="s">
        <v>36</v>
      </c>
      <c r="B29" s="465"/>
      <c r="C29" s="465"/>
      <c r="D29" s="465"/>
      <c r="E29" s="465"/>
      <c r="F29" s="189">
        <f>F26+F27+F28</f>
        <v>27025663.721199103</v>
      </c>
      <c r="G29" s="465"/>
      <c r="H29" s="465"/>
      <c r="I29" s="189">
        <f>I26+I27+I28</f>
        <v>28376946.907259062</v>
      </c>
      <c r="J29" s="465"/>
      <c r="K29" s="465"/>
      <c r="L29" s="189">
        <f>L26+L27+L28</f>
        <v>29795794.252622019</v>
      </c>
    </row>
    <row r="32" spans="1:20" s="128" customFormat="1" ht="25.9" hidden="1" customHeight="1" x14ac:dyDescent="0.25">
      <c r="A32" s="446" t="s">
        <v>157</v>
      </c>
      <c r="B32" s="446"/>
      <c r="C32" s="446"/>
      <c r="D32" s="446"/>
      <c r="E32" s="446"/>
      <c r="F32" s="446"/>
      <c r="G32" s="446"/>
      <c r="H32" s="446"/>
      <c r="I32" s="446"/>
      <c r="J32" s="446"/>
      <c r="K32" s="446"/>
      <c r="L32" s="446"/>
      <c r="N32" s="79"/>
      <c r="O32" s="79"/>
      <c r="P32" s="79"/>
      <c r="Q32" s="79"/>
      <c r="R32" s="79"/>
      <c r="S32" s="79"/>
      <c r="T32" s="79"/>
    </row>
    <row r="33" spans="1:20" s="165" customFormat="1" ht="18.75" hidden="1" x14ac:dyDescent="0.3">
      <c r="C33" s="163" t="s">
        <v>23</v>
      </c>
      <c r="D33" s="164" t="s">
        <v>129</v>
      </c>
      <c r="G33" s="164"/>
      <c r="J33" s="164"/>
    </row>
    <row r="34" spans="1:20" s="128" customFormat="1" ht="21.6" hidden="1" customHeight="1" x14ac:dyDescent="0.25">
      <c r="A34" s="462" t="s">
        <v>60</v>
      </c>
      <c r="B34" s="483" t="s">
        <v>26</v>
      </c>
      <c r="C34" s="483" t="s">
        <v>27</v>
      </c>
      <c r="D34" s="469" t="s">
        <v>158</v>
      </c>
      <c r="E34" s="470"/>
      <c r="F34" s="470"/>
      <c r="G34" s="470"/>
      <c r="H34" s="470"/>
      <c r="I34" s="470"/>
      <c r="J34" s="470"/>
      <c r="K34" s="470"/>
      <c r="L34" s="471"/>
      <c r="N34" s="79"/>
      <c r="O34" s="79"/>
      <c r="P34" s="79"/>
      <c r="Q34" s="79"/>
      <c r="R34" s="79"/>
      <c r="S34" s="79"/>
      <c r="T34" s="79"/>
    </row>
    <row r="35" spans="1:20" s="128" customFormat="1" ht="33" hidden="1" customHeight="1" x14ac:dyDescent="0.25">
      <c r="A35" s="463"/>
      <c r="B35" s="484"/>
      <c r="C35" s="484"/>
      <c r="D35" s="472" t="s">
        <v>41</v>
      </c>
      <c r="E35" s="473"/>
      <c r="F35" s="474"/>
      <c r="G35" s="472" t="s">
        <v>44</v>
      </c>
      <c r="H35" s="473"/>
      <c r="I35" s="474"/>
      <c r="J35" s="472" t="s">
        <v>72</v>
      </c>
      <c r="K35" s="473"/>
      <c r="L35" s="474"/>
      <c r="N35" s="79"/>
      <c r="O35" s="79"/>
      <c r="P35" s="79"/>
      <c r="Q35" s="79"/>
      <c r="R35" s="79"/>
      <c r="S35" s="79"/>
      <c r="T35" s="79"/>
    </row>
    <row r="36" spans="1:20" s="128" customFormat="1" ht="25.5" hidden="1" customHeight="1" x14ac:dyDescent="0.25">
      <c r="A36" s="463"/>
      <c r="B36" s="485"/>
      <c r="C36" s="485"/>
      <c r="D36" s="183" t="s">
        <v>26</v>
      </c>
      <c r="E36" s="183" t="s">
        <v>27</v>
      </c>
      <c r="F36" s="191" t="s">
        <v>37</v>
      </c>
      <c r="G36" s="183" t="s">
        <v>26</v>
      </c>
      <c r="H36" s="183" t="s">
        <v>27</v>
      </c>
      <c r="I36" s="191" t="s">
        <v>37</v>
      </c>
      <c r="J36" s="183" t="s">
        <v>26</v>
      </c>
      <c r="K36" s="183" t="s">
        <v>27</v>
      </c>
      <c r="L36" s="191" t="s">
        <v>37</v>
      </c>
      <c r="N36" s="79"/>
      <c r="O36" s="79"/>
      <c r="P36" s="79"/>
      <c r="Q36" s="79"/>
      <c r="R36" s="79"/>
      <c r="S36" s="79"/>
      <c r="T36" s="79"/>
    </row>
    <row r="37" spans="1:20" s="128" customFormat="1" ht="22.15" hidden="1" customHeight="1" x14ac:dyDescent="0.25">
      <c r="A37" s="463"/>
      <c r="B37" s="481" t="s">
        <v>25</v>
      </c>
      <c r="C37" s="482"/>
      <c r="D37" s="481" t="s">
        <v>153</v>
      </c>
      <c r="E37" s="482"/>
      <c r="F37" s="467" t="s">
        <v>154</v>
      </c>
      <c r="G37" s="481" t="s">
        <v>153</v>
      </c>
      <c r="H37" s="482"/>
      <c r="I37" s="467" t="s">
        <v>155</v>
      </c>
      <c r="J37" s="481" t="s">
        <v>153</v>
      </c>
      <c r="K37" s="482"/>
      <c r="L37" s="467" t="s">
        <v>156</v>
      </c>
      <c r="N37" s="79"/>
      <c r="O37" s="79"/>
      <c r="P37" s="79"/>
      <c r="Q37" s="79"/>
      <c r="R37" s="79"/>
      <c r="S37" s="79"/>
      <c r="T37" s="79"/>
    </row>
    <row r="38" spans="1:20" s="128" customFormat="1" hidden="1" x14ac:dyDescent="0.25">
      <c r="A38" s="464"/>
      <c r="B38" s="183">
        <v>1</v>
      </c>
      <c r="C38" s="183">
        <v>2</v>
      </c>
      <c r="D38" s="183">
        <v>3</v>
      </c>
      <c r="E38" s="183">
        <v>4</v>
      </c>
      <c r="F38" s="468"/>
      <c r="G38" s="183" t="s">
        <v>148</v>
      </c>
      <c r="H38" s="183" t="s">
        <v>147</v>
      </c>
      <c r="I38" s="468"/>
      <c r="J38" s="183" t="s">
        <v>149</v>
      </c>
      <c r="K38" s="183" t="s">
        <v>150</v>
      </c>
      <c r="L38" s="468"/>
      <c r="N38" s="79"/>
      <c r="O38" s="79"/>
      <c r="P38" s="79"/>
      <c r="Q38" s="79"/>
      <c r="R38" s="79"/>
      <c r="S38" s="79"/>
      <c r="T38" s="79"/>
    </row>
    <row r="39" spans="1:20" s="128" customFormat="1" ht="57" hidden="1" customHeight="1" x14ac:dyDescent="0.25">
      <c r="A39" s="83" t="s">
        <v>28</v>
      </c>
      <c r="B39" s="190">
        <v>80</v>
      </c>
      <c r="C39" s="190">
        <f t="shared" ref="C39:C44" si="5">B39*2</f>
        <v>160</v>
      </c>
      <c r="D39" s="84">
        <v>306</v>
      </c>
      <c r="E39" s="85">
        <v>545</v>
      </c>
      <c r="F39" s="86">
        <f>($B$39*D39+$C$39*E39)*12</f>
        <v>1340160</v>
      </c>
      <c r="G39" s="90">
        <f>D39*1.05</f>
        <v>321.3</v>
      </c>
      <c r="H39" s="134">
        <f>E39*1.05</f>
        <v>572.25</v>
      </c>
      <c r="I39" s="86">
        <f>($B$39*G39+$C$39*H39)*12</f>
        <v>1407168</v>
      </c>
      <c r="J39" s="90">
        <f>G39*1.05</f>
        <v>337.36500000000001</v>
      </c>
      <c r="K39" s="134">
        <f>H39*1.05</f>
        <v>600.86250000000007</v>
      </c>
      <c r="L39" s="86">
        <f>($B$39*J39+$C$39*K39)*12</f>
        <v>1477526.4000000001</v>
      </c>
      <c r="N39" s="79"/>
      <c r="O39" s="79"/>
      <c r="P39" s="79"/>
      <c r="Q39" s="79"/>
      <c r="R39" s="79"/>
      <c r="S39" s="79"/>
      <c r="T39" s="79"/>
    </row>
    <row r="40" spans="1:20" s="128" customFormat="1" ht="52.15" hidden="1" customHeight="1" x14ac:dyDescent="0.25">
      <c r="A40" s="83" t="s">
        <v>29</v>
      </c>
      <c r="B40" s="190">
        <v>60</v>
      </c>
      <c r="C40" s="190">
        <f t="shared" si="5"/>
        <v>120</v>
      </c>
      <c r="D40" s="84">
        <v>184</v>
      </c>
      <c r="E40" s="85">
        <v>326</v>
      </c>
      <c r="F40" s="86">
        <f>($B$40*D40+$C$40*E40)*12</f>
        <v>601920</v>
      </c>
      <c r="G40" s="90">
        <f t="shared" ref="G40:G44" si="6">D40*1.05</f>
        <v>193.20000000000002</v>
      </c>
      <c r="H40" s="134">
        <f t="shared" ref="H40:H44" si="7">E40*1.05</f>
        <v>342.3</v>
      </c>
      <c r="I40" s="86">
        <f>($B$40*G40+$C$40*H40)*12</f>
        <v>632016</v>
      </c>
      <c r="J40" s="90">
        <f t="shared" ref="J40:J44" si="8">G40*1.05</f>
        <v>202.86</v>
      </c>
      <c r="K40" s="134">
        <f t="shared" ref="K40:K44" si="9">H40*1.05</f>
        <v>359.41500000000002</v>
      </c>
      <c r="L40" s="86">
        <f>($B$40*J40+$C$40*K40)*12</f>
        <v>663616.80000000005</v>
      </c>
      <c r="N40" s="79"/>
      <c r="O40" s="79"/>
      <c r="P40" s="79"/>
      <c r="Q40" s="79"/>
      <c r="R40" s="79"/>
      <c r="S40" s="79"/>
      <c r="T40" s="79"/>
    </row>
    <row r="41" spans="1:20" s="128" customFormat="1" ht="36" hidden="1" customHeight="1" x14ac:dyDescent="0.25">
      <c r="A41" s="83" t="s">
        <v>30</v>
      </c>
      <c r="B41" s="190">
        <v>40</v>
      </c>
      <c r="C41" s="190">
        <f t="shared" si="5"/>
        <v>80</v>
      </c>
      <c r="D41" s="84">
        <v>214</v>
      </c>
      <c r="E41" s="85">
        <v>381</v>
      </c>
      <c r="F41" s="86">
        <f>($B$41*D41+$C$41*E41)*12</f>
        <v>468480</v>
      </c>
      <c r="G41" s="90">
        <f t="shared" si="6"/>
        <v>224.70000000000002</v>
      </c>
      <c r="H41" s="134">
        <f t="shared" si="7"/>
        <v>400.05</v>
      </c>
      <c r="I41" s="86">
        <f>($B$41*G41+$C$41*H41)*12</f>
        <v>491904</v>
      </c>
      <c r="J41" s="90">
        <f t="shared" si="8"/>
        <v>235.93500000000003</v>
      </c>
      <c r="K41" s="134">
        <f t="shared" si="9"/>
        <v>420.05250000000001</v>
      </c>
      <c r="L41" s="86">
        <f>($B$41*J41+$C$41*K41)*12</f>
        <v>516499.19999999995</v>
      </c>
      <c r="N41" s="79"/>
      <c r="O41" s="79"/>
      <c r="P41" s="79"/>
      <c r="Q41" s="79"/>
      <c r="R41" s="79"/>
      <c r="S41" s="79"/>
      <c r="T41" s="79"/>
    </row>
    <row r="42" spans="1:20" ht="38.450000000000003" hidden="1" customHeight="1" x14ac:dyDescent="0.25">
      <c r="A42" s="83" t="s">
        <v>31</v>
      </c>
      <c r="B42" s="190">
        <v>40</v>
      </c>
      <c r="C42" s="190">
        <f t="shared" si="5"/>
        <v>80</v>
      </c>
      <c r="D42" s="84">
        <v>306</v>
      </c>
      <c r="E42" s="85">
        <v>545</v>
      </c>
      <c r="F42" s="86">
        <f>($B$42*D42+$C$42*E42)*12</f>
        <v>670080</v>
      </c>
      <c r="G42" s="90">
        <f t="shared" si="6"/>
        <v>321.3</v>
      </c>
      <c r="H42" s="134">
        <f t="shared" si="7"/>
        <v>572.25</v>
      </c>
      <c r="I42" s="86">
        <f>($B$42*G42+$C$42*H42)*12</f>
        <v>703584</v>
      </c>
      <c r="J42" s="90">
        <f t="shared" si="8"/>
        <v>337.36500000000001</v>
      </c>
      <c r="K42" s="134">
        <f t="shared" si="9"/>
        <v>600.86250000000007</v>
      </c>
      <c r="L42" s="86">
        <f>($B$42*J42+$C$42*K42)*12</f>
        <v>738763.20000000007</v>
      </c>
    </row>
    <row r="43" spans="1:20" ht="85.15" hidden="1" customHeight="1" x14ac:dyDescent="0.25">
      <c r="A43" s="83" t="s">
        <v>32</v>
      </c>
      <c r="B43" s="190">
        <v>40</v>
      </c>
      <c r="C43" s="190">
        <f t="shared" si="5"/>
        <v>80</v>
      </c>
      <c r="D43" s="84">
        <v>643</v>
      </c>
      <c r="E43" s="85">
        <v>1143</v>
      </c>
      <c r="F43" s="86">
        <f>($B$43*D43+$C$43*E43)*12</f>
        <v>1405920</v>
      </c>
      <c r="G43" s="90">
        <f t="shared" si="6"/>
        <v>675.15</v>
      </c>
      <c r="H43" s="134">
        <f t="shared" si="7"/>
        <v>1200.1500000000001</v>
      </c>
      <c r="I43" s="86">
        <f>($B$43*G43+$C$43*H43)*12</f>
        <v>1476216</v>
      </c>
      <c r="J43" s="90">
        <f t="shared" si="8"/>
        <v>708.90750000000003</v>
      </c>
      <c r="K43" s="134">
        <f t="shared" si="9"/>
        <v>1260.1575000000003</v>
      </c>
      <c r="L43" s="86">
        <f>($B$43*J43+$C$43*K43)*12</f>
        <v>1550026.8000000003</v>
      </c>
    </row>
    <row r="44" spans="1:20" ht="36" hidden="1" customHeight="1" x14ac:dyDescent="0.25">
      <c r="A44" s="83" t="s">
        <v>33</v>
      </c>
      <c r="B44" s="190">
        <v>15</v>
      </c>
      <c r="C44" s="190">
        <f t="shared" si="5"/>
        <v>30</v>
      </c>
      <c r="D44" s="84">
        <v>1409</v>
      </c>
      <c r="E44" s="85">
        <v>2504</v>
      </c>
      <c r="F44" s="86">
        <f>($B$44*D44+$C$44*E44)*12</f>
        <v>1155060</v>
      </c>
      <c r="G44" s="90">
        <f t="shared" si="6"/>
        <v>1479.45</v>
      </c>
      <c r="H44" s="134">
        <f t="shared" si="7"/>
        <v>2629.2000000000003</v>
      </c>
      <c r="I44" s="86">
        <f>($B$44*G44+$C$44*H44)*12</f>
        <v>1212813.0000000002</v>
      </c>
      <c r="J44" s="90">
        <f t="shared" si="8"/>
        <v>1553.4225000000001</v>
      </c>
      <c r="K44" s="134">
        <f t="shared" si="9"/>
        <v>2760.6600000000003</v>
      </c>
      <c r="L44" s="86">
        <f>($B$44*J44+$C$44*K44)*12</f>
        <v>1273453.6500000001</v>
      </c>
    </row>
    <row r="45" spans="1:20" ht="36" hidden="1" customHeight="1" x14ac:dyDescent="0.25">
      <c r="A45" s="184" t="s">
        <v>34</v>
      </c>
      <c r="B45" s="478"/>
      <c r="C45" s="478"/>
      <c r="D45" s="478">
        <f>D39+D40+D41+D42+D43+D44+E39+E40+E41+E42+E43+E44</f>
        <v>8506</v>
      </c>
      <c r="E45" s="478"/>
      <c r="F45" s="59">
        <f>SUM(F39:F44)</f>
        <v>5641620</v>
      </c>
      <c r="G45" s="478">
        <f>G39+G40+G41+G42+G43+G44+H39+H40+H41+H42+H43+H44</f>
        <v>8931.3000000000011</v>
      </c>
      <c r="H45" s="478"/>
      <c r="I45" s="59">
        <f>SUM(I39:I44)</f>
        <v>5923701</v>
      </c>
      <c r="J45" s="478">
        <f>J39+J40+J41+J42+J43+J44+K39+K40+K41+K42+K43+K44</f>
        <v>9377.8650000000016</v>
      </c>
      <c r="K45" s="478"/>
      <c r="L45" s="59">
        <f>SUM(L39:L44)</f>
        <v>6219886.0500000007</v>
      </c>
      <c r="M45" s="135"/>
    </row>
    <row r="46" spans="1:20" ht="19.899999999999999" hidden="1" customHeight="1" x14ac:dyDescent="0.25">
      <c r="A46" s="479" t="s">
        <v>151</v>
      </c>
      <c r="B46" s="479"/>
      <c r="C46" s="479"/>
      <c r="D46" s="479"/>
      <c r="E46" s="479"/>
      <c r="F46" s="187" t="e">
        <f>#REF!</f>
        <v>#REF!</v>
      </c>
      <c r="G46" s="479" t="str">
        <f>A46</f>
        <v>Pakalpojuma cena/1h</v>
      </c>
      <c r="H46" s="479"/>
      <c r="I46" s="187" t="e">
        <f>F46</f>
        <v>#REF!</v>
      </c>
      <c r="J46" s="479" t="str">
        <f>G46</f>
        <v>Pakalpojuma cena/1h</v>
      </c>
      <c r="K46" s="479"/>
      <c r="L46" s="187" t="e">
        <f>I46</f>
        <v>#REF!</v>
      </c>
    </row>
    <row r="47" spans="1:20" ht="22.9" hidden="1" customHeight="1" x14ac:dyDescent="0.25">
      <c r="A47" s="475" t="s">
        <v>145</v>
      </c>
      <c r="B47" s="476"/>
      <c r="C47" s="476"/>
      <c r="D47" s="476"/>
      <c r="E47" s="477"/>
      <c r="F47" s="188" t="e">
        <f>F45*F46/1.05</f>
        <v>#REF!</v>
      </c>
      <c r="G47" s="466"/>
      <c r="H47" s="466"/>
      <c r="I47" s="188" t="e">
        <f>I45*I46/1.05</f>
        <v>#REF!</v>
      </c>
      <c r="J47" s="466"/>
      <c r="K47" s="466"/>
      <c r="L47" s="188" t="e">
        <f>L45*L46/1.05</f>
        <v>#REF!</v>
      </c>
      <c r="M47" s="136"/>
    </row>
    <row r="48" spans="1:20" ht="22.9" hidden="1" customHeight="1" x14ac:dyDescent="0.25">
      <c r="A48" s="466" t="s">
        <v>56</v>
      </c>
      <c r="B48" s="466"/>
      <c r="C48" s="466"/>
      <c r="D48" s="466"/>
      <c r="E48" s="466"/>
      <c r="F48" s="188">
        <f>F27</f>
        <v>323459.24762368342</v>
      </c>
      <c r="G48" s="466"/>
      <c r="H48" s="466"/>
      <c r="I48" s="188">
        <f>I27</f>
        <v>339632.21000486764</v>
      </c>
      <c r="J48" s="466"/>
      <c r="K48" s="466"/>
      <c r="L48" s="188">
        <f>L27</f>
        <v>356613.82050511101</v>
      </c>
    </row>
    <row r="49" spans="1:12" ht="22.9" hidden="1" customHeight="1" x14ac:dyDescent="0.25">
      <c r="A49" s="466" t="s">
        <v>43</v>
      </c>
      <c r="B49" s="466"/>
      <c r="C49" s="466"/>
      <c r="D49" s="466"/>
      <c r="E49" s="466"/>
      <c r="F49" s="188" t="e">
        <f>(F47+F48)*0.05</f>
        <v>#REF!</v>
      </c>
      <c r="G49" s="466"/>
      <c r="H49" s="466"/>
      <c r="I49" s="188" t="e">
        <f>(I47+I48)*0.05</f>
        <v>#REF!</v>
      </c>
      <c r="J49" s="466"/>
      <c r="K49" s="466"/>
      <c r="L49" s="188" t="e">
        <f>(L47+L48)*0.05</f>
        <v>#REF!</v>
      </c>
    </row>
    <row r="50" spans="1:12" ht="22.9" hidden="1" customHeight="1" x14ac:dyDescent="0.25">
      <c r="A50" s="465" t="s">
        <v>36</v>
      </c>
      <c r="B50" s="465"/>
      <c r="C50" s="465"/>
      <c r="D50" s="465"/>
      <c r="E50" s="465"/>
      <c r="F50" s="189" t="e">
        <f>F47+F48+F49</f>
        <v>#REF!</v>
      </c>
      <c r="G50" s="465"/>
      <c r="H50" s="465"/>
      <c r="I50" s="189" t="e">
        <f>I47+I48+I49</f>
        <v>#REF!</v>
      </c>
      <c r="J50" s="465"/>
      <c r="K50" s="465"/>
      <c r="L50" s="189" t="e">
        <f>L47+L48+L49</f>
        <v>#REF!</v>
      </c>
    </row>
    <row r="51" spans="1:12" hidden="1" x14ac:dyDescent="0.25"/>
    <row r="52" spans="1:12" ht="15" customHeight="1" x14ac:dyDescent="0.25">
      <c r="A52" s="424" t="s">
        <v>306</v>
      </c>
      <c r="B52" s="424"/>
      <c r="C52" s="424"/>
      <c r="D52" s="424"/>
      <c r="E52" s="424"/>
    </row>
    <row r="53" spans="1:12" x14ac:dyDescent="0.25">
      <c r="A53" s="424"/>
      <c r="B53" s="424"/>
      <c r="C53" s="424"/>
      <c r="D53" s="424"/>
      <c r="E53" s="424"/>
    </row>
    <row r="54" spans="1:12" x14ac:dyDescent="0.25">
      <c r="A54" s="424"/>
      <c r="B54" s="424"/>
      <c r="C54" s="424"/>
      <c r="D54" s="424"/>
      <c r="E54" s="424"/>
    </row>
    <row r="55" spans="1:12" x14ac:dyDescent="0.25">
      <c r="A55" s="424"/>
      <c r="B55" s="424"/>
      <c r="C55" s="424"/>
      <c r="D55" s="424"/>
      <c r="E55" s="424"/>
    </row>
    <row r="56" spans="1:12" x14ac:dyDescent="0.25">
      <c r="A56" s="424"/>
      <c r="B56" s="424"/>
      <c r="C56" s="424"/>
      <c r="D56" s="424"/>
      <c r="E56" s="424"/>
    </row>
    <row r="57" spans="1:12" x14ac:dyDescent="0.25">
      <c r="A57" s="424"/>
      <c r="B57" s="424"/>
      <c r="C57" s="424"/>
      <c r="D57" s="424"/>
      <c r="E57" s="424"/>
    </row>
  </sheetData>
  <mergeCells count="71">
    <mergeCell ref="F37:F38"/>
    <mergeCell ref="G37:H37"/>
    <mergeCell ref="I37:I38"/>
    <mergeCell ref="J46:K46"/>
    <mergeCell ref="J14:L14"/>
    <mergeCell ref="L16:L17"/>
    <mergeCell ref="A11:L11"/>
    <mergeCell ref="A6:L6"/>
    <mergeCell ref="D13:L13"/>
    <mergeCell ref="A13:A17"/>
    <mergeCell ref="D14:F14"/>
    <mergeCell ref="G14:I14"/>
    <mergeCell ref="G16:H16"/>
    <mergeCell ref="I16:I17"/>
    <mergeCell ref="B16:C16"/>
    <mergeCell ref="D16:E16"/>
    <mergeCell ref="B13:B15"/>
    <mergeCell ref="C13:C15"/>
    <mergeCell ref="J16:K16"/>
    <mergeCell ref="F16:F17"/>
    <mergeCell ref="B24:C24"/>
    <mergeCell ref="A25:E25"/>
    <mergeCell ref="G25:H25"/>
    <mergeCell ref="J25:K25"/>
    <mergeCell ref="A26:E26"/>
    <mergeCell ref="G26:H26"/>
    <mergeCell ref="J26:K26"/>
    <mergeCell ref="D24:E24"/>
    <mergeCell ref="G24:H24"/>
    <mergeCell ref="J24:K24"/>
    <mergeCell ref="A50:E50"/>
    <mergeCell ref="G50:H50"/>
    <mergeCell ref="J50:K50"/>
    <mergeCell ref="A48:E48"/>
    <mergeCell ref="G48:H48"/>
    <mergeCell ref="J48:K48"/>
    <mergeCell ref="A49:E49"/>
    <mergeCell ref="G49:H49"/>
    <mergeCell ref="J49:K49"/>
    <mergeCell ref="G35:I35"/>
    <mergeCell ref="J35:L35"/>
    <mergeCell ref="A47:E47"/>
    <mergeCell ref="G47:H47"/>
    <mergeCell ref="J47:K47"/>
    <mergeCell ref="D45:E45"/>
    <mergeCell ref="G45:H45"/>
    <mergeCell ref="J45:K45"/>
    <mergeCell ref="B45:C45"/>
    <mergeCell ref="A46:E46"/>
    <mergeCell ref="J37:K37"/>
    <mergeCell ref="B34:B36"/>
    <mergeCell ref="C34:C36"/>
    <mergeCell ref="G46:H46"/>
    <mergeCell ref="B37:C37"/>
    <mergeCell ref="D37:E37"/>
    <mergeCell ref="A5:L5"/>
    <mergeCell ref="A52:E57"/>
    <mergeCell ref="A34:A38"/>
    <mergeCell ref="A29:E29"/>
    <mergeCell ref="G29:H29"/>
    <mergeCell ref="J29:K29"/>
    <mergeCell ref="A27:E27"/>
    <mergeCell ref="G27:H27"/>
    <mergeCell ref="J27:K27"/>
    <mergeCell ref="A28:E28"/>
    <mergeCell ref="G28:H28"/>
    <mergeCell ref="J28:K28"/>
    <mergeCell ref="A32:L32"/>
    <mergeCell ref="L37:L38"/>
    <mergeCell ref="D34:L34"/>
    <mergeCell ref="D35:F35"/>
  </mergeCells>
  <pageMargins left="1.299212598425197" right="0.70866141732283472" top="0.74803149606299213" bottom="0.74803149606299213" header="0.31496062992125984" footer="0.31496062992125984"/>
  <pageSetup paperSize="9" scale="50" orientation="portrait"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1262-5550-4121-8570-9E534B6199C6}">
  <dimension ref="A1:AD101"/>
  <sheetViews>
    <sheetView topLeftCell="B3" zoomScale="60" zoomScaleNormal="60" workbookViewId="0">
      <selection activeCell="AJ94" sqref="AJ94"/>
    </sheetView>
  </sheetViews>
  <sheetFormatPr defaultColWidth="8.85546875" defaultRowHeight="15" x14ac:dyDescent="0.25"/>
  <cols>
    <col min="1" max="1" width="3.5703125" style="79" hidden="1" customWidth="1"/>
    <col min="2" max="2" width="38" style="79" customWidth="1"/>
    <col min="3" max="6" width="20.85546875" style="79" customWidth="1"/>
    <col min="7" max="7" width="23.7109375" style="79" customWidth="1"/>
    <col min="8" max="8" width="3.7109375" style="79" hidden="1" customWidth="1"/>
    <col min="9" max="10" width="0" style="79" hidden="1" customWidth="1"/>
    <col min="11" max="11" width="3.5703125" style="79" hidden="1" customWidth="1"/>
    <col min="12" max="12" width="14.140625" style="79" hidden="1" customWidth="1"/>
    <col min="13" max="17" width="15" style="79" hidden="1" customWidth="1"/>
    <col min="18" max="18" width="3.7109375" style="79" hidden="1" customWidth="1"/>
    <col min="19" max="19" width="0" style="79" hidden="1" customWidth="1"/>
    <col min="20" max="20" width="15.85546875" style="79" hidden="1" customWidth="1"/>
    <col min="21" max="21" width="14.140625" style="79" hidden="1" customWidth="1"/>
    <col min="22" max="26" width="15" style="79" hidden="1" customWidth="1"/>
    <col min="27" max="27" width="3.7109375" style="79" hidden="1" customWidth="1"/>
    <col min="28" max="28" width="12.5703125" style="79" hidden="1" customWidth="1"/>
    <col min="29" max="16384" width="8.85546875" style="79"/>
  </cols>
  <sheetData>
    <row r="1" spans="1:26" ht="21.6" hidden="1" customHeight="1" x14ac:dyDescent="0.25">
      <c r="Z1" s="93" t="s">
        <v>115</v>
      </c>
    </row>
    <row r="2" spans="1:26" ht="27.6" hidden="1" customHeight="1" x14ac:dyDescent="0.25">
      <c r="Z2" s="94" t="s">
        <v>106</v>
      </c>
    </row>
    <row r="3" spans="1:26" ht="19.5" customHeight="1" x14ac:dyDescent="0.25">
      <c r="G3" s="422" t="str">
        <f>'1.2.'!L3</f>
        <v>Pielikums</v>
      </c>
      <c r="Z3" s="94"/>
    </row>
    <row r="4" spans="1:26" ht="24.75" customHeight="1" x14ac:dyDescent="0.25">
      <c r="A4" s="460" t="str">
        <f>'1.2.'!L4</f>
        <v>Likumprojekta “Grozījumi Invaliditātes likumā” sākotnējās ietekmes novērtējuma ziņojumam (anotācijai)</v>
      </c>
      <c r="B4" s="460"/>
      <c r="C4" s="460"/>
      <c r="D4" s="460"/>
      <c r="E4" s="460"/>
      <c r="F4" s="460"/>
      <c r="G4" s="460"/>
      <c r="Z4" s="94"/>
    </row>
    <row r="5" spans="1:26" ht="27.6" customHeight="1" x14ac:dyDescent="0.25">
      <c r="A5" s="446" t="s">
        <v>304</v>
      </c>
      <c r="B5" s="446"/>
      <c r="C5" s="446"/>
      <c r="D5" s="446"/>
      <c r="E5" s="446"/>
      <c r="F5" s="446"/>
      <c r="G5" s="446"/>
      <c r="Z5" s="94"/>
    </row>
    <row r="6" spans="1:26" ht="27.6" customHeight="1" x14ac:dyDescent="0.25">
      <c r="A6" s="446"/>
      <c r="B6" s="446"/>
      <c r="C6" s="446"/>
      <c r="D6" s="446"/>
      <c r="E6" s="446"/>
      <c r="F6" s="446"/>
      <c r="G6" s="446"/>
      <c r="Z6" s="94"/>
    </row>
    <row r="7" spans="1:26" ht="30" customHeight="1" x14ac:dyDescent="0.25">
      <c r="A7" s="486" t="s">
        <v>313</v>
      </c>
      <c r="B7" s="486"/>
      <c r="C7" s="486"/>
      <c r="D7" s="486"/>
      <c r="E7" s="486"/>
      <c r="F7" s="486"/>
      <c r="G7" s="486"/>
      <c r="H7" s="486"/>
      <c r="I7" s="486"/>
      <c r="J7" s="486"/>
      <c r="K7" s="486"/>
      <c r="L7" s="486"/>
      <c r="M7" s="486"/>
      <c r="N7" s="486"/>
      <c r="O7" s="486"/>
      <c r="P7" s="486"/>
      <c r="Q7" s="486"/>
      <c r="R7" s="486"/>
      <c r="S7" s="486"/>
      <c r="T7" s="486"/>
      <c r="U7" s="486"/>
      <c r="V7" s="486"/>
      <c r="W7" s="486"/>
      <c r="X7" s="486"/>
      <c r="Y7" s="486"/>
      <c r="Z7" s="486"/>
    </row>
    <row r="8" spans="1:26" s="167" customFormat="1" ht="29.25" hidden="1" customHeight="1" x14ac:dyDescent="0.3">
      <c r="B8" s="168" t="s">
        <v>125</v>
      </c>
      <c r="H8" s="169"/>
      <c r="L8" s="168" t="s">
        <v>126</v>
      </c>
      <c r="R8" s="169"/>
      <c r="U8" s="168" t="s">
        <v>130</v>
      </c>
    </row>
    <row r="9" spans="1:26" s="165" customFormat="1" ht="18.75" x14ac:dyDescent="0.3">
      <c r="B9" s="170" t="s">
        <v>23</v>
      </c>
      <c r="C9" s="164" t="s">
        <v>73</v>
      </c>
      <c r="D9" s="164"/>
      <c r="E9" s="164"/>
      <c r="F9" s="164"/>
      <c r="G9" s="164"/>
      <c r="H9" s="171"/>
      <c r="I9" s="164"/>
      <c r="J9" s="164"/>
      <c r="K9" s="164"/>
      <c r="L9" s="170" t="s">
        <v>23</v>
      </c>
      <c r="M9" s="164" t="s">
        <v>73</v>
      </c>
      <c r="N9" s="164"/>
      <c r="O9" s="164"/>
      <c r="P9" s="164"/>
      <c r="Q9" s="164"/>
      <c r="R9" s="171"/>
      <c r="S9" s="164"/>
      <c r="T9" s="164"/>
      <c r="U9" s="170" t="s">
        <v>23</v>
      </c>
      <c r="V9" s="164" t="s">
        <v>98</v>
      </c>
      <c r="W9" s="164"/>
      <c r="X9" s="164"/>
      <c r="Y9" s="164"/>
      <c r="Z9" s="164"/>
    </row>
    <row r="10" spans="1:26" s="165" customFormat="1" ht="18.75" x14ac:dyDescent="0.3">
      <c r="B10" s="170" t="s">
        <v>23</v>
      </c>
      <c r="C10" s="164" t="s">
        <v>109</v>
      </c>
      <c r="D10" s="164"/>
      <c r="E10" s="164"/>
      <c r="F10" s="164"/>
      <c r="G10" s="164"/>
      <c r="H10" s="171"/>
      <c r="I10" s="164"/>
      <c r="J10" s="164"/>
      <c r="K10" s="164"/>
      <c r="L10" s="170" t="s">
        <v>23</v>
      </c>
      <c r="M10" s="164" t="str">
        <f>C10</f>
        <v>Atbalsta intensitātes noteikšanas anketa</v>
      </c>
      <c r="N10" s="164"/>
      <c r="O10" s="164"/>
      <c r="P10" s="164"/>
      <c r="Q10" s="164"/>
      <c r="R10" s="171"/>
      <c r="S10" s="164"/>
      <c r="T10" s="164"/>
      <c r="U10" s="170" t="s">
        <v>23</v>
      </c>
      <c r="V10" s="164" t="str">
        <f t="shared" ref="V10:V11" si="0">C10</f>
        <v>Atbalsta intensitātes noteikšanas anketa</v>
      </c>
      <c r="W10" s="164"/>
      <c r="X10" s="164"/>
      <c r="Y10" s="164"/>
      <c r="Z10" s="164"/>
    </row>
    <row r="11" spans="1:26" s="165" customFormat="1" ht="18.75" x14ac:dyDescent="0.3">
      <c r="B11" s="170" t="s">
        <v>23</v>
      </c>
      <c r="C11" s="164" t="s">
        <v>99</v>
      </c>
      <c r="D11" s="164"/>
      <c r="E11" s="164"/>
      <c r="F11" s="164"/>
      <c r="G11" s="164"/>
      <c r="H11" s="171"/>
      <c r="I11" s="164"/>
      <c r="J11" s="164"/>
      <c r="K11" s="164"/>
      <c r="L11" s="170" t="s">
        <v>23</v>
      </c>
      <c r="M11" s="164" t="str">
        <f>C11</f>
        <v>PNA kā vienīgais attaisnojuma dok. par pak. faktisko apjomu</v>
      </c>
      <c r="N11" s="164"/>
      <c r="O11" s="164"/>
      <c r="P11" s="164"/>
      <c r="Q11" s="164"/>
      <c r="R11" s="171"/>
      <c r="S11" s="164"/>
      <c r="T11" s="164"/>
      <c r="U11" s="170" t="s">
        <v>23</v>
      </c>
      <c r="V11" s="164" t="str">
        <f t="shared" si="0"/>
        <v>PNA kā vienīgais attaisnojuma dok. par pak. faktisko apjomu</v>
      </c>
      <c r="W11" s="164"/>
      <c r="X11" s="164"/>
      <c r="Y11" s="164"/>
      <c r="Z11" s="164"/>
    </row>
    <row r="12" spans="1:26" ht="18.75" x14ac:dyDescent="0.25">
      <c r="B12" s="60" t="s">
        <v>50</v>
      </c>
      <c r="C12" s="165"/>
      <c r="D12" s="165"/>
      <c r="E12" s="165"/>
      <c r="F12" s="165"/>
      <c r="G12" s="165"/>
      <c r="H12" s="96"/>
      <c r="L12" s="60" t="s">
        <v>50</v>
      </c>
      <c r="M12" s="165"/>
      <c r="N12" s="165"/>
      <c r="O12" s="165"/>
      <c r="P12" s="165"/>
      <c r="Q12" s="165"/>
      <c r="R12" s="96"/>
      <c r="U12" s="60" t="s">
        <v>50</v>
      </c>
      <c r="V12" s="165"/>
      <c r="W12" s="165"/>
      <c r="X12" s="165"/>
      <c r="Y12" s="165"/>
      <c r="Z12" s="165"/>
    </row>
    <row r="13" spans="1:26" s="165" customFormat="1" ht="20.25" hidden="1" x14ac:dyDescent="0.3">
      <c r="B13" s="166" t="s">
        <v>35</v>
      </c>
      <c r="H13" s="172"/>
      <c r="L13" s="166" t="s">
        <v>35</v>
      </c>
      <c r="R13" s="172"/>
      <c r="U13" s="166" t="s">
        <v>35</v>
      </c>
    </row>
    <row r="14" spans="1:26" x14ac:dyDescent="0.25">
      <c r="B14" s="492" t="s">
        <v>60</v>
      </c>
      <c r="C14" s="489" t="s">
        <v>65</v>
      </c>
      <c r="D14" s="489"/>
      <c r="E14" s="489"/>
      <c r="F14" s="489"/>
      <c r="G14" s="489"/>
      <c r="H14" s="96"/>
      <c r="L14" s="492" t="s">
        <v>60</v>
      </c>
      <c r="M14" s="489" t="s">
        <v>65</v>
      </c>
      <c r="N14" s="489"/>
      <c r="O14" s="489"/>
      <c r="P14" s="489"/>
      <c r="Q14" s="489"/>
      <c r="R14" s="96"/>
      <c r="U14" s="492" t="s">
        <v>60</v>
      </c>
      <c r="V14" s="489" t="s">
        <v>65</v>
      </c>
      <c r="W14" s="489"/>
      <c r="X14" s="489"/>
      <c r="Y14" s="489"/>
      <c r="Z14" s="489"/>
    </row>
    <row r="15" spans="1:26" ht="15.75" customHeight="1" x14ac:dyDescent="0.25">
      <c r="B15" s="492"/>
      <c r="C15" s="490" t="s">
        <v>50</v>
      </c>
      <c r="D15" s="490"/>
      <c r="E15" s="490"/>
      <c r="F15" s="490"/>
      <c r="G15" s="491" t="s">
        <v>37</v>
      </c>
      <c r="H15" s="96"/>
      <c r="I15" s="81"/>
      <c r="L15" s="492"/>
      <c r="M15" s="490" t="s">
        <v>50</v>
      </c>
      <c r="N15" s="490"/>
      <c r="O15" s="490"/>
      <c r="P15" s="490"/>
      <c r="Q15" s="491" t="s">
        <v>37</v>
      </c>
      <c r="R15" s="96"/>
      <c r="S15" s="81"/>
      <c r="U15" s="492"/>
      <c r="V15" s="490" t="s">
        <v>50</v>
      </c>
      <c r="W15" s="490"/>
      <c r="X15" s="490"/>
      <c r="Y15" s="490"/>
      <c r="Z15" s="491" t="s">
        <v>37</v>
      </c>
    </row>
    <row r="16" spans="1:26" ht="15.75" thickBot="1" x14ac:dyDescent="0.3">
      <c r="B16" s="492"/>
      <c r="C16" s="97" t="s">
        <v>52</v>
      </c>
      <c r="D16" s="97" t="s">
        <v>53</v>
      </c>
      <c r="E16" s="98" t="s">
        <v>51</v>
      </c>
      <c r="F16" s="97" t="s">
        <v>25</v>
      </c>
      <c r="G16" s="491"/>
      <c r="H16" s="96"/>
      <c r="I16" s="81"/>
      <c r="L16" s="492"/>
      <c r="M16" s="97" t="s">
        <v>52</v>
      </c>
      <c r="N16" s="97" t="s">
        <v>53</v>
      </c>
      <c r="O16" s="97" t="s">
        <v>51</v>
      </c>
      <c r="P16" s="97" t="s">
        <v>25</v>
      </c>
      <c r="Q16" s="491"/>
      <c r="R16" s="96"/>
      <c r="S16" s="81"/>
      <c r="U16" s="492"/>
      <c r="V16" s="97" t="s">
        <v>52</v>
      </c>
      <c r="W16" s="97" t="s">
        <v>53</v>
      </c>
      <c r="X16" s="98" t="s">
        <v>51</v>
      </c>
      <c r="Y16" s="97" t="s">
        <v>25</v>
      </c>
      <c r="Z16" s="491"/>
    </row>
    <row r="17" spans="2:30" ht="22.5" customHeight="1" x14ac:dyDescent="0.25">
      <c r="B17" s="99" t="s">
        <v>50</v>
      </c>
      <c r="C17" s="100" t="s">
        <v>48</v>
      </c>
      <c r="D17" s="101" t="s">
        <v>42</v>
      </c>
      <c r="E17" s="102">
        <v>600</v>
      </c>
      <c r="F17" s="103">
        <v>60</v>
      </c>
      <c r="G17" s="104">
        <f>E17*F17*12</f>
        <v>432000</v>
      </c>
      <c r="H17" s="96"/>
      <c r="L17" s="99" t="s">
        <v>50</v>
      </c>
      <c r="M17" s="100" t="s">
        <v>48</v>
      </c>
      <c r="N17" s="101" t="s">
        <v>47</v>
      </c>
      <c r="O17" s="102">
        <v>600</v>
      </c>
      <c r="P17" s="103">
        <v>60</v>
      </c>
      <c r="Q17" s="104">
        <f>O17*P17*12</f>
        <v>432000</v>
      </c>
      <c r="R17" s="96"/>
      <c r="T17" s="87"/>
      <c r="U17" s="99" t="s">
        <v>50</v>
      </c>
      <c r="V17" s="100" t="s">
        <v>48</v>
      </c>
      <c r="W17" s="101" t="s">
        <v>42</v>
      </c>
      <c r="X17" s="102">
        <v>600</v>
      </c>
      <c r="Y17" s="103">
        <v>60</v>
      </c>
      <c r="Z17" s="104">
        <f>X17*Y17*12</f>
        <v>432000</v>
      </c>
    </row>
    <row r="18" spans="2:30" ht="22.5" customHeight="1" thickBot="1" x14ac:dyDescent="0.3">
      <c r="B18" s="99" t="s">
        <v>50</v>
      </c>
      <c r="C18" s="100" t="s">
        <v>49</v>
      </c>
      <c r="D18" s="101" t="s">
        <v>42</v>
      </c>
      <c r="E18" s="105">
        <v>2000</v>
      </c>
      <c r="F18" s="103">
        <v>80</v>
      </c>
      <c r="G18" s="104">
        <f>E18*F18*12</f>
        <v>1920000</v>
      </c>
      <c r="H18" s="96"/>
      <c r="L18" s="99" t="s">
        <v>50</v>
      </c>
      <c r="M18" s="100" t="s">
        <v>49</v>
      </c>
      <c r="N18" s="101" t="s">
        <v>47</v>
      </c>
      <c r="O18" s="105">
        <v>2000</v>
      </c>
      <c r="P18" s="103">
        <v>80</v>
      </c>
      <c r="Q18" s="104">
        <f>O18*P18*12</f>
        <v>1920000</v>
      </c>
      <c r="R18" s="96"/>
      <c r="T18" s="87"/>
      <c r="U18" s="99" t="s">
        <v>50</v>
      </c>
      <c r="V18" s="100" t="s">
        <v>49</v>
      </c>
      <c r="W18" s="101" t="s">
        <v>42</v>
      </c>
      <c r="X18" s="105">
        <v>2000</v>
      </c>
      <c r="Y18" s="103">
        <v>80</v>
      </c>
      <c r="Z18" s="104">
        <f>X18*Y18*12</f>
        <v>1920000</v>
      </c>
    </row>
    <row r="19" spans="2:30" ht="22.5" customHeight="1" x14ac:dyDescent="0.25">
      <c r="B19" s="99" t="s">
        <v>50</v>
      </c>
      <c r="C19" s="100" t="s">
        <v>54</v>
      </c>
      <c r="D19" s="100" t="s">
        <v>47</v>
      </c>
      <c r="E19" s="106">
        <f>E18/2</f>
        <v>1000</v>
      </c>
      <c r="F19" s="100">
        <v>80</v>
      </c>
      <c r="G19" s="104">
        <f>E19*F19*12</f>
        <v>960000</v>
      </c>
      <c r="H19" s="96"/>
      <c r="L19" s="99" t="s">
        <v>50</v>
      </c>
      <c r="M19" s="100" t="s">
        <v>54</v>
      </c>
      <c r="N19" s="100" t="s">
        <v>47</v>
      </c>
      <c r="O19" s="106">
        <f>O18/2</f>
        <v>1000</v>
      </c>
      <c r="P19" s="100">
        <v>80</v>
      </c>
      <c r="Q19" s="104">
        <f>O19*P19*12</f>
        <v>960000</v>
      </c>
      <c r="R19" s="96"/>
      <c r="T19" s="87"/>
      <c r="U19" s="99" t="s">
        <v>50</v>
      </c>
      <c r="V19" s="100" t="s">
        <v>54</v>
      </c>
      <c r="W19" s="100" t="s">
        <v>47</v>
      </c>
      <c r="X19" s="106">
        <f>X18/2</f>
        <v>1000</v>
      </c>
      <c r="Y19" s="100">
        <v>80</v>
      </c>
      <c r="Z19" s="104">
        <f>X19*Y19*12</f>
        <v>960000</v>
      </c>
    </row>
    <row r="20" spans="2:30" ht="32.25" customHeight="1" x14ac:dyDescent="0.25">
      <c r="B20" s="107" t="s">
        <v>34</v>
      </c>
      <c r="C20" s="487">
        <f>E17+E18</f>
        <v>2600</v>
      </c>
      <c r="D20" s="487"/>
      <c r="E20" s="487"/>
      <c r="F20" s="487"/>
      <c r="G20" s="108">
        <f>SUM(G17:G19)</f>
        <v>3312000</v>
      </c>
      <c r="H20" s="109"/>
      <c r="L20" s="107" t="s">
        <v>34</v>
      </c>
      <c r="M20" s="487">
        <f>O17+O18</f>
        <v>2600</v>
      </c>
      <c r="N20" s="487"/>
      <c r="O20" s="487"/>
      <c r="P20" s="487"/>
      <c r="Q20" s="108">
        <f>SUM(Q17:Q19)</f>
        <v>3312000</v>
      </c>
      <c r="R20" s="109"/>
      <c r="T20" s="87"/>
      <c r="U20" s="107" t="s">
        <v>34</v>
      </c>
      <c r="V20" s="487">
        <f>X17+X18</f>
        <v>2600</v>
      </c>
      <c r="W20" s="487"/>
      <c r="X20" s="487"/>
      <c r="Y20" s="487"/>
      <c r="Z20" s="108">
        <f>SUM(Z17:Z19)</f>
        <v>3312000</v>
      </c>
      <c r="AA20" s="110"/>
    </row>
    <row r="21" spans="2:30" ht="30.75" customHeight="1" x14ac:dyDescent="0.25">
      <c r="B21" s="488" t="s">
        <v>143</v>
      </c>
      <c r="C21" s="488"/>
      <c r="D21" s="488"/>
      <c r="E21" s="488"/>
      <c r="F21" s="488"/>
      <c r="G21" s="111">
        <f>'1.4.'!G9</f>
        <v>4.7302071942446036</v>
      </c>
      <c r="H21" s="96"/>
      <c r="L21" s="488" t="s">
        <v>103</v>
      </c>
      <c r="M21" s="488"/>
      <c r="N21" s="488"/>
      <c r="O21" s="488"/>
      <c r="P21" s="488"/>
      <c r="Q21" s="176">
        <f>G21</f>
        <v>4.7302071942446036</v>
      </c>
      <c r="R21" s="96"/>
      <c r="U21" s="488" t="s">
        <v>103</v>
      </c>
      <c r="V21" s="488"/>
      <c r="W21" s="488"/>
      <c r="X21" s="488"/>
      <c r="Y21" s="488"/>
      <c r="Z21" s="176" t="e">
        <f>#REF!</f>
        <v>#REF!</v>
      </c>
    </row>
    <row r="22" spans="2:30" ht="21.75" customHeight="1" x14ac:dyDescent="0.25">
      <c r="B22" s="112" t="s">
        <v>55</v>
      </c>
      <c r="C22" s="113" t="s">
        <v>4</v>
      </c>
      <c r="D22" s="113" t="s">
        <v>127</v>
      </c>
      <c r="E22" s="113" t="s">
        <v>4</v>
      </c>
      <c r="F22" s="113" t="s">
        <v>4</v>
      </c>
      <c r="G22" s="114">
        <f>(G20*G21)/1.05</f>
        <v>14920424.978417264</v>
      </c>
      <c r="H22" s="96"/>
      <c r="L22" s="112" t="s">
        <v>55</v>
      </c>
      <c r="M22" s="113" t="s">
        <v>4</v>
      </c>
      <c r="N22" s="113" t="s">
        <v>47</v>
      </c>
      <c r="O22" s="113" t="s">
        <v>4</v>
      </c>
      <c r="P22" s="113" t="s">
        <v>4</v>
      </c>
      <c r="Q22" s="114">
        <f>(Q20*Q21)/1.05</f>
        <v>14920424.978417264</v>
      </c>
      <c r="R22" s="96"/>
      <c r="U22" s="112" t="s">
        <v>55</v>
      </c>
      <c r="V22" s="113" t="s">
        <v>4</v>
      </c>
      <c r="W22" s="113" t="s">
        <v>127</v>
      </c>
      <c r="X22" s="113" t="s">
        <v>4</v>
      </c>
      <c r="Y22" s="113" t="s">
        <v>4</v>
      </c>
      <c r="Z22" s="114" t="e">
        <f>(Z20*Z21)/1.05</f>
        <v>#REF!</v>
      </c>
    </row>
    <row r="23" spans="2:30" ht="21.75" customHeight="1" x14ac:dyDescent="0.25">
      <c r="B23" s="112" t="s">
        <v>56</v>
      </c>
      <c r="C23" s="113" t="s">
        <v>4</v>
      </c>
      <c r="D23" s="113" t="s">
        <v>42</v>
      </c>
      <c r="E23" s="113" t="s">
        <v>4</v>
      </c>
      <c r="F23" s="113" t="s">
        <v>4</v>
      </c>
      <c r="G23" s="115">
        <v>269799.6623376623</v>
      </c>
      <c r="H23" s="96"/>
      <c r="L23" s="112" t="s">
        <v>56</v>
      </c>
      <c r="M23" s="113" t="s">
        <v>4</v>
      </c>
      <c r="N23" s="113" t="s">
        <v>47</v>
      </c>
      <c r="O23" s="113" t="s">
        <v>4</v>
      </c>
      <c r="P23" s="113" t="s">
        <v>4</v>
      </c>
      <c r="Q23" s="115">
        <f>G23</f>
        <v>269799.6623376623</v>
      </c>
      <c r="R23" s="96"/>
      <c r="U23" s="112" t="s">
        <v>56</v>
      </c>
      <c r="V23" s="113" t="s">
        <v>4</v>
      </c>
      <c r="W23" s="113" t="s">
        <v>42</v>
      </c>
      <c r="X23" s="113" t="s">
        <v>4</v>
      </c>
      <c r="Y23" s="113" t="s">
        <v>4</v>
      </c>
      <c r="Z23" s="115">
        <f>Q23</f>
        <v>269799.6623376623</v>
      </c>
    </row>
    <row r="24" spans="2:30" ht="21.75" customHeight="1" x14ac:dyDescent="0.25">
      <c r="B24" s="112" t="s">
        <v>104</v>
      </c>
      <c r="C24" s="113" t="s">
        <v>4</v>
      </c>
      <c r="D24" s="113" t="s">
        <v>127</v>
      </c>
      <c r="E24" s="113" t="s">
        <v>4</v>
      </c>
      <c r="F24" s="113" t="s">
        <v>4</v>
      </c>
      <c r="G24" s="115">
        <f>(G22+G23)*0.05</f>
        <v>759511.23203774635</v>
      </c>
      <c r="H24" s="96"/>
      <c r="L24" s="112" t="s">
        <v>104</v>
      </c>
      <c r="M24" s="113" t="s">
        <v>4</v>
      </c>
      <c r="N24" s="113" t="s">
        <v>47</v>
      </c>
      <c r="O24" s="113" t="s">
        <v>4</v>
      </c>
      <c r="P24" s="113" t="s">
        <v>4</v>
      </c>
      <c r="Q24" s="115">
        <f>(Q22+Q23)*0.05</f>
        <v>759511.23203774635</v>
      </c>
      <c r="R24" s="96"/>
      <c r="U24" s="112" t="s">
        <v>104</v>
      </c>
      <c r="V24" s="113" t="s">
        <v>4</v>
      </c>
      <c r="W24" s="113" t="s">
        <v>127</v>
      </c>
      <c r="X24" s="113" t="s">
        <v>4</v>
      </c>
      <c r="Y24" s="113" t="s">
        <v>4</v>
      </c>
      <c r="Z24" s="115" t="e">
        <f>(Z22+Z23)*0.05</f>
        <v>#REF!</v>
      </c>
    </row>
    <row r="25" spans="2:30" ht="33" customHeight="1" x14ac:dyDescent="0.25">
      <c r="B25" s="116" t="s">
        <v>57</v>
      </c>
      <c r="C25" s="117" t="s">
        <v>4</v>
      </c>
      <c r="D25" s="117" t="s">
        <v>127</v>
      </c>
      <c r="E25" s="117" t="s">
        <v>4</v>
      </c>
      <c r="F25" s="117" t="s">
        <v>4</v>
      </c>
      <c r="G25" s="118">
        <f>G22+G23+G24</f>
        <v>15949735.872792672</v>
      </c>
      <c r="H25" s="96"/>
      <c r="L25" s="116" t="s">
        <v>121</v>
      </c>
      <c r="M25" s="117" t="s">
        <v>4</v>
      </c>
      <c r="N25" s="117" t="str">
        <f>N24</f>
        <v>pašvaldība</v>
      </c>
      <c r="O25" s="117" t="s">
        <v>4</v>
      </c>
      <c r="P25" s="117" t="s">
        <v>4</v>
      </c>
      <c r="Q25" s="118">
        <f>Q22+Q23+Q24</f>
        <v>15949735.872792672</v>
      </c>
      <c r="R25" s="96"/>
      <c r="U25" s="116" t="s">
        <v>57</v>
      </c>
      <c r="V25" s="117" t="s">
        <v>4</v>
      </c>
      <c r="W25" s="117" t="s">
        <v>127</v>
      </c>
      <c r="X25" s="117" t="s">
        <v>4</v>
      </c>
      <c r="Y25" s="117" t="s">
        <v>4</v>
      </c>
      <c r="Z25" s="118" t="e">
        <f>Z22+Z23+Z24</f>
        <v>#REF!</v>
      </c>
    </row>
    <row r="26" spans="2:30" ht="25.5" customHeight="1" x14ac:dyDescent="0.25">
      <c r="B26" s="174"/>
      <c r="C26" s="174"/>
      <c r="D26" s="174"/>
      <c r="E26" s="174"/>
      <c r="F26" s="174"/>
      <c r="G26" s="174"/>
      <c r="H26" s="172"/>
      <c r="I26" s="165"/>
      <c r="J26" s="165"/>
      <c r="K26" s="165"/>
      <c r="L26" s="174"/>
      <c r="M26" s="174"/>
      <c r="N26" s="174"/>
      <c r="O26" s="174"/>
      <c r="P26" s="174"/>
      <c r="Q26" s="174"/>
      <c r="R26" s="172"/>
      <c r="S26" s="165"/>
      <c r="T26" s="165"/>
      <c r="U26" s="174"/>
      <c r="V26" s="174"/>
      <c r="W26" s="174"/>
      <c r="X26" s="174"/>
      <c r="Y26" s="174"/>
      <c r="Z26" s="174"/>
    </row>
    <row r="27" spans="2:30" ht="32.25" customHeight="1" x14ac:dyDescent="0.25">
      <c r="B27" s="88" t="s">
        <v>58</v>
      </c>
      <c r="C27" s="119">
        <f>C28+C29+C30</f>
        <v>11408736.966317855</v>
      </c>
      <c r="D27" s="173"/>
      <c r="E27" s="174"/>
      <c r="F27" s="88" t="s">
        <v>59</v>
      </c>
      <c r="G27" s="119">
        <f>G28+G29+G30</f>
        <v>4540998.9064748194</v>
      </c>
      <c r="H27" s="96"/>
      <c r="L27" s="88" t="s">
        <v>58</v>
      </c>
      <c r="M27" s="121">
        <v>0</v>
      </c>
      <c r="N27" s="173"/>
      <c r="O27" s="174"/>
      <c r="P27" s="88" t="s">
        <v>59</v>
      </c>
      <c r="Q27" s="119">
        <f>Q28+Q29+Q30</f>
        <v>15949735.872792672</v>
      </c>
      <c r="R27" s="96"/>
      <c r="U27" s="88" t="s">
        <v>58</v>
      </c>
      <c r="V27" s="119" t="e">
        <f>V28+V29+V30</f>
        <v>#REF!</v>
      </c>
      <c r="W27" s="173"/>
      <c r="X27" s="174"/>
      <c r="Y27" s="88" t="s">
        <v>59</v>
      </c>
      <c r="Z27" s="119" t="e">
        <f>Z28+Z29+Z30</f>
        <v>#REF!</v>
      </c>
      <c r="AB27" s="92"/>
      <c r="AC27" s="92"/>
      <c r="AD27" s="92"/>
    </row>
    <row r="28" spans="2:30" ht="37.5" customHeight="1" x14ac:dyDescent="0.25">
      <c r="B28" s="122" t="str">
        <f>B22</f>
        <v>Izdevumu kopā, h apmaksai, euro</v>
      </c>
      <c r="C28" s="123">
        <f>((G17+G18)*G21)/1.05</f>
        <v>10595664.115107913</v>
      </c>
      <c r="D28" s="173"/>
      <c r="E28" s="175"/>
      <c r="F28" s="122" t="s">
        <v>55</v>
      </c>
      <c r="G28" s="123">
        <f>(G19*G21)/1.05</f>
        <v>4324760.8633093517</v>
      </c>
      <c r="H28" s="96"/>
      <c r="L28" s="122" t="str">
        <f>L22</f>
        <v>Izdevumu kopā, h apmaksai, euro</v>
      </c>
      <c r="M28" s="121">
        <v>0</v>
      </c>
      <c r="N28" s="173"/>
      <c r="O28" s="175"/>
      <c r="P28" s="122" t="s">
        <v>55</v>
      </c>
      <c r="Q28" s="123">
        <f>((Q17+Q18+Q19)*Q21)/1.05</f>
        <v>14920424.978417264</v>
      </c>
      <c r="R28" s="96"/>
      <c r="U28" s="122" t="str">
        <f>U22</f>
        <v>Izdevumu kopā, h apmaksai, euro</v>
      </c>
      <c r="V28" s="123" t="e">
        <f>(Z17+Z18)*#REF!</f>
        <v>#REF!</v>
      </c>
      <c r="W28" s="173"/>
      <c r="X28" s="175"/>
      <c r="Y28" s="122" t="s">
        <v>55</v>
      </c>
      <c r="Z28" s="123" t="e">
        <f>Z19*#REF!</f>
        <v>#REF!</v>
      </c>
    </row>
    <row r="29" spans="2:30" ht="39.75" customHeight="1" x14ac:dyDescent="0.25">
      <c r="B29" s="122" t="str">
        <f>B23</f>
        <v>Transporta izdevumi, euro</v>
      </c>
      <c r="C29" s="123">
        <f>G23</f>
        <v>269799.6623376623</v>
      </c>
      <c r="D29" s="173"/>
      <c r="E29" s="175"/>
      <c r="F29" s="122" t="s">
        <v>56</v>
      </c>
      <c r="G29" s="123">
        <f>J23</f>
        <v>0</v>
      </c>
      <c r="H29" s="96"/>
      <c r="L29" s="122" t="str">
        <f>L23</f>
        <v>Transporta izdevumi, euro</v>
      </c>
      <c r="M29" s="121">
        <v>0</v>
      </c>
      <c r="N29" s="173"/>
      <c r="O29" s="175"/>
      <c r="P29" s="122" t="s">
        <v>56</v>
      </c>
      <c r="Q29" s="123">
        <f>Q23</f>
        <v>269799.6623376623</v>
      </c>
      <c r="R29" s="96"/>
      <c r="U29" s="122" t="str">
        <f>U23</f>
        <v>Transporta izdevumi, euro</v>
      </c>
      <c r="V29" s="123">
        <f>Z23</f>
        <v>269799.6623376623</v>
      </c>
      <c r="W29" s="173"/>
      <c r="X29" s="175"/>
      <c r="Y29" s="122" t="s">
        <v>56</v>
      </c>
      <c r="Z29" s="123">
        <f>AC23</f>
        <v>0</v>
      </c>
    </row>
    <row r="30" spans="2:30" ht="36" customHeight="1" x14ac:dyDescent="0.25">
      <c r="B30" s="122" t="str">
        <f>B24</f>
        <v>Administrēšana ~5%, euro</v>
      </c>
      <c r="C30" s="123">
        <f>(C28+C29)*0.05</f>
        <v>543273.18887227878</v>
      </c>
      <c r="D30" s="173"/>
      <c r="E30" s="175"/>
      <c r="F30" s="122" t="s">
        <v>104</v>
      </c>
      <c r="G30" s="123">
        <f>(G28+G29)*0.05</f>
        <v>216238.04316546759</v>
      </c>
      <c r="H30" s="96"/>
      <c r="L30" s="122" t="str">
        <f>L24</f>
        <v>Administrēšana ~5%, euro</v>
      </c>
      <c r="M30" s="121">
        <v>0</v>
      </c>
      <c r="N30" s="173"/>
      <c r="O30" s="175"/>
      <c r="P30" s="122" t="s">
        <v>104</v>
      </c>
      <c r="Q30" s="123">
        <f>(Q28+Q29)*0.05</f>
        <v>759511.23203774635</v>
      </c>
      <c r="R30" s="96"/>
      <c r="U30" s="122" t="str">
        <f>U24</f>
        <v>Administrēšana ~5%, euro</v>
      </c>
      <c r="V30" s="123" t="e">
        <f>(V28+V29)*0.05</f>
        <v>#REF!</v>
      </c>
      <c r="W30" s="173"/>
      <c r="X30" s="175"/>
      <c r="Y30" s="122" t="s">
        <v>104</v>
      </c>
      <c r="Z30" s="123" t="e">
        <f>(Z28+Z29)*0.05</f>
        <v>#REF!</v>
      </c>
    </row>
    <row r="31" spans="2:30" ht="25.15" customHeight="1" x14ac:dyDescent="0.25">
      <c r="B31" s="124"/>
      <c r="C31" s="120"/>
      <c r="D31" s="120"/>
      <c r="E31" s="120"/>
      <c r="F31" s="120"/>
      <c r="G31" s="120"/>
      <c r="H31" s="125">
        <f>G25-C27-G27</f>
        <v>0</v>
      </c>
      <c r="L31" s="124"/>
      <c r="M31" s="120"/>
      <c r="N31" s="120"/>
      <c r="O31" s="120"/>
      <c r="P31" s="120"/>
      <c r="Q31" s="120"/>
      <c r="R31" s="125"/>
      <c r="U31" s="124"/>
      <c r="V31" s="120"/>
      <c r="W31" s="120"/>
      <c r="X31" s="120"/>
      <c r="Y31" s="120"/>
      <c r="Z31" s="120"/>
      <c r="AA31" s="126"/>
    </row>
    <row r="32" spans="2:30" ht="20.45" hidden="1" customHeight="1" x14ac:dyDescent="0.25">
      <c r="B32" s="79" t="s">
        <v>118</v>
      </c>
      <c r="C32" s="120"/>
      <c r="D32" s="120"/>
      <c r="E32" s="120"/>
      <c r="F32" s="120"/>
      <c r="G32" s="120"/>
      <c r="H32" s="127"/>
      <c r="I32" s="128"/>
      <c r="J32" s="128"/>
      <c r="K32" s="128"/>
      <c r="L32" s="124"/>
      <c r="M32" s="120"/>
      <c r="N32" s="120"/>
      <c r="O32" s="120"/>
      <c r="P32" s="120"/>
      <c r="Q32" s="120"/>
      <c r="R32" s="127"/>
      <c r="S32" s="128"/>
      <c r="T32" s="128"/>
      <c r="U32" s="124"/>
      <c r="V32" s="120"/>
      <c r="W32" s="120"/>
      <c r="X32" s="120"/>
      <c r="Y32" s="120"/>
      <c r="Z32" s="120"/>
      <c r="AA32" s="126"/>
    </row>
    <row r="33" spans="1:27" ht="20.45" hidden="1" customHeight="1" x14ac:dyDescent="0.25">
      <c r="B33" s="79" t="s">
        <v>117</v>
      </c>
      <c r="C33" s="120"/>
      <c r="D33" s="120"/>
      <c r="E33" s="120"/>
      <c r="F33" s="120"/>
      <c r="G33" s="120"/>
      <c r="H33" s="127"/>
      <c r="I33" s="128"/>
      <c r="J33" s="128"/>
      <c r="K33" s="128"/>
      <c r="L33" s="124"/>
      <c r="M33" s="120"/>
      <c r="N33" s="120"/>
      <c r="O33" s="120"/>
      <c r="P33" s="120"/>
      <c r="Q33" s="120"/>
      <c r="R33" s="127"/>
      <c r="S33" s="128"/>
      <c r="T33" s="128"/>
      <c r="U33" s="124"/>
      <c r="V33" s="120"/>
      <c r="W33" s="120"/>
      <c r="X33" s="120"/>
      <c r="Y33" s="120"/>
      <c r="Z33" s="120"/>
      <c r="AA33" s="126"/>
    </row>
    <row r="34" spans="1:27" ht="20.45" hidden="1" customHeight="1" x14ac:dyDescent="0.25">
      <c r="C34" s="120"/>
      <c r="D34" s="120"/>
      <c r="E34" s="120"/>
      <c r="F34" s="120"/>
      <c r="G34" s="120"/>
      <c r="H34" s="127"/>
      <c r="I34" s="128"/>
      <c r="J34" s="128"/>
      <c r="K34" s="128"/>
      <c r="L34" s="124"/>
      <c r="M34" s="120"/>
      <c r="N34" s="120"/>
      <c r="O34" s="120"/>
      <c r="P34" s="120"/>
      <c r="Q34" s="120"/>
      <c r="R34" s="127"/>
      <c r="S34" s="128"/>
      <c r="T34" s="128"/>
      <c r="U34" s="124"/>
      <c r="V34" s="120"/>
      <c r="W34" s="120"/>
      <c r="X34" s="120"/>
      <c r="Y34" s="120"/>
      <c r="Z34" s="120"/>
      <c r="AA34" s="126"/>
    </row>
    <row r="35" spans="1:27" ht="20.45" hidden="1" customHeight="1" x14ac:dyDescent="0.25">
      <c r="C35" s="120"/>
      <c r="D35" s="120"/>
      <c r="E35" s="120"/>
      <c r="F35" s="120"/>
      <c r="G35" s="120"/>
      <c r="H35" s="127"/>
      <c r="I35" s="128"/>
      <c r="J35" s="128"/>
      <c r="K35" s="128"/>
      <c r="L35" s="124"/>
      <c r="M35" s="120"/>
      <c r="N35" s="120"/>
      <c r="O35" s="120"/>
      <c r="P35" s="120"/>
      <c r="Q35" s="120"/>
      <c r="R35" s="127"/>
      <c r="S35" s="128"/>
      <c r="T35" s="128"/>
      <c r="U35" s="124"/>
      <c r="V35" s="120"/>
      <c r="W35" s="120"/>
      <c r="X35" s="120"/>
      <c r="Y35" s="120"/>
      <c r="Z35" s="120"/>
      <c r="AA35" s="126"/>
    </row>
    <row r="36" spans="1:27" ht="24" hidden="1" customHeight="1" x14ac:dyDescent="0.25">
      <c r="B36" s="124"/>
      <c r="C36" s="120"/>
      <c r="D36" s="120"/>
      <c r="E36" s="120"/>
      <c r="F36" s="120"/>
      <c r="G36" s="120"/>
      <c r="H36" s="128"/>
      <c r="I36" s="128"/>
      <c r="J36" s="128"/>
      <c r="K36" s="128"/>
      <c r="L36" s="124"/>
      <c r="M36" s="120"/>
      <c r="N36" s="120"/>
      <c r="O36" s="120"/>
      <c r="P36" s="120"/>
      <c r="Q36" s="120"/>
      <c r="R36" s="128"/>
      <c r="U36" s="124"/>
      <c r="V36" s="120"/>
      <c r="W36" s="120"/>
      <c r="X36" s="120"/>
      <c r="Y36" s="120"/>
      <c r="Z36" s="93" t="s">
        <v>116</v>
      </c>
    </row>
    <row r="37" spans="1:27" ht="28.9" hidden="1" customHeight="1" x14ac:dyDescent="0.25">
      <c r="H37" s="128"/>
      <c r="I37" s="128"/>
      <c r="J37" s="128"/>
      <c r="K37" s="128"/>
      <c r="L37" s="128"/>
      <c r="M37" s="128"/>
      <c r="N37" s="128"/>
      <c r="O37" s="128"/>
      <c r="P37" s="128"/>
      <c r="Q37" s="128"/>
      <c r="R37" s="128"/>
      <c r="Z37" s="94" t="s">
        <v>106</v>
      </c>
    </row>
    <row r="38" spans="1:27" ht="28.9" customHeight="1" x14ac:dyDescent="0.25">
      <c r="A38" s="486" t="s">
        <v>314</v>
      </c>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row>
    <row r="39" spans="1:27" s="167" customFormat="1" ht="29.25" hidden="1" customHeight="1" x14ac:dyDescent="0.3">
      <c r="B39" s="168" t="s">
        <v>125</v>
      </c>
      <c r="H39" s="169"/>
      <c r="L39" s="168" t="s">
        <v>126</v>
      </c>
      <c r="R39" s="169"/>
      <c r="U39" s="168" t="s">
        <v>130</v>
      </c>
    </row>
    <row r="40" spans="1:27" s="165" customFormat="1" ht="18.75" x14ac:dyDescent="0.3">
      <c r="B40" s="170" t="s">
        <v>23</v>
      </c>
      <c r="C40" s="164" t="s">
        <v>73</v>
      </c>
      <c r="D40" s="164"/>
      <c r="E40" s="164"/>
      <c r="F40" s="164"/>
      <c r="G40" s="164"/>
      <c r="H40" s="171"/>
      <c r="I40" s="164"/>
      <c r="J40" s="164"/>
      <c r="K40" s="164"/>
      <c r="L40" s="170" t="s">
        <v>23</v>
      </c>
      <c r="M40" s="164" t="s">
        <v>73</v>
      </c>
      <c r="N40" s="164"/>
      <c r="O40" s="164"/>
      <c r="P40" s="164"/>
      <c r="Q40" s="164"/>
      <c r="R40" s="171"/>
      <c r="S40" s="164"/>
      <c r="T40" s="164"/>
      <c r="U40" s="170" t="s">
        <v>23</v>
      </c>
      <c r="V40" s="164" t="s">
        <v>98</v>
      </c>
      <c r="W40" s="164"/>
      <c r="X40" s="164"/>
      <c r="Y40" s="164"/>
      <c r="Z40" s="164"/>
    </row>
    <row r="41" spans="1:27" s="165" customFormat="1" ht="18.75" x14ac:dyDescent="0.3">
      <c r="B41" s="170" t="s">
        <v>23</v>
      </c>
      <c r="C41" s="164" t="s">
        <v>109</v>
      </c>
      <c r="D41" s="164"/>
      <c r="E41" s="164"/>
      <c r="F41" s="164"/>
      <c r="G41" s="164"/>
      <c r="H41" s="171"/>
      <c r="I41" s="164"/>
      <c r="J41" s="164"/>
      <c r="K41" s="164"/>
      <c r="L41" s="170" t="s">
        <v>23</v>
      </c>
      <c r="M41" s="164" t="str">
        <f>C41</f>
        <v>Atbalsta intensitātes noteikšanas anketa</v>
      </c>
      <c r="N41" s="164"/>
      <c r="O41" s="164"/>
      <c r="P41" s="164"/>
      <c r="Q41" s="164"/>
      <c r="R41" s="171"/>
      <c r="S41" s="164"/>
      <c r="T41" s="164"/>
      <c r="U41" s="170" t="s">
        <v>23</v>
      </c>
      <c r="V41" s="164" t="str">
        <f>C41</f>
        <v>Atbalsta intensitātes noteikšanas anketa</v>
      </c>
      <c r="W41" s="164"/>
      <c r="X41" s="164"/>
      <c r="Y41" s="164"/>
      <c r="Z41" s="164"/>
    </row>
    <row r="42" spans="1:27" s="165" customFormat="1" ht="18.75" x14ac:dyDescent="0.3">
      <c r="B42" s="170" t="s">
        <v>23</v>
      </c>
      <c r="C42" s="164" t="s">
        <v>99</v>
      </c>
      <c r="D42" s="164"/>
      <c r="E42" s="164"/>
      <c r="F42" s="164"/>
      <c r="G42" s="164"/>
      <c r="H42" s="171"/>
      <c r="I42" s="164"/>
      <c r="J42" s="164"/>
      <c r="K42" s="164"/>
      <c r="L42" s="170" t="s">
        <v>23</v>
      </c>
      <c r="M42" s="164" t="str">
        <f>C42</f>
        <v>PNA kā vienīgais attaisnojuma dok. par pak. faktisko apjomu</v>
      </c>
      <c r="N42" s="164"/>
      <c r="O42" s="164"/>
      <c r="P42" s="164"/>
      <c r="Q42" s="164"/>
      <c r="R42" s="171"/>
      <c r="S42" s="164"/>
      <c r="T42" s="164"/>
      <c r="U42" s="170" t="s">
        <v>23</v>
      </c>
      <c r="V42" s="164" t="str">
        <f>C42</f>
        <v>PNA kā vienīgais attaisnojuma dok. par pak. faktisko apjomu</v>
      </c>
      <c r="W42" s="164"/>
      <c r="X42" s="164"/>
      <c r="Y42" s="164"/>
      <c r="Z42" s="164"/>
    </row>
    <row r="43" spans="1:27" ht="18.75" x14ac:dyDescent="0.25">
      <c r="B43" s="60" t="s">
        <v>50</v>
      </c>
      <c r="C43" s="165"/>
      <c r="D43" s="165"/>
      <c r="E43" s="165"/>
      <c r="F43" s="165"/>
      <c r="G43" s="165"/>
      <c r="H43" s="96"/>
      <c r="L43" s="60" t="s">
        <v>50</v>
      </c>
      <c r="M43" s="165"/>
      <c r="N43" s="165"/>
      <c r="O43" s="165"/>
      <c r="P43" s="165"/>
      <c r="Q43" s="165"/>
      <c r="R43" s="96"/>
      <c r="U43" s="60" t="s">
        <v>50</v>
      </c>
      <c r="V43" s="165"/>
      <c r="W43" s="165"/>
      <c r="X43" s="165"/>
      <c r="Y43" s="165"/>
      <c r="Z43" s="165"/>
    </row>
    <row r="44" spans="1:27" ht="20.25" hidden="1" x14ac:dyDescent="0.3">
      <c r="B44" s="82" t="s">
        <v>45</v>
      </c>
      <c r="H44" s="96"/>
      <c r="L44" s="82" t="s">
        <v>45</v>
      </c>
      <c r="R44" s="96"/>
      <c r="U44" s="82" t="s">
        <v>45</v>
      </c>
    </row>
    <row r="45" spans="1:27" x14ac:dyDescent="0.25">
      <c r="B45" s="492" t="s">
        <v>60</v>
      </c>
      <c r="C45" s="489" t="s">
        <v>65</v>
      </c>
      <c r="D45" s="489"/>
      <c r="E45" s="489"/>
      <c r="F45" s="489"/>
      <c r="G45" s="489"/>
      <c r="H45" s="96"/>
      <c r="L45" s="492" t="s">
        <v>60</v>
      </c>
      <c r="M45" s="489" t="s">
        <v>65</v>
      </c>
      <c r="N45" s="489"/>
      <c r="O45" s="489"/>
      <c r="P45" s="489"/>
      <c r="Q45" s="489"/>
      <c r="R45" s="96"/>
      <c r="U45" s="492" t="s">
        <v>60</v>
      </c>
      <c r="V45" s="489" t="s">
        <v>65</v>
      </c>
      <c r="W45" s="489"/>
      <c r="X45" s="489"/>
      <c r="Y45" s="489"/>
      <c r="Z45" s="489"/>
    </row>
    <row r="46" spans="1:27" ht="15.75" customHeight="1" x14ac:dyDescent="0.25">
      <c r="B46" s="492"/>
      <c r="C46" s="490" t="s">
        <v>50</v>
      </c>
      <c r="D46" s="490"/>
      <c r="E46" s="490"/>
      <c r="F46" s="490"/>
      <c r="G46" s="491" t="s">
        <v>37</v>
      </c>
      <c r="H46" s="96"/>
      <c r="I46" s="81"/>
      <c r="L46" s="492"/>
      <c r="M46" s="490" t="s">
        <v>50</v>
      </c>
      <c r="N46" s="490"/>
      <c r="O46" s="490"/>
      <c r="P46" s="490"/>
      <c r="Q46" s="491" t="s">
        <v>37</v>
      </c>
      <c r="R46" s="96"/>
      <c r="S46" s="81"/>
      <c r="U46" s="492"/>
      <c r="V46" s="490" t="s">
        <v>50</v>
      </c>
      <c r="W46" s="490"/>
      <c r="X46" s="490"/>
      <c r="Y46" s="490"/>
      <c r="Z46" s="491" t="s">
        <v>37</v>
      </c>
    </row>
    <row r="47" spans="1:27" ht="15.75" thickBot="1" x14ac:dyDescent="0.3">
      <c r="B47" s="492"/>
      <c r="C47" s="97" t="s">
        <v>52</v>
      </c>
      <c r="D47" s="97" t="s">
        <v>53</v>
      </c>
      <c r="E47" s="98" t="s">
        <v>51</v>
      </c>
      <c r="F47" s="97" t="s">
        <v>25</v>
      </c>
      <c r="G47" s="491"/>
      <c r="H47" s="96"/>
      <c r="I47" s="81"/>
      <c r="L47" s="492"/>
      <c r="M47" s="97" t="s">
        <v>52</v>
      </c>
      <c r="N47" s="97" t="s">
        <v>53</v>
      </c>
      <c r="O47" s="97" t="s">
        <v>51</v>
      </c>
      <c r="P47" s="97" t="s">
        <v>25</v>
      </c>
      <c r="Q47" s="491"/>
      <c r="R47" s="96"/>
      <c r="S47" s="81"/>
      <c r="U47" s="492"/>
      <c r="V47" s="97" t="s">
        <v>52</v>
      </c>
      <c r="W47" s="97" t="s">
        <v>53</v>
      </c>
      <c r="X47" s="98" t="s">
        <v>51</v>
      </c>
      <c r="Y47" s="97" t="s">
        <v>25</v>
      </c>
      <c r="Z47" s="491"/>
    </row>
    <row r="48" spans="1:27" ht="22.5" customHeight="1" x14ac:dyDescent="0.25">
      <c r="B48" s="99" t="s">
        <v>50</v>
      </c>
      <c r="C48" s="100" t="s">
        <v>48</v>
      </c>
      <c r="D48" s="101" t="s">
        <v>42</v>
      </c>
      <c r="E48" s="102">
        <f>E17*1.05</f>
        <v>630</v>
      </c>
      <c r="F48" s="103">
        <v>60</v>
      </c>
      <c r="G48" s="104">
        <f>E48*F48*12</f>
        <v>453600</v>
      </c>
      <c r="H48" s="96"/>
      <c r="L48" s="99" t="s">
        <v>50</v>
      </c>
      <c r="M48" s="100" t="s">
        <v>48</v>
      </c>
      <c r="N48" s="100" t="s">
        <v>47</v>
      </c>
      <c r="O48" s="102">
        <f>O17*1.05</f>
        <v>630</v>
      </c>
      <c r="P48" s="103">
        <v>60</v>
      </c>
      <c r="Q48" s="104">
        <f>O48*P48*12</f>
        <v>453600</v>
      </c>
      <c r="R48" s="96"/>
      <c r="T48" s="87"/>
      <c r="U48" s="99" t="s">
        <v>50</v>
      </c>
      <c r="V48" s="100" t="s">
        <v>48</v>
      </c>
      <c r="W48" s="101" t="s">
        <v>42</v>
      </c>
      <c r="X48" s="102">
        <f>X17*1.05</f>
        <v>630</v>
      </c>
      <c r="Y48" s="103">
        <v>60</v>
      </c>
      <c r="Z48" s="104">
        <f>X48*Y48*12</f>
        <v>453600</v>
      </c>
    </row>
    <row r="49" spans="2:30" ht="22.5" customHeight="1" thickBot="1" x14ac:dyDescent="0.3">
      <c r="B49" s="99" t="s">
        <v>50</v>
      </c>
      <c r="C49" s="100" t="s">
        <v>49</v>
      </c>
      <c r="D49" s="101" t="s">
        <v>42</v>
      </c>
      <c r="E49" s="105">
        <f>E18*1.05</f>
        <v>2100</v>
      </c>
      <c r="F49" s="103">
        <v>80</v>
      </c>
      <c r="G49" s="104">
        <f>E49*F49*12</f>
        <v>2016000</v>
      </c>
      <c r="H49" s="96"/>
      <c r="L49" s="99" t="s">
        <v>50</v>
      </c>
      <c r="M49" s="100" t="s">
        <v>49</v>
      </c>
      <c r="N49" s="100" t="s">
        <v>47</v>
      </c>
      <c r="O49" s="105">
        <f>O18*1.05</f>
        <v>2100</v>
      </c>
      <c r="P49" s="103">
        <v>80</v>
      </c>
      <c r="Q49" s="104">
        <f>O49*P49*12</f>
        <v>2016000</v>
      </c>
      <c r="R49" s="96"/>
      <c r="T49" s="87"/>
      <c r="U49" s="99" t="s">
        <v>50</v>
      </c>
      <c r="V49" s="100" t="s">
        <v>49</v>
      </c>
      <c r="W49" s="101" t="s">
        <v>42</v>
      </c>
      <c r="X49" s="105">
        <f>X18*1.05</f>
        <v>2100</v>
      </c>
      <c r="Y49" s="103">
        <v>80</v>
      </c>
      <c r="Z49" s="104">
        <f>X49*Y49*12</f>
        <v>2016000</v>
      </c>
    </row>
    <row r="50" spans="2:30" ht="22.5" customHeight="1" x14ac:dyDescent="0.25">
      <c r="B50" s="99" t="s">
        <v>50</v>
      </c>
      <c r="C50" s="100" t="s">
        <v>54</v>
      </c>
      <c r="D50" s="100" t="s">
        <v>47</v>
      </c>
      <c r="E50" s="106">
        <f>E49/2</f>
        <v>1050</v>
      </c>
      <c r="F50" s="100">
        <v>80</v>
      </c>
      <c r="G50" s="104">
        <f>E50*F50*12</f>
        <v>1008000</v>
      </c>
      <c r="H50" s="96"/>
      <c r="L50" s="99" t="s">
        <v>50</v>
      </c>
      <c r="M50" s="100" t="s">
        <v>49</v>
      </c>
      <c r="N50" s="100" t="s">
        <v>47</v>
      </c>
      <c r="O50" s="106">
        <f>O49/2</f>
        <v>1050</v>
      </c>
      <c r="P50" s="100">
        <v>80</v>
      </c>
      <c r="Q50" s="104">
        <f>O50*P50*12</f>
        <v>1008000</v>
      </c>
      <c r="R50" s="96"/>
      <c r="T50" s="87"/>
      <c r="U50" s="99" t="s">
        <v>50</v>
      </c>
      <c r="V50" s="100" t="s">
        <v>54</v>
      </c>
      <c r="W50" s="100" t="s">
        <v>47</v>
      </c>
      <c r="X50" s="106">
        <f>X49/2</f>
        <v>1050</v>
      </c>
      <c r="Y50" s="100">
        <v>80</v>
      </c>
      <c r="Z50" s="104">
        <f>X50*Y50*12</f>
        <v>1008000</v>
      </c>
    </row>
    <row r="51" spans="2:30" ht="30" customHeight="1" x14ac:dyDescent="0.25">
      <c r="B51" s="107" t="s">
        <v>34</v>
      </c>
      <c r="C51" s="487">
        <f>E48+E49</f>
        <v>2730</v>
      </c>
      <c r="D51" s="487"/>
      <c r="E51" s="487"/>
      <c r="F51" s="487"/>
      <c r="G51" s="108">
        <f>SUM(G48:G50)</f>
        <v>3477600</v>
      </c>
      <c r="H51" s="109"/>
      <c r="L51" s="107" t="s">
        <v>34</v>
      </c>
      <c r="M51" s="487">
        <f>O48+O49</f>
        <v>2730</v>
      </c>
      <c r="N51" s="487"/>
      <c r="O51" s="487"/>
      <c r="P51" s="487"/>
      <c r="Q51" s="108">
        <f>SUM(Q48:Q50)</f>
        <v>3477600</v>
      </c>
      <c r="R51" s="109"/>
      <c r="T51" s="87"/>
      <c r="U51" s="107" t="s">
        <v>34</v>
      </c>
      <c r="V51" s="487">
        <f>X48+X49</f>
        <v>2730</v>
      </c>
      <c r="W51" s="487"/>
      <c r="X51" s="487"/>
      <c r="Y51" s="487"/>
      <c r="Z51" s="108">
        <f>SUM(Z48:Z50)</f>
        <v>3477600</v>
      </c>
      <c r="AA51" s="110"/>
    </row>
    <row r="52" spans="2:30" ht="30.75" customHeight="1" x14ac:dyDescent="0.25">
      <c r="B52" s="488" t="s">
        <v>103</v>
      </c>
      <c r="C52" s="488"/>
      <c r="D52" s="488"/>
      <c r="E52" s="488"/>
      <c r="F52" s="488"/>
      <c r="G52" s="111">
        <f>G21</f>
        <v>4.7302071942446036</v>
      </c>
      <c r="H52" s="96"/>
      <c r="L52" s="488" t="s">
        <v>103</v>
      </c>
      <c r="M52" s="488"/>
      <c r="N52" s="488"/>
      <c r="O52" s="488"/>
      <c r="P52" s="488"/>
      <c r="Q52" s="111">
        <f>Q21</f>
        <v>4.7302071942446036</v>
      </c>
      <c r="R52" s="96"/>
      <c r="U52" s="488" t="s">
        <v>103</v>
      </c>
      <c r="V52" s="488"/>
      <c r="W52" s="488"/>
      <c r="X52" s="488"/>
      <c r="Y52" s="488"/>
      <c r="Z52" s="111" t="e">
        <f>Z21</f>
        <v>#REF!</v>
      </c>
    </row>
    <row r="53" spans="2:30" ht="22.5" customHeight="1" x14ac:dyDescent="0.25">
      <c r="B53" s="112" t="s">
        <v>55</v>
      </c>
      <c r="C53" s="113" t="s">
        <v>4</v>
      </c>
      <c r="D53" s="113" t="s">
        <v>127</v>
      </c>
      <c r="E53" s="113" t="s">
        <v>4</v>
      </c>
      <c r="F53" s="113" t="s">
        <v>4</v>
      </c>
      <c r="G53" s="114">
        <f>(G51*G52)/1.05</f>
        <v>15666446.227338128</v>
      </c>
      <c r="H53" s="96"/>
      <c r="L53" s="112" t="s">
        <v>55</v>
      </c>
      <c r="M53" s="113" t="s">
        <v>4</v>
      </c>
      <c r="N53" s="113" t="str">
        <f>N50</f>
        <v>pašvaldība</v>
      </c>
      <c r="O53" s="113" t="s">
        <v>4</v>
      </c>
      <c r="P53" s="113" t="s">
        <v>4</v>
      </c>
      <c r="Q53" s="114">
        <f>(Q51*Q52)/1.05</f>
        <v>15666446.227338128</v>
      </c>
      <c r="R53" s="96"/>
      <c r="U53" s="112" t="s">
        <v>55</v>
      </c>
      <c r="V53" s="113" t="s">
        <v>4</v>
      </c>
      <c r="W53" s="113" t="s">
        <v>127</v>
      </c>
      <c r="X53" s="113" t="s">
        <v>4</v>
      </c>
      <c r="Y53" s="113" t="s">
        <v>4</v>
      </c>
      <c r="Z53" s="114" t="e">
        <f>(Z51*Z52)/1.05</f>
        <v>#REF!</v>
      </c>
    </row>
    <row r="54" spans="2:30" ht="22.5" customHeight="1" x14ac:dyDescent="0.25">
      <c r="B54" s="112" t="s">
        <v>56</v>
      </c>
      <c r="C54" s="113" t="s">
        <v>4</v>
      </c>
      <c r="D54" s="113" t="s">
        <v>42</v>
      </c>
      <c r="E54" s="113" t="s">
        <v>4</v>
      </c>
      <c r="F54" s="113" t="s">
        <v>4</v>
      </c>
      <c r="G54" s="115">
        <v>283289.64545454545</v>
      </c>
      <c r="H54" s="96"/>
      <c r="L54" s="112" t="s">
        <v>56</v>
      </c>
      <c r="M54" s="113" t="s">
        <v>4</v>
      </c>
      <c r="N54" s="113" t="str">
        <f>N53</f>
        <v>pašvaldība</v>
      </c>
      <c r="O54" s="113" t="s">
        <v>4</v>
      </c>
      <c r="P54" s="113" t="s">
        <v>4</v>
      </c>
      <c r="Q54" s="115">
        <f>G54</f>
        <v>283289.64545454545</v>
      </c>
      <c r="R54" s="96"/>
      <c r="U54" s="112" t="s">
        <v>56</v>
      </c>
      <c r="V54" s="113" t="s">
        <v>4</v>
      </c>
      <c r="W54" s="113" t="s">
        <v>42</v>
      </c>
      <c r="X54" s="113" t="s">
        <v>4</v>
      </c>
      <c r="Y54" s="113" t="s">
        <v>4</v>
      </c>
      <c r="Z54" s="115">
        <f>Q54</f>
        <v>283289.64545454545</v>
      </c>
    </row>
    <row r="55" spans="2:30" ht="22.5" customHeight="1" x14ac:dyDescent="0.25">
      <c r="B55" s="112" t="s">
        <v>104</v>
      </c>
      <c r="C55" s="113" t="s">
        <v>4</v>
      </c>
      <c r="D55" s="113" t="s">
        <v>127</v>
      </c>
      <c r="E55" s="113" t="s">
        <v>4</v>
      </c>
      <c r="F55" s="113" t="s">
        <v>4</v>
      </c>
      <c r="G55" s="115">
        <f>(G53+G54)*0.05</f>
        <v>797486.79363963369</v>
      </c>
      <c r="H55" s="96"/>
      <c r="L55" s="112" t="s">
        <v>104</v>
      </c>
      <c r="M55" s="113" t="s">
        <v>4</v>
      </c>
      <c r="N55" s="113" t="str">
        <f>N54</f>
        <v>pašvaldība</v>
      </c>
      <c r="O55" s="113" t="s">
        <v>4</v>
      </c>
      <c r="P55" s="113" t="s">
        <v>4</v>
      </c>
      <c r="Q55" s="115">
        <f>(Q53+Q54)*0.05</f>
        <v>797486.79363963369</v>
      </c>
      <c r="R55" s="96"/>
      <c r="U55" s="112" t="s">
        <v>104</v>
      </c>
      <c r="V55" s="113" t="s">
        <v>4</v>
      </c>
      <c r="W55" s="113" t="s">
        <v>127</v>
      </c>
      <c r="X55" s="113" t="s">
        <v>4</v>
      </c>
      <c r="Y55" s="113" t="s">
        <v>4</v>
      </c>
      <c r="Z55" s="115" t="e">
        <f>(Z53+Z54)*0.05</f>
        <v>#REF!</v>
      </c>
    </row>
    <row r="56" spans="2:30" ht="37.5" customHeight="1" x14ac:dyDescent="0.25">
      <c r="B56" s="116" t="s">
        <v>57</v>
      </c>
      <c r="C56" s="117" t="s">
        <v>4</v>
      </c>
      <c r="D56" s="117" t="s">
        <v>127</v>
      </c>
      <c r="E56" s="117" t="s">
        <v>4</v>
      </c>
      <c r="F56" s="117" t="s">
        <v>4</v>
      </c>
      <c r="G56" s="118">
        <f>G53+G54+G55</f>
        <v>16747222.666432306</v>
      </c>
      <c r="H56" s="96"/>
      <c r="L56" s="116" t="s">
        <v>121</v>
      </c>
      <c r="M56" s="117" t="s">
        <v>4</v>
      </c>
      <c r="N56" s="117" t="str">
        <f>N55</f>
        <v>pašvaldība</v>
      </c>
      <c r="O56" s="117" t="s">
        <v>4</v>
      </c>
      <c r="P56" s="117" t="s">
        <v>4</v>
      </c>
      <c r="Q56" s="118">
        <f>Q53+Q54+Q55</f>
        <v>16747222.666432306</v>
      </c>
      <c r="R56" s="96"/>
      <c r="U56" s="116" t="s">
        <v>57</v>
      </c>
      <c r="V56" s="117" t="s">
        <v>4</v>
      </c>
      <c r="W56" s="117" t="s">
        <v>127</v>
      </c>
      <c r="X56" s="117" t="s">
        <v>4</v>
      </c>
      <c r="Y56" s="117" t="s">
        <v>4</v>
      </c>
      <c r="Z56" s="118" t="e">
        <f>Z53+Z54+Z55</f>
        <v>#REF!</v>
      </c>
    </row>
    <row r="57" spans="2:30" s="165" customFormat="1" ht="25.5" customHeight="1" x14ac:dyDescent="0.25">
      <c r="B57" s="174"/>
      <c r="C57" s="174"/>
      <c r="D57" s="174"/>
      <c r="E57" s="174"/>
      <c r="F57" s="174"/>
      <c r="G57" s="174"/>
      <c r="H57" s="172"/>
      <c r="L57" s="174"/>
      <c r="M57" s="174"/>
      <c r="N57" s="174"/>
      <c r="O57" s="174"/>
      <c r="P57" s="174"/>
      <c r="Q57" s="174"/>
      <c r="R57" s="172"/>
      <c r="U57" s="174"/>
      <c r="V57" s="174"/>
      <c r="W57" s="174"/>
      <c r="X57" s="174"/>
      <c r="Y57" s="174"/>
      <c r="Z57" s="174"/>
    </row>
    <row r="58" spans="2:30" ht="32.25" customHeight="1" x14ac:dyDescent="0.25">
      <c r="B58" s="88" t="s">
        <v>58</v>
      </c>
      <c r="C58" s="119">
        <f>C59+C60+C61</f>
        <v>11979173.814633746</v>
      </c>
      <c r="D58" s="173"/>
      <c r="E58" s="174"/>
      <c r="F58" s="88" t="s">
        <v>59</v>
      </c>
      <c r="G58" s="119">
        <f>G59+G60+G61</f>
        <v>4768048.8517985605</v>
      </c>
      <c r="H58" s="96"/>
      <c r="L58" s="88" t="s">
        <v>58</v>
      </c>
      <c r="M58" s="121">
        <v>0</v>
      </c>
      <c r="N58" s="173"/>
      <c r="O58" s="174"/>
      <c r="P58" s="88" t="s">
        <v>59</v>
      </c>
      <c r="Q58" s="119">
        <f>Q59+Q60+Q61</f>
        <v>16747222.666432306</v>
      </c>
      <c r="R58" s="96"/>
      <c r="U58" s="88" t="s">
        <v>58</v>
      </c>
      <c r="V58" s="119" t="e">
        <f>V59+V60+V61</f>
        <v>#REF!</v>
      </c>
      <c r="W58" s="173"/>
      <c r="X58" s="174"/>
      <c r="Y58" s="88" t="s">
        <v>59</v>
      </c>
      <c r="Z58" s="119" t="e">
        <f>Z59+Z60+Z61</f>
        <v>#REF!</v>
      </c>
      <c r="AB58" s="92"/>
      <c r="AC58" s="92"/>
      <c r="AD58" s="92"/>
    </row>
    <row r="59" spans="2:30" ht="41.25" customHeight="1" x14ac:dyDescent="0.25">
      <c r="B59" s="122" t="str">
        <f>B53</f>
        <v>Izdevumu kopā, h apmaksai, euro</v>
      </c>
      <c r="C59" s="123">
        <f>((G48+G49)*G52)/1.05</f>
        <v>11125447.320863308</v>
      </c>
      <c r="D59" s="173"/>
      <c r="E59" s="175"/>
      <c r="F59" s="122" t="s">
        <v>55</v>
      </c>
      <c r="G59" s="123">
        <f>(G50*G52)/1.05</f>
        <v>4540998.9064748194</v>
      </c>
      <c r="H59" s="96"/>
      <c r="L59" s="122" t="str">
        <f>L53</f>
        <v>Izdevumu kopā, h apmaksai, euro</v>
      </c>
      <c r="M59" s="121">
        <v>0</v>
      </c>
      <c r="N59" s="173"/>
      <c r="O59" s="175"/>
      <c r="P59" s="122" t="s">
        <v>55</v>
      </c>
      <c r="Q59" s="123">
        <f>((Q48+Q49+Q50)*Q52)/1.05</f>
        <v>15666446.227338128</v>
      </c>
      <c r="R59" s="96"/>
      <c r="U59" s="122" t="str">
        <f>U53</f>
        <v>Izdevumu kopā, h apmaksai, euro</v>
      </c>
      <c r="V59" s="123" t="e">
        <f>((Z48+Z49)*Z52)/1.05</f>
        <v>#REF!</v>
      </c>
      <c r="W59" s="173"/>
      <c r="X59" s="175"/>
      <c r="Y59" s="122" t="s">
        <v>55</v>
      </c>
      <c r="Z59" s="123" t="e">
        <f>(Z50*Z52)/1.05</f>
        <v>#REF!</v>
      </c>
    </row>
    <row r="60" spans="2:30" ht="41.25" customHeight="1" x14ac:dyDescent="0.25">
      <c r="B60" s="122" t="str">
        <f>B54</f>
        <v>Transporta izdevumi, euro</v>
      </c>
      <c r="C60" s="123">
        <f>G54</f>
        <v>283289.64545454545</v>
      </c>
      <c r="D60" s="173"/>
      <c r="E60" s="175"/>
      <c r="F60" s="122" t="s">
        <v>56</v>
      </c>
      <c r="G60" s="123">
        <f>J54</f>
        <v>0</v>
      </c>
      <c r="H60" s="96"/>
      <c r="L60" s="122" t="str">
        <f>L54</f>
        <v>Transporta izdevumi, euro</v>
      </c>
      <c r="M60" s="121">
        <v>0</v>
      </c>
      <c r="N60" s="173"/>
      <c r="O60" s="175"/>
      <c r="P60" s="122" t="s">
        <v>56</v>
      </c>
      <c r="Q60" s="123">
        <f>Q54</f>
        <v>283289.64545454545</v>
      </c>
      <c r="R60" s="96"/>
      <c r="U60" s="122" t="str">
        <f>U54</f>
        <v>Transporta izdevumi, euro</v>
      </c>
      <c r="V60" s="123">
        <f>Z54</f>
        <v>283289.64545454545</v>
      </c>
      <c r="W60" s="173"/>
      <c r="X60" s="175"/>
      <c r="Y60" s="122" t="s">
        <v>56</v>
      </c>
      <c r="Z60" s="123">
        <f>AC54</f>
        <v>0</v>
      </c>
    </row>
    <row r="61" spans="2:30" ht="36" customHeight="1" x14ac:dyDescent="0.25">
      <c r="B61" s="122" t="str">
        <f>B55</f>
        <v>Administrēšana ~5%, euro</v>
      </c>
      <c r="C61" s="123">
        <f>(C59+C60)*0.05</f>
        <v>570436.84831589262</v>
      </c>
      <c r="D61" s="173"/>
      <c r="E61" s="175"/>
      <c r="F61" s="122" t="s">
        <v>104</v>
      </c>
      <c r="G61" s="123">
        <f>(G59+G60)*0.05</f>
        <v>227049.94532374098</v>
      </c>
      <c r="H61" s="96"/>
      <c r="L61" s="122" t="str">
        <f>L55</f>
        <v>Administrēšana ~5%, euro</v>
      </c>
      <c r="M61" s="121">
        <v>0</v>
      </c>
      <c r="N61" s="173"/>
      <c r="O61" s="175"/>
      <c r="P61" s="122" t="s">
        <v>104</v>
      </c>
      <c r="Q61" s="123">
        <f>(Q59+Q60)*0.05</f>
        <v>797486.79363963369</v>
      </c>
      <c r="R61" s="96"/>
      <c r="U61" s="122" t="str">
        <f>U55</f>
        <v>Administrēšana ~5%, euro</v>
      </c>
      <c r="V61" s="123" t="e">
        <f>(V59+V60)*0.05</f>
        <v>#REF!</v>
      </c>
      <c r="W61" s="173"/>
      <c r="X61" s="175"/>
      <c r="Y61" s="122" t="s">
        <v>104</v>
      </c>
      <c r="Z61" s="123" t="e">
        <f>(Z59+Z60)*0.05</f>
        <v>#REF!</v>
      </c>
    </row>
    <row r="62" spans="2:30" ht="25.5" customHeight="1" x14ac:dyDescent="0.25">
      <c r="B62" s="124"/>
      <c r="C62" s="120"/>
      <c r="D62" s="120"/>
      <c r="E62" s="120"/>
      <c r="F62" s="120"/>
      <c r="G62" s="120"/>
      <c r="H62" s="125">
        <f>G56-C58-G58</f>
        <v>0</v>
      </c>
      <c r="L62" s="124"/>
      <c r="M62" s="120"/>
      <c r="N62" s="120"/>
      <c r="O62" s="120"/>
      <c r="P62" s="120"/>
      <c r="Q62" s="120"/>
      <c r="R62" s="125"/>
      <c r="U62" s="124"/>
      <c r="V62" s="120"/>
      <c r="W62" s="173"/>
      <c r="X62" s="173"/>
      <c r="Y62" s="120"/>
      <c r="Z62" s="120"/>
      <c r="AA62" s="126" t="e">
        <f>Z56-V58-Z58</f>
        <v>#REF!</v>
      </c>
    </row>
    <row r="63" spans="2:30" ht="20.45" hidden="1" customHeight="1" x14ac:dyDescent="0.25">
      <c r="B63" s="79" t="s">
        <v>118</v>
      </c>
      <c r="C63" s="120"/>
      <c r="D63" s="120"/>
      <c r="E63" s="120"/>
      <c r="F63" s="120"/>
      <c r="G63" s="120"/>
      <c r="H63" s="127"/>
      <c r="I63" s="128"/>
      <c r="J63" s="128"/>
      <c r="K63" s="128"/>
      <c r="L63" s="124"/>
      <c r="M63" s="120"/>
      <c r="N63" s="120"/>
      <c r="O63" s="120"/>
      <c r="P63" s="120"/>
      <c r="Q63" s="120"/>
      <c r="R63" s="127"/>
      <c r="S63" s="128"/>
      <c r="T63" s="128"/>
      <c r="U63" s="124"/>
      <c r="V63" s="120"/>
      <c r="W63" s="173"/>
      <c r="X63" s="173"/>
      <c r="Y63" s="120"/>
      <c r="Z63" s="120"/>
      <c r="AA63" s="126"/>
    </row>
    <row r="64" spans="2:30" ht="20.45" hidden="1" customHeight="1" x14ac:dyDescent="0.25">
      <c r="B64" s="79" t="s">
        <v>117</v>
      </c>
      <c r="C64" s="120"/>
      <c r="D64" s="120"/>
      <c r="E64" s="120"/>
      <c r="F64" s="120"/>
      <c r="G64" s="120"/>
      <c r="H64" s="127"/>
      <c r="I64" s="128"/>
      <c r="J64" s="128"/>
      <c r="K64" s="128"/>
      <c r="L64" s="124"/>
      <c r="M64" s="120"/>
      <c r="N64" s="120"/>
      <c r="O64" s="120"/>
      <c r="P64" s="120"/>
      <c r="Q64" s="120"/>
      <c r="R64" s="127"/>
      <c r="S64" s="128"/>
      <c r="T64" s="128"/>
      <c r="U64" s="124"/>
      <c r="V64" s="120"/>
      <c r="W64" s="120"/>
      <c r="X64" s="120"/>
      <c r="Y64" s="120"/>
      <c r="Z64" s="120"/>
      <c r="AA64" s="126"/>
    </row>
    <row r="65" spans="1:27" ht="20.45" hidden="1" customHeight="1" x14ac:dyDescent="0.25">
      <c r="C65" s="120"/>
      <c r="D65" s="120"/>
      <c r="E65" s="120"/>
      <c r="F65" s="120"/>
      <c r="G65" s="120"/>
      <c r="H65" s="127"/>
      <c r="I65" s="128"/>
      <c r="J65" s="128"/>
      <c r="K65" s="128"/>
      <c r="L65" s="124"/>
      <c r="M65" s="120"/>
      <c r="N65" s="120"/>
      <c r="O65" s="120"/>
      <c r="P65" s="120"/>
      <c r="Q65" s="120"/>
      <c r="R65" s="127"/>
      <c r="S65" s="128"/>
      <c r="T65" s="128"/>
      <c r="U65" s="124"/>
      <c r="V65" s="120"/>
      <c r="W65" s="120"/>
      <c r="X65" s="120"/>
      <c r="Y65" s="120"/>
      <c r="Z65" s="120"/>
      <c r="AA65" s="126"/>
    </row>
    <row r="66" spans="1:27" ht="20.45" hidden="1" customHeight="1" x14ac:dyDescent="0.25">
      <c r="C66" s="120"/>
      <c r="D66" s="120"/>
      <c r="E66" s="120"/>
      <c r="F66" s="120"/>
      <c r="G66" s="120"/>
      <c r="H66" s="127"/>
      <c r="I66" s="128"/>
      <c r="J66" s="128"/>
      <c r="K66" s="128"/>
      <c r="L66" s="124"/>
      <c r="M66" s="120"/>
      <c r="N66" s="120"/>
      <c r="O66" s="120"/>
      <c r="P66" s="120"/>
      <c r="Q66" s="120"/>
      <c r="R66" s="127"/>
      <c r="S66" s="128"/>
      <c r="T66" s="128"/>
      <c r="U66" s="124"/>
      <c r="V66" s="120"/>
      <c r="W66" s="120"/>
      <c r="X66" s="120"/>
      <c r="Y66" s="120"/>
      <c r="Z66" s="120"/>
      <c r="AA66" s="126"/>
    </row>
    <row r="67" spans="1:27" ht="20.45" hidden="1" customHeight="1" x14ac:dyDescent="0.25">
      <c r="C67" s="120"/>
      <c r="D67" s="120"/>
      <c r="E67" s="120"/>
      <c r="F67" s="120"/>
      <c r="G67" s="120"/>
      <c r="H67" s="127"/>
      <c r="I67" s="128"/>
      <c r="J67" s="128"/>
      <c r="K67" s="128"/>
      <c r="L67" s="124"/>
      <c r="M67" s="120"/>
      <c r="N67" s="120"/>
      <c r="O67" s="120"/>
      <c r="P67" s="120"/>
      <c r="Q67" s="120"/>
      <c r="R67" s="127"/>
      <c r="S67" s="128"/>
      <c r="T67" s="128"/>
      <c r="U67" s="124"/>
      <c r="V67" s="120"/>
      <c r="W67" s="120"/>
      <c r="X67" s="120"/>
      <c r="Y67" s="120"/>
      <c r="Z67" s="120"/>
      <c r="AA67" s="126"/>
    </row>
    <row r="68" spans="1:27" ht="24" hidden="1" customHeight="1" x14ac:dyDescent="0.25">
      <c r="A68" s="128"/>
      <c r="B68" s="124"/>
      <c r="C68" s="120"/>
      <c r="D68" s="120"/>
      <c r="E68" s="120"/>
      <c r="F68" s="120"/>
      <c r="G68" s="120"/>
      <c r="H68" s="128"/>
      <c r="I68" s="128"/>
      <c r="J68" s="128"/>
      <c r="K68" s="128"/>
      <c r="L68" s="124"/>
      <c r="M68" s="120"/>
      <c r="N68" s="120"/>
      <c r="O68" s="120"/>
      <c r="P68" s="120"/>
      <c r="Q68" s="120"/>
      <c r="R68" s="128"/>
      <c r="S68" s="128"/>
      <c r="T68" s="128"/>
      <c r="U68" s="124"/>
      <c r="V68" s="120"/>
      <c r="W68" s="120"/>
      <c r="X68" s="120"/>
      <c r="Y68" s="120"/>
      <c r="Z68" s="129" t="s">
        <v>162</v>
      </c>
    </row>
    <row r="69" spans="1:27" ht="22.9" hidden="1" customHeight="1" x14ac:dyDescent="0.2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30" t="s">
        <v>106</v>
      </c>
    </row>
    <row r="70" spans="1:27" ht="22.9" customHeight="1" x14ac:dyDescent="0.2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30"/>
    </row>
    <row r="71" spans="1:27" ht="30" customHeight="1" x14ac:dyDescent="0.25">
      <c r="A71" s="486" t="s">
        <v>315</v>
      </c>
      <c r="B71" s="486"/>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row>
    <row r="72" spans="1:27" s="167" customFormat="1" ht="29.25" hidden="1" customHeight="1" x14ac:dyDescent="0.3">
      <c r="B72" s="168" t="s">
        <v>125</v>
      </c>
      <c r="H72" s="169"/>
      <c r="L72" s="168" t="s">
        <v>126</v>
      </c>
      <c r="R72" s="169"/>
      <c r="U72" s="168" t="s">
        <v>130</v>
      </c>
    </row>
    <row r="73" spans="1:27" ht="18.75" x14ac:dyDescent="0.3">
      <c r="B73" s="170" t="s">
        <v>23</v>
      </c>
      <c r="C73" s="164" t="s">
        <v>73</v>
      </c>
      <c r="D73" s="164"/>
      <c r="E73" s="164"/>
      <c r="F73" s="164"/>
      <c r="G73" s="164"/>
      <c r="H73" s="171"/>
      <c r="I73" s="164"/>
      <c r="J73" s="164"/>
      <c r="K73" s="164"/>
      <c r="L73" s="170" t="s">
        <v>23</v>
      </c>
      <c r="M73" s="164" t="s">
        <v>73</v>
      </c>
      <c r="N73" s="164"/>
      <c r="O73" s="164"/>
      <c r="P73" s="164"/>
      <c r="Q73" s="164"/>
      <c r="R73" s="171"/>
      <c r="S73" s="164"/>
      <c r="T73" s="164"/>
      <c r="U73" s="170" t="s">
        <v>23</v>
      </c>
      <c r="V73" s="164" t="s">
        <v>98</v>
      </c>
      <c r="W73" s="164"/>
      <c r="X73" s="164"/>
      <c r="Y73" s="164"/>
      <c r="Z73" s="164"/>
    </row>
    <row r="74" spans="1:27" ht="18.75" x14ac:dyDescent="0.3">
      <c r="B74" s="170" t="s">
        <v>23</v>
      </c>
      <c r="C74" s="164" t="s">
        <v>109</v>
      </c>
      <c r="D74" s="164"/>
      <c r="E74" s="164"/>
      <c r="F74" s="164"/>
      <c r="G74" s="164"/>
      <c r="H74" s="171"/>
      <c r="I74" s="164"/>
      <c r="J74" s="164"/>
      <c r="K74" s="164"/>
      <c r="L74" s="170" t="s">
        <v>23</v>
      </c>
      <c r="M74" s="164" t="str">
        <f>C74</f>
        <v>Atbalsta intensitātes noteikšanas anketa</v>
      </c>
      <c r="N74" s="164"/>
      <c r="O74" s="164"/>
      <c r="P74" s="164"/>
      <c r="Q74" s="164"/>
      <c r="R74" s="171"/>
      <c r="S74" s="164"/>
      <c r="T74" s="164"/>
      <c r="U74" s="170" t="s">
        <v>23</v>
      </c>
      <c r="V74" s="164" t="str">
        <f t="shared" ref="V74:V75" si="1">C74</f>
        <v>Atbalsta intensitātes noteikšanas anketa</v>
      </c>
      <c r="W74" s="164"/>
      <c r="X74" s="164"/>
      <c r="Y74" s="164"/>
      <c r="Z74" s="164"/>
    </row>
    <row r="75" spans="1:27" ht="18.75" x14ac:dyDescent="0.3">
      <c r="B75" s="170" t="s">
        <v>23</v>
      </c>
      <c r="C75" s="164" t="s">
        <v>99</v>
      </c>
      <c r="D75" s="164"/>
      <c r="E75" s="164"/>
      <c r="F75" s="164"/>
      <c r="G75" s="164"/>
      <c r="H75" s="171"/>
      <c r="I75" s="164"/>
      <c r="J75" s="164"/>
      <c r="K75" s="164"/>
      <c r="L75" s="170" t="s">
        <v>23</v>
      </c>
      <c r="M75" s="164" t="str">
        <f>C75</f>
        <v>PNA kā vienīgais attaisnojuma dok. par pak. faktisko apjomu</v>
      </c>
      <c r="N75" s="164"/>
      <c r="O75" s="164"/>
      <c r="P75" s="164"/>
      <c r="Q75" s="164"/>
      <c r="R75" s="171"/>
      <c r="S75" s="164"/>
      <c r="T75" s="164"/>
      <c r="U75" s="170" t="s">
        <v>23</v>
      </c>
      <c r="V75" s="164" t="str">
        <f t="shared" si="1"/>
        <v>PNA kā vienīgais attaisnojuma dok. par pak. faktisko apjomu</v>
      </c>
      <c r="W75" s="164"/>
      <c r="X75" s="164"/>
      <c r="Y75" s="164"/>
      <c r="Z75" s="164"/>
    </row>
    <row r="76" spans="1:27" ht="18.75" x14ac:dyDescent="0.25">
      <c r="B76" s="60" t="s">
        <v>50</v>
      </c>
      <c r="C76" s="165"/>
      <c r="D76" s="165"/>
      <c r="E76" s="165"/>
      <c r="F76" s="165"/>
      <c r="G76" s="165"/>
      <c r="H76" s="96"/>
      <c r="L76" s="60" t="s">
        <v>50</v>
      </c>
      <c r="M76" s="165"/>
      <c r="N76" s="165"/>
      <c r="O76" s="165"/>
      <c r="P76" s="165"/>
      <c r="Q76" s="165"/>
      <c r="R76" s="96"/>
      <c r="U76" s="60" t="s">
        <v>50</v>
      </c>
      <c r="V76" s="165"/>
      <c r="W76" s="165"/>
      <c r="X76" s="165"/>
      <c r="Y76" s="165"/>
      <c r="Z76" s="165"/>
    </row>
    <row r="77" spans="1:27" ht="20.25" hidden="1" x14ac:dyDescent="0.3">
      <c r="B77" s="82" t="s">
        <v>46</v>
      </c>
      <c r="H77" s="96"/>
      <c r="L77" s="82" t="s">
        <v>46</v>
      </c>
      <c r="R77" s="96"/>
      <c r="U77" s="82" t="s">
        <v>46</v>
      </c>
    </row>
    <row r="78" spans="1:27" x14ac:dyDescent="0.25">
      <c r="B78" s="492" t="s">
        <v>60</v>
      </c>
      <c r="C78" s="489" t="s">
        <v>65</v>
      </c>
      <c r="D78" s="489"/>
      <c r="E78" s="489"/>
      <c r="F78" s="489"/>
      <c r="G78" s="489"/>
      <c r="H78" s="96"/>
      <c r="L78" s="492" t="s">
        <v>60</v>
      </c>
      <c r="M78" s="489" t="s">
        <v>65</v>
      </c>
      <c r="N78" s="489"/>
      <c r="O78" s="489"/>
      <c r="P78" s="489"/>
      <c r="Q78" s="489"/>
      <c r="R78" s="96"/>
      <c r="U78" s="492" t="s">
        <v>60</v>
      </c>
      <c r="V78" s="489" t="s">
        <v>65</v>
      </c>
      <c r="W78" s="489"/>
      <c r="X78" s="489"/>
      <c r="Y78" s="489"/>
      <c r="Z78" s="489"/>
    </row>
    <row r="79" spans="1:27" ht="15.75" customHeight="1" x14ac:dyDescent="0.25">
      <c r="B79" s="492"/>
      <c r="C79" s="490" t="s">
        <v>50</v>
      </c>
      <c r="D79" s="490"/>
      <c r="E79" s="490"/>
      <c r="F79" s="490"/>
      <c r="G79" s="491" t="s">
        <v>37</v>
      </c>
      <c r="H79" s="96"/>
      <c r="I79" s="81"/>
      <c r="L79" s="492"/>
      <c r="M79" s="490" t="s">
        <v>50</v>
      </c>
      <c r="N79" s="490"/>
      <c r="O79" s="490"/>
      <c r="P79" s="490"/>
      <c r="Q79" s="491" t="s">
        <v>37</v>
      </c>
      <c r="R79" s="96"/>
      <c r="S79" s="81"/>
      <c r="U79" s="492"/>
      <c r="V79" s="490" t="s">
        <v>50</v>
      </c>
      <c r="W79" s="490"/>
      <c r="X79" s="490"/>
      <c r="Y79" s="490"/>
      <c r="Z79" s="491" t="s">
        <v>37</v>
      </c>
    </row>
    <row r="80" spans="1:27" ht="15.75" thickBot="1" x14ac:dyDescent="0.3">
      <c r="B80" s="492"/>
      <c r="C80" s="97" t="s">
        <v>52</v>
      </c>
      <c r="D80" s="97" t="s">
        <v>53</v>
      </c>
      <c r="E80" s="98" t="s">
        <v>51</v>
      </c>
      <c r="F80" s="97" t="s">
        <v>25</v>
      </c>
      <c r="G80" s="491"/>
      <c r="H80" s="96"/>
      <c r="I80" s="81"/>
      <c r="L80" s="492"/>
      <c r="M80" s="97" t="s">
        <v>52</v>
      </c>
      <c r="N80" s="97" t="s">
        <v>53</v>
      </c>
      <c r="O80" s="97" t="s">
        <v>51</v>
      </c>
      <c r="P80" s="97" t="s">
        <v>25</v>
      </c>
      <c r="Q80" s="491"/>
      <c r="R80" s="96"/>
      <c r="S80" s="81"/>
      <c r="U80" s="492"/>
      <c r="V80" s="97" t="s">
        <v>52</v>
      </c>
      <c r="W80" s="97" t="s">
        <v>53</v>
      </c>
      <c r="X80" s="98" t="s">
        <v>51</v>
      </c>
      <c r="Y80" s="97" t="s">
        <v>25</v>
      </c>
      <c r="Z80" s="491"/>
    </row>
    <row r="81" spans="2:30" ht="26.25" customHeight="1" x14ac:dyDescent="0.25">
      <c r="B81" s="99" t="s">
        <v>50</v>
      </c>
      <c r="C81" s="100" t="s">
        <v>48</v>
      </c>
      <c r="D81" s="101" t="s">
        <v>42</v>
      </c>
      <c r="E81" s="131">
        <f>E48*1.05</f>
        <v>661.5</v>
      </c>
      <c r="F81" s="103">
        <v>60</v>
      </c>
      <c r="G81" s="104">
        <f>E81*F81*12</f>
        <v>476280</v>
      </c>
      <c r="H81" s="96"/>
      <c r="L81" s="99" t="s">
        <v>50</v>
      </c>
      <c r="M81" s="100" t="s">
        <v>48</v>
      </c>
      <c r="N81" s="100" t="s">
        <v>47</v>
      </c>
      <c r="O81" s="131">
        <f>O48*1.05</f>
        <v>661.5</v>
      </c>
      <c r="P81" s="103">
        <v>60</v>
      </c>
      <c r="Q81" s="104">
        <f>O81*P81*12</f>
        <v>476280</v>
      </c>
      <c r="R81" s="96"/>
      <c r="T81" s="87"/>
      <c r="U81" s="99" t="s">
        <v>50</v>
      </c>
      <c r="V81" s="100" t="s">
        <v>48</v>
      </c>
      <c r="W81" s="101" t="s">
        <v>42</v>
      </c>
      <c r="X81" s="131">
        <f>X48*1.05</f>
        <v>661.5</v>
      </c>
      <c r="Y81" s="103">
        <v>60</v>
      </c>
      <c r="Z81" s="104">
        <f>X81*Y81*12</f>
        <v>476280</v>
      </c>
    </row>
    <row r="82" spans="2:30" ht="26.25" customHeight="1" thickBot="1" x14ac:dyDescent="0.3">
      <c r="B82" s="99" t="s">
        <v>50</v>
      </c>
      <c r="C82" s="100" t="s">
        <v>49</v>
      </c>
      <c r="D82" s="101" t="s">
        <v>42</v>
      </c>
      <c r="E82" s="105">
        <f>E49*1.05</f>
        <v>2205</v>
      </c>
      <c r="F82" s="103">
        <v>80</v>
      </c>
      <c r="G82" s="104">
        <f>E82*F82*12</f>
        <v>2116800</v>
      </c>
      <c r="H82" s="96"/>
      <c r="L82" s="99" t="s">
        <v>50</v>
      </c>
      <c r="M82" s="100" t="s">
        <v>49</v>
      </c>
      <c r="N82" s="100" t="s">
        <v>47</v>
      </c>
      <c r="O82" s="105">
        <f>O49*1.05</f>
        <v>2205</v>
      </c>
      <c r="P82" s="103">
        <v>80</v>
      </c>
      <c r="Q82" s="104">
        <f>O82*P82*12</f>
        <v>2116800</v>
      </c>
      <c r="R82" s="96"/>
      <c r="T82" s="87"/>
      <c r="U82" s="99" t="s">
        <v>50</v>
      </c>
      <c r="V82" s="100" t="s">
        <v>49</v>
      </c>
      <c r="W82" s="101" t="s">
        <v>42</v>
      </c>
      <c r="X82" s="132">
        <f>X49*1.05</f>
        <v>2205</v>
      </c>
      <c r="Y82" s="103">
        <v>80</v>
      </c>
      <c r="Z82" s="104">
        <f>X82*Y82*12</f>
        <v>2116800</v>
      </c>
    </row>
    <row r="83" spans="2:30" ht="26.25" customHeight="1" x14ac:dyDescent="0.25">
      <c r="B83" s="99" t="s">
        <v>50</v>
      </c>
      <c r="C83" s="100" t="s">
        <v>54</v>
      </c>
      <c r="D83" s="100" t="s">
        <v>47</v>
      </c>
      <c r="E83" s="133">
        <f>E82/2</f>
        <v>1102.5</v>
      </c>
      <c r="F83" s="100">
        <v>80</v>
      </c>
      <c r="G83" s="104">
        <f>E83*F83*12</f>
        <v>1058400</v>
      </c>
      <c r="H83" s="96"/>
      <c r="L83" s="99" t="s">
        <v>50</v>
      </c>
      <c r="M83" s="100" t="s">
        <v>49</v>
      </c>
      <c r="N83" s="100" t="s">
        <v>47</v>
      </c>
      <c r="O83" s="133">
        <f>O82/2</f>
        <v>1102.5</v>
      </c>
      <c r="P83" s="100">
        <v>80</v>
      </c>
      <c r="Q83" s="104">
        <f>O83*P83*12</f>
        <v>1058400</v>
      </c>
      <c r="R83" s="96"/>
      <c r="T83" s="87"/>
      <c r="U83" s="99" t="s">
        <v>50</v>
      </c>
      <c r="V83" s="100" t="s">
        <v>54</v>
      </c>
      <c r="W83" s="100" t="s">
        <v>47</v>
      </c>
      <c r="X83" s="133">
        <f>X82/2</f>
        <v>1102.5</v>
      </c>
      <c r="Y83" s="100">
        <v>80</v>
      </c>
      <c r="Z83" s="104">
        <f>X83*Y83*12</f>
        <v>1058400</v>
      </c>
    </row>
    <row r="84" spans="2:30" ht="22.5" customHeight="1" x14ac:dyDescent="0.25">
      <c r="B84" s="107" t="s">
        <v>34</v>
      </c>
      <c r="C84" s="487">
        <f>E81+E82</f>
        <v>2866.5</v>
      </c>
      <c r="D84" s="487"/>
      <c r="E84" s="487"/>
      <c r="F84" s="487"/>
      <c r="G84" s="108">
        <f>SUM(G81:G83)</f>
        <v>3651480</v>
      </c>
      <c r="H84" s="109"/>
      <c r="L84" s="107" t="s">
        <v>34</v>
      </c>
      <c r="M84" s="487">
        <f>O81+O82</f>
        <v>2866.5</v>
      </c>
      <c r="N84" s="487"/>
      <c r="O84" s="487"/>
      <c r="P84" s="487"/>
      <c r="Q84" s="108">
        <f>SUM(Q81:Q83)</f>
        <v>3651480</v>
      </c>
      <c r="R84" s="109"/>
      <c r="T84" s="87"/>
      <c r="U84" s="107" t="s">
        <v>34</v>
      </c>
      <c r="V84" s="487">
        <f>X81+X82</f>
        <v>2866.5</v>
      </c>
      <c r="W84" s="487"/>
      <c r="X84" s="487"/>
      <c r="Y84" s="487"/>
      <c r="Z84" s="108">
        <f>SUM(Z81:Z83)</f>
        <v>3651480</v>
      </c>
      <c r="AA84" s="110"/>
    </row>
    <row r="85" spans="2:30" ht="30.75" customHeight="1" x14ac:dyDescent="0.25">
      <c r="B85" s="488" t="s">
        <v>103</v>
      </c>
      <c r="C85" s="488"/>
      <c r="D85" s="488"/>
      <c r="E85" s="488"/>
      <c r="F85" s="488"/>
      <c r="G85" s="111">
        <f>G52</f>
        <v>4.7302071942446036</v>
      </c>
      <c r="H85" s="96"/>
      <c r="L85" s="488" t="s">
        <v>103</v>
      </c>
      <c r="M85" s="488"/>
      <c r="N85" s="488"/>
      <c r="O85" s="488"/>
      <c r="P85" s="488"/>
      <c r="Q85" s="111">
        <f>Q52</f>
        <v>4.7302071942446036</v>
      </c>
      <c r="R85" s="96"/>
      <c r="U85" s="488" t="s">
        <v>103</v>
      </c>
      <c r="V85" s="488"/>
      <c r="W85" s="488"/>
      <c r="X85" s="488"/>
      <c r="Y85" s="488"/>
      <c r="Z85" s="111" t="e">
        <f>Z52</f>
        <v>#REF!</v>
      </c>
    </row>
    <row r="86" spans="2:30" ht="21" customHeight="1" x14ac:dyDescent="0.25">
      <c r="B86" s="112" t="s">
        <v>55</v>
      </c>
      <c r="C86" s="113" t="s">
        <v>4</v>
      </c>
      <c r="D86" s="113" t="s">
        <v>127</v>
      </c>
      <c r="E86" s="113" t="s">
        <v>4</v>
      </c>
      <c r="F86" s="113" t="s">
        <v>4</v>
      </c>
      <c r="G86" s="114">
        <f>(G84*G85)/1.05</f>
        <v>16449768.538705032</v>
      </c>
      <c r="H86" s="96"/>
      <c r="L86" s="112" t="s">
        <v>55</v>
      </c>
      <c r="M86" s="113" t="s">
        <v>4</v>
      </c>
      <c r="N86" s="100" t="s">
        <v>47</v>
      </c>
      <c r="O86" s="113" t="s">
        <v>4</v>
      </c>
      <c r="P86" s="113" t="s">
        <v>4</v>
      </c>
      <c r="Q86" s="114">
        <f>(Q84*Q85)/1.05</f>
        <v>16449768.538705032</v>
      </c>
      <c r="R86" s="96"/>
      <c r="U86" s="112" t="s">
        <v>55</v>
      </c>
      <c r="V86" s="113" t="s">
        <v>4</v>
      </c>
      <c r="W86" s="113" t="s">
        <v>127</v>
      </c>
      <c r="X86" s="113" t="s">
        <v>4</v>
      </c>
      <c r="Y86" s="113" t="s">
        <v>4</v>
      </c>
      <c r="Z86" s="114" t="e">
        <f>(Z84*Z85)/1.05</f>
        <v>#REF!</v>
      </c>
    </row>
    <row r="87" spans="2:30" ht="21" customHeight="1" x14ac:dyDescent="0.25">
      <c r="B87" s="112" t="s">
        <v>56</v>
      </c>
      <c r="C87" s="113" t="s">
        <v>4</v>
      </c>
      <c r="D87" s="113" t="s">
        <v>42</v>
      </c>
      <c r="E87" s="113" t="s">
        <v>4</v>
      </c>
      <c r="F87" s="113" t="s">
        <v>4</v>
      </c>
      <c r="G87" s="115">
        <v>297454.12772727269</v>
      </c>
      <c r="H87" s="96"/>
      <c r="L87" s="112" t="s">
        <v>56</v>
      </c>
      <c r="M87" s="113" t="s">
        <v>4</v>
      </c>
      <c r="N87" s="100" t="s">
        <v>47</v>
      </c>
      <c r="O87" s="113" t="s">
        <v>4</v>
      </c>
      <c r="P87" s="113" t="s">
        <v>4</v>
      </c>
      <c r="Q87" s="115">
        <f>G87</f>
        <v>297454.12772727269</v>
      </c>
      <c r="R87" s="96"/>
      <c r="U87" s="112" t="s">
        <v>56</v>
      </c>
      <c r="V87" s="113" t="s">
        <v>4</v>
      </c>
      <c r="W87" s="113" t="s">
        <v>42</v>
      </c>
      <c r="X87" s="113" t="s">
        <v>4</v>
      </c>
      <c r="Y87" s="113" t="s">
        <v>4</v>
      </c>
      <c r="Z87" s="115">
        <f>Q87</f>
        <v>297454.12772727269</v>
      </c>
    </row>
    <row r="88" spans="2:30" ht="21" customHeight="1" x14ac:dyDescent="0.25">
      <c r="B88" s="112" t="s">
        <v>104</v>
      </c>
      <c r="C88" s="113" t="s">
        <v>4</v>
      </c>
      <c r="D88" s="113" t="s">
        <v>127</v>
      </c>
      <c r="E88" s="113" t="s">
        <v>4</v>
      </c>
      <c r="F88" s="113" t="s">
        <v>4</v>
      </c>
      <c r="G88" s="115">
        <f>(G86+G87)*0.05</f>
        <v>837361.13332161529</v>
      </c>
      <c r="H88" s="96"/>
      <c r="L88" s="112" t="s">
        <v>104</v>
      </c>
      <c r="M88" s="113" t="s">
        <v>4</v>
      </c>
      <c r="N88" s="100" t="s">
        <v>47</v>
      </c>
      <c r="O88" s="113" t="s">
        <v>4</v>
      </c>
      <c r="P88" s="113" t="s">
        <v>4</v>
      </c>
      <c r="Q88" s="115">
        <f>(Q86+Q87)*0.05</f>
        <v>837361.13332161529</v>
      </c>
      <c r="R88" s="96"/>
      <c r="U88" s="112" t="s">
        <v>104</v>
      </c>
      <c r="V88" s="113" t="s">
        <v>4</v>
      </c>
      <c r="W88" s="113" t="s">
        <v>127</v>
      </c>
      <c r="X88" s="113" t="s">
        <v>4</v>
      </c>
      <c r="Y88" s="113" t="s">
        <v>4</v>
      </c>
      <c r="Z88" s="115" t="e">
        <f>(Z86+Z87)*0.05</f>
        <v>#REF!</v>
      </c>
    </row>
    <row r="89" spans="2:30" ht="39" customHeight="1" x14ac:dyDescent="0.25">
      <c r="B89" s="116" t="s">
        <v>57</v>
      </c>
      <c r="C89" s="117" t="s">
        <v>4</v>
      </c>
      <c r="D89" s="117" t="s">
        <v>127</v>
      </c>
      <c r="E89" s="117" t="s">
        <v>4</v>
      </c>
      <c r="F89" s="117" t="s">
        <v>4</v>
      </c>
      <c r="G89" s="118">
        <f>G86+G87+G88</f>
        <v>17584583.799753919</v>
      </c>
      <c r="H89" s="96"/>
      <c r="L89" s="116" t="s">
        <v>122</v>
      </c>
      <c r="M89" s="117" t="s">
        <v>4</v>
      </c>
      <c r="N89" s="117" t="str">
        <f>N88</f>
        <v>pašvaldība</v>
      </c>
      <c r="O89" s="117" t="s">
        <v>4</v>
      </c>
      <c r="P89" s="117" t="s">
        <v>4</v>
      </c>
      <c r="Q89" s="118">
        <f>Q86+Q87+Q88</f>
        <v>17584583.799753919</v>
      </c>
      <c r="R89" s="96"/>
      <c r="U89" s="116" t="s">
        <v>57</v>
      </c>
      <c r="V89" s="117" t="s">
        <v>4</v>
      </c>
      <c r="W89" s="117" t="s">
        <v>127</v>
      </c>
      <c r="X89" s="117" t="s">
        <v>4</v>
      </c>
      <c r="Y89" s="117" t="s">
        <v>4</v>
      </c>
      <c r="Z89" s="118" t="e">
        <f>Z86+Z87+Z88</f>
        <v>#REF!</v>
      </c>
    </row>
    <row r="90" spans="2:30" ht="25.5" customHeight="1" x14ac:dyDescent="0.25">
      <c r="B90" s="174"/>
      <c r="C90" s="174"/>
      <c r="D90" s="174"/>
      <c r="E90" s="174"/>
      <c r="F90" s="174"/>
      <c r="G90" s="174"/>
      <c r="H90" s="172"/>
      <c r="I90" s="165"/>
      <c r="J90" s="165"/>
      <c r="K90" s="165"/>
      <c r="L90" s="174"/>
      <c r="M90" s="174"/>
      <c r="N90" s="174"/>
      <c r="O90" s="174"/>
      <c r="P90" s="174"/>
      <c r="Q90" s="174"/>
      <c r="R90" s="172"/>
      <c r="S90" s="165"/>
      <c r="T90" s="165"/>
      <c r="U90" s="174"/>
      <c r="V90" s="174"/>
      <c r="W90" s="174"/>
      <c r="X90" s="174"/>
      <c r="Y90" s="174"/>
      <c r="Z90" s="174"/>
    </row>
    <row r="91" spans="2:30" ht="32.25" customHeight="1" x14ac:dyDescent="0.25">
      <c r="B91" s="88" t="s">
        <v>58</v>
      </c>
      <c r="C91" s="119">
        <f>C92+C93+C94</f>
        <v>12578132.505365431</v>
      </c>
      <c r="D91" s="173"/>
      <c r="E91" s="174"/>
      <c r="F91" s="88" t="s">
        <v>59</v>
      </c>
      <c r="G91" s="119">
        <f>G92+G93+G94</f>
        <v>5006451.2943884889</v>
      </c>
      <c r="H91" s="96"/>
      <c r="L91" s="88" t="s">
        <v>58</v>
      </c>
      <c r="M91" s="121">
        <v>0</v>
      </c>
      <c r="N91" s="173"/>
      <c r="O91" s="174"/>
      <c r="P91" s="88" t="s">
        <v>59</v>
      </c>
      <c r="Q91" s="119">
        <f>Q92+Q93+Q94</f>
        <v>17584583.799753919</v>
      </c>
      <c r="R91" s="96"/>
      <c r="U91" s="88" t="s">
        <v>58</v>
      </c>
      <c r="V91" s="119" t="e">
        <f>V92+V93+V94</f>
        <v>#REF!</v>
      </c>
      <c r="W91" s="173"/>
      <c r="X91" s="174"/>
      <c r="Y91" s="88" t="s">
        <v>59</v>
      </c>
      <c r="Z91" s="119" t="e">
        <f>Z92+Z93+Z94</f>
        <v>#REF!</v>
      </c>
      <c r="AB91" s="92"/>
      <c r="AC91" s="92"/>
      <c r="AD91" s="92"/>
    </row>
    <row r="92" spans="2:30" ht="37.5" customHeight="1" x14ac:dyDescent="0.25">
      <c r="B92" s="122" t="str">
        <f>B86</f>
        <v>Izdevumu kopā, h apmaksai, euro</v>
      </c>
      <c r="C92" s="123">
        <f>((G81+G82)*G85)/1.05</f>
        <v>11681719.686906472</v>
      </c>
      <c r="D92" s="173"/>
      <c r="E92" s="175"/>
      <c r="F92" s="122" t="s">
        <v>55</v>
      </c>
      <c r="G92" s="123">
        <f>(G83*G85)/1.05</f>
        <v>4768048.8517985605</v>
      </c>
      <c r="H92" s="96"/>
      <c r="L92" s="122" t="str">
        <f>L86</f>
        <v>Izdevumu kopā, h apmaksai, euro</v>
      </c>
      <c r="M92" s="121">
        <v>0</v>
      </c>
      <c r="N92" s="173"/>
      <c r="O92" s="175"/>
      <c r="P92" s="122" t="s">
        <v>55</v>
      </c>
      <c r="Q92" s="123">
        <f>((Q81+Q82+Q83)*Q85)/1.05</f>
        <v>16449768.538705032</v>
      </c>
      <c r="R92" s="96"/>
      <c r="U92" s="122" t="str">
        <f>U86</f>
        <v>Izdevumu kopā, h apmaksai, euro</v>
      </c>
      <c r="V92" s="123" t="e">
        <f>((Z81+Z82)*Z85)/1.05</f>
        <v>#REF!</v>
      </c>
      <c r="W92" s="173"/>
      <c r="X92" s="175"/>
      <c r="Y92" s="122" t="s">
        <v>55</v>
      </c>
      <c r="Z92" s="123" t="e">
        <f>(Z83*Z85)/1.05</f>
        <v>#REF!</v>
      </c>
    </row>
    <row r="93" spans="2:30" ht="37.5" customHeight="1" x14ac:dyDescent="0.25">
      <c r="B93" s="122" t="str">
        <f>B87</f>
        <v>Transporta izdevumi, euro</v>
      </c>
      <c r="C93" s="123">
        <f>G87</f>
        <v>297454.12772727269</v>
      </c>
      <c r="D93" s="173"/>
      <c r="E93" s="175"/>
      <c r="F93" s="122" t="s">
        <v>56</v>
      </c>
      <c r="G93" s="123">
        <f>J87</f>
        <v>0</v>
      </c>
      <c r="H93" s="96"/>
      <c r="L93" s="122" t="str">
        <f>L87</f>
        <v>Transporta izdevumi, euro</v>
      </c>
      <c r="M93" s="121">
        <v>0</v>
      </c>
      <c r="N93" s="173"/>
      <c r="O93" s="175"/>
      <c r="P93" s="122" t="s">
        <v>56</v>
      </c>
      <c r="Q93" s="123">
        <f>Q87</f>
        <v>297454.12772727269</v>
      </c>
      <c r="R93" s="96"/>
      <c r="U93" s="122" t="str">
        <f>U87</f>
        <v>Transporta izdevumi, euro</v>
      </c>
      <c r="V93" s="123">
        <f>Z87</f>
        <v>297454.12772727269</v>
      </c>
      <c r="W93" s="173"/>
      <c r="X93" s="175"/>
      <c r="Y93" s="122" t="s">
        <v>56</v>
      </c>
      <c r="Z93" s="123">
        <f>AC87</f>
        <v>0</v>
      </c>
    </row>
    <row r="94" spans="2:30" ht="36" customHeight="1" x14ac:dyDescent="0.25">
      <c r="B94" s="122" t="str">
        <f>B88</f>
        <v>Administrēšana ~5%, euro</v>
      </c>
      <c r="C94" s="123">
        <f>(C92+C93)*0.05</f>
        <v>598958.69073168724</v>
      </c>
      <c r="D94" s="173"/>
      <c r="E94" s="175"/>
      <c r="F94" s="122" t="s">
        <v>104</v>
      </c>
      <c r="G94" s="123">
        <f>(G92+G93)*0.05</f>
        <v>238402.44258992805</v>
      </c>
      <c r="H94" s="96"/>
      <c r="L94" s="122" t="str">
        <f>L88</f>
        <v>Administrēšana ~5%, euro</v>
      </c>
      <c r="M94" s="121">
        <v>0</v>
      </c>
      <c r="N94" s="173"/>
      <c r="O94" s="175"/>
      <c r="P94" s="122" t="s">
        <v>104</v>
      </c>
      <c r="Q94" s="123">
        <f>(Q92+Q93)*0.05</f>
        <v>837361.13332161529</v>
      </c>
      <c r="R94" s="96"/>
      <c r="U94" s="122" t="str">
        <f>U88</f>
        <v>Administrēšana ~5%, euro</v>
      </c>
      <c r="V94" s="123" t="e">
        <f>(V92+V93)*0.05</f>
        <v>#REF!</v>
      </c>
      <c r="W94" s="173"/>
      <c r="X94" s="175"/>
      <c r="Y94" s="122" t="s">
        <v>104</v>
      </c>
      <c r="Z94" s="123" t="e">
        <f>(Z92+Z93)*0.05</f>
        <v>#REF!</v>
      </c>
    </row>
    <row r="95" spans="2:30" ht="12" customHeight="1" x14ac:dyDescent="0.25">
      <c r="B95" s="124"/>
      <c r="C95" s="120"/>
      <c r="D95" s="120"/>
      <c r="E95" s="120"/>
      <c r="F95" s="120"/>
      <c r="G95" s="120"/>
      <c r="H95" s="125">
        <f>G89-C91-G91</f>
        <v>0</v>
      </c>
      <c r="L95" s="124"/>
      <c r="M95" s="120"/>
      <c r="N95" s="120"/>
      <c r="O95" s="120"/>
      <c r="P95" s="120"/>
      <c r="Q95" s="120"/>
      <c r="R95" s="125"/>
      <c r="U95" s="124"/>
      <c r="V95" s="120"/>
      <c r="W95" s="120"/>
      <c r="X95" s="120"/>
      <c r="Y95" s="120"/>
      <c r="Z95" s="120"/>
      <c r="AA95" s="126" t="e">
        <f>Z89-V91-Z91</f>
        <v>#REF!</v>
      </c>
    </row>
    <row r="96" spans="2:30" ht="20.45" customHeight="1" x14ac:dyDescent="0.25">
      <c r="C96" s="120"/>
      <c r="D96" s="120"/>
      <c r="E96" s="120"/>
      <c r="F96" s="120"/>
      <c r="G96" s="120"/>
      <c r="H96" s="127"/>
      <c r="I96" s="128"/>
      <c r="J96" s="128"/>
      <c r="K96" s="128"/>
      <c r="L96" s="124"/>
      <c r="M96" s="120"/>
      <c r="N96" s="120"/>
      <c r="O96" s="120"/>
      <c r="P96" s="120"/>
      <c r="Q96" s="120"/>
      <c r="R96" s="127"/>
      <c r="S96" s="128"/>
      <c r="T96" s="128"/>
      <c r="U96" s="124"/>
      <c r="V96" s="120"/>
      <c r="W96" s="120"/>
      <c r="X96" s="120"/>
      <c r="Y96" s="120"/>
      <c r="Z96" s="120"/>
      <c r="AA96" s="126"/>
    </row>
    <row r="97" spans="2:27" ht="20.45" customHeight="1" x14ac:dyDescent="0.25">
      <c r="B97" s="424" t="s">
        <v>306</v>
      </c>
      <c r="C97" s="424"/>
      <c r="D97" s="424"/>
      <c r="E97" s="120"/>
      <c r="F97" s="120"/>
      <c r="G97" s="120"/>
      <c r="H97" s="127"/>
      <c r="I97" s="128"/>
      <c r="J97" s="128"/>
      <c r="K97" s="128"/>
      <c r="L97" s="124"/>
      <c r="M97" s="120"/>
      <c r="N97" s="120"/>
      <c r="O97" s="120"/>
      <c r="P97" s="120"/>
      <c r="Q97" s="120"/>
      <c r="R97" s="127"/>
      <c r="S97" s="128"/>
      <c r="T97" s="128"/>
      <c r="U97" s="124"/>
      <c r="V97" s="120"/>
      <c r="W97" s="120"/>
      <c r="X97" s="120"/>
      <c r="Y97" s="120"/>
      <c r="Z97" s="120"/>
      <c r="AA97" s="126"/>
    </row>
    <row r="98" spans="2:27" x14ac:dyDescent="0.25">
      <c r="B98" s="424"/>
      <c r="C98" s="424"/>
      <c r="D98" s="424"/>
    </row>
    <row r="99" spans="2:27" x14ac:dyDescent="0.25">
      <c r="B99" s="424"/>
      <c r="C99" s="424"/>
      <c r="D99" s="424"/>
    </row>
    <row r="100" spans="2:27" x14ac:dyDescent="0.25">
      <c r="B100" s="424"/>
      <c r="C100" s="424"/>
      <c r="D100" s="424"/>
    </row>
    <row r="101" spans="2:27" x14ac:dyDescent="0.25">
      <c r="B101" s="424"/>
      <c r="C101" s="424"/>
      <c r="D101" s="424"/>
    </row>
  </sheetData>
  <mergeCells count="60">
    <mergeCell ref="L21:P21"/>
    <mergeCell ref="B14:B16"/>
    <mergeCell ref="C14:G14"/>
    <mergeCell ref="C15:F15"/>
    <mergeCell ref="G15:G16"/>
    <mergeCell ref="C20:F20"/>
    <mergeCell ref="B21:F21"/>
    <mergeCell ref="L14:L16"/>
    <mergeCell ref="M14:Q14"/>
    <mergeCell ref="M15:P15"/>
    <mergeCell ref="Q15:Q16"/>
    <mergeCell ref="M20:P20"/>
    <mergeCell ref="U21:Y21"/>
    <mergeCell ref="U14:U16"/>
    <mergeCell ref="V14:Z14"/>
    <mergeCell ref="V15:Y15"/>
    <mergeCell ref="Z15:Z16"/>
    <mergeCell ref="V20:Y20"/>
    <mergeCell ref="Q46:Q47"/>
    <mergeCell ref="V46:Y46"/>
    <mergeCell ref="Z46:Z47"/>
    <mergeCell ref="B45:B47"/>
    <mergeCell ref="C45:G45"/>
    <mergeCell ref="L45:L47"/>
    <mergeCell ref="M45:Q45"/>
    <mergeCell ref="U45:U47"/>
    <mergeCell ref="U85:Y85"/>
    <mergeCell ref="V78:Z78"/>
    <mergeCell ref="C79:F79"/>
    <mergeCell ref="G79:G80"/>
    <mergeCell ref="M79:P79"/>
    <mergeCell ref="Q79:Q80"/>
    <mergeCell ref="V79:Y79"/>
    <mergeCell ref="Z79:Z80"/>
    <mergeCell ref="C78:G78"/>
    <mergeCell ref="L78:L80"/>
    <mergeCell ref="M78:Q78"/>
    <mergeCell ref="U78:U80"/>
    <mergeCell ref="C46:F46"/>
    <mergeCell ref="G46:G47"/>
    <mergeCell ref="M46:P46"/>
    <mergeCell ref="B85:F85"/>
    <mergeCell ref="L85:P85"/>
    <mergeCell ref="B78:B80"/>
    <mergeCell ref="A4:G4"/>
    <mergeCell ref="A5:G6"/>
    <mergeCell ref="B97:D101"/>
    <mergeCell ref="A7:Z7"/>
    <mergeCell ref="A38:Z38"/>
    <mergeCell ref="A71:Z71"/>
    <mergeCell ref="C84:F84"/>
    <mergeCell ref="M84:P84"/>
    <mergeCell ref="V84:Y84"/>
    <mergeCell ref="C51:F51"/>
    <mergeCell ref="M51:P51"/>
    <mergeCell ref="V51:Y51"/>
    <mergeCell ref="B52:F52"/>
    <mergeCell ref="L52:P52"/>
    <mergeCell ref="U52:Y52"/>
    <mergeCell ref="V45:Z45"/>
  </mergeCells>
  <pageMargins left="0.70866141732283472" right="0.70866141732283472" top="1.1811023622047245" bottom="0.74803149606299213" header="0.31496062992125984" footer="0.31496062992125984"/>
  <pageSetup paperSize="9" scale="58"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
  <sheetViews>
    <sheetView zoomScale="60" zoomScaleNormal="60" workbookViewId="0">
      <selection activeCell="V14" sqref="V13:V14"/>
    </sheetView>
  </sheetViews>
  <sheetFormatPr defaultRowHeight="18.75" x14ac:dyDescent="0.3"/>
  <cols>
    <col min="1" max="1" width="10.5703125" style="5" customWidth="1"/>
    <col min="2" max="2" width="17.28515625" style="4" customWidth="1"/>
    <col min="3" max="7" width="10.28515625" style="8" customWidth="1"/>
    <col min="8" max="8" width="30.7109375" style="4" customWidth="1"/>
    <col min="9" max="9" width="32.140625" style="4" customWidth="1"/>
    <col min="10" max="199" width="9.140625" style="4"/>
    <col min="200" max="200" width="24.7109375" style="4" customWidth="1"/>
    <col min="201" max="201" width="12" style="4" customWidth="1"/>
    <col min="202" max="202" width="9" style="4" customWidth="1"/>
    <col min="203" max="206" width="8.7109375" style="4" customWidth="1"/>
    <col min="207" max="207" width="8.5703125" style="4" customWidth="1"/>
    <col min="208" max="208" width="8.85546875" style="4" customWidth="1"/>
    <col min="209" max="210" width="11.5703125" style="4" customWidth="1"/>
    <col min="211" max="211" width="9.28515625" style="4" customWidth="1"/>
    <col min="212" max="212" width="40.42578125" style="4" customWidth="1"/>
    <col min="213" max="213" width="51.28515625" style="4" customWidth="1"/>
    <col min="214" max="215" width="9.140625" style="4" customWidth="1"/>
    <col min="216" max="455" width="9.140625" style="4"/>
    <col min="456" max="456" width="24.7109375" style="4" customWidth="1"/>
    <col min="457" max="457" width="12" style="4" customWidth="1"/>
    <col min="458" max="458" width="9" style="4" customWidth="1"/>
    <col min="459" max="462" width="8.7109375" style="4" customWidth="1"/>
    <col min="463" max="463" width="8.5703125" style="4" customWidth="1"/>
    <col min="464" max="464" width="8.85546875" style="4" customWidth="1"/>
    <col min="465" max="466" width="11.5703125" style="4" customWidth="1"/>
    <col min="467" max="467" width="9.28515625" style="4" customWidth="1"/>
    <col min="468" max="468" width="40.42578125" style="4" customWidth="1"/>
    <col min="469" max="469" width="51.28515625" style="4" customWidth="1"/>
    <col min="470" max="471" width="9.140625" style="4" customWidth="1"/>
    <col min="472" max="711" width="9.140625" style="4"/>
    <col min="712" max="712" width="24.7109375" style="4" customWidth="1"/>
    <col min="713" max="713" width="12" style="4" customWidth="1"/>
    <col min="714" max="714" width="9" style="4" customWidth="1"/>
    <col min="715" max="718" width="8.7109375" style="4" customWidth="1"/>
    <col min="719" max="719" width="8.5703125" style="4" customWidth="1"/>
    <col min="720" max="720" width="8.85546875" style="4" customWidth="1"/>
    <col min="721" max="722" width="11.5703125" style="4" customWidth="1"/>
    <col min="723" max="723" width="9.28515625" style="4" customWidth="1"/>
    <col min="724" max="724" width="40.42578125" style="4" customWidth="1"/>
    <col min="725" max="725" width="51.28515625" style="4" customWidth="1"/>
    <col min="726" max="727" width="9.140625" style="4" customWidth="1"/>
    <col min="728" max="967" width="9.140625" style="4"/>
    <col min="968" max="968" width="24.7109375" style="4" customWidth="1"/>
    <col min="969" max="969" width="12" style="4" customWidth="1"/>
    <col min="970" max="970" width="9" style="4" customWidth="1"/>
    <col min="971" max="974" width="8.7109375" style="4" customWidth="1"/>
    <col min="975" max="975" width="8.5703125" style="4" customWidth="1"/>
    <col min="976" max="976" width="8.85546875" style="4" customWidth="1"/>
    <col min="977" max="978" width="11.5703125" style="4" customWidth="1"/>
    <col min="979" max="979" width="9.28515625" style="4" customWidth="1"/>
    <col min="980" max="980" width="40.42578125" style="4" customWidth="1"/>
    <col min="981" max="981" width="51.28515625" style="4" customWidth="1"/>
    <col min="982" max="983" width="9.140625" style="4" customWidth="1"/>
    <col min="984" max="1223" width="9.140625" style="4"/>
    <col min="1224" max="1224" width="24.7109375" style="4" customWidth="1"/>
    <col min="1225" max="1225" width="12" style="4" customWidth="1"/>
    <col min="1226" max="1226" width="9" style="4" customWidth="1"/>
    <col min="1227" max="1230" width="8.7109375" style="4" customWidth="1"/>
    <col min="1231" max="1231" width="8.5703125" style="4" customWidth="1"/>
    <col min="1232" max="1232" width="8.85546875" style="4" customWidth="1"/>
    <col min="1233" max="1234" width="11.5703125" style="4" customWidth="1"/>
    <col min="1235" max="1235" width="9.28515625" style="4" customWidth="1"/>
    <col min="1236" max="1236" width="40.42578125" style="4" customWidth="1"/>
    <col min="1237" max="1237" width="51.28515625" style="4" customWidth="1"/>
    <col min="1238" max="1239" width="9.140625" style="4" customWidth="1"/>
    <col min="1240" max="1479" width="9.140625" style="4"/>
    <col min="1480" max="1480" width="24.7109375" style="4" customWidth="1"/>
    <col min="1481" max="1481" width="12" style="4" customWidth="1"/>
    <col min="1482" max="1482" width="9" style="4" customWidth="1"/>
    <col min="1483" max="1486" width="8.7109375" style="4" customWidth="1"/>
    <col min="1487" max="1487" width="8.5703125" style="4" customWidth="1"/>
    <col min="1488" max="1488" width="8.85546875" style="4" customWidth="1"/>
    <col min="1489" max="1490" width="11.5703125" style="4" customWidth="1"/>
    <col min="1491" max="1491" width="9.28515625" style="4" customWidth="1"/>
    <col min="1492" max="1492" width="40.42578125" style="4" customWidth="1"/>
    <col min="1493" max="1493" width="51.28515625" style="4" customWidth="1"/>
    <col min="1494" max="1495" width="9.140625" style="4" customWidth="1"/>
    <col min="1496" max="1735" width="9.140625" style="4"/>
    <col min="1736" max="1736" width="24.7109375" style="4" customWidth="1"/>
    <col min="1737" max="1737" width="12" style="4" customWidth="1"/>
    <col min="1738" max="1738" width="9" style="4" customWidth="1"/>
    <col min="1739" max="1742" width="8.7109375" style="4" customWidth="1"/>
    <col min="1743" max="1743" width="8.5703125" style="4" customWidth="1"/>
    <col min="1744" max="1744" width="8.85546875" style="4" customWidth="1"/>
    <col min="1745" max="1746" width="11.5703125" style="4" customWidth="1"/>
    <col min="1747" max="1747" width="9.28515625" style="4" customWidth="1"/>
    <col min="1748" max="1748" width="40.42578125" style="4" customWidth="1"/>
    <col min="1749" max="1749" width="51.28515625" style="4" customWidth="1"/>
    <col min="1750" max="1751" width="9.140625" style="4" customWidth="1"/>
    <col min="1752" max="1991" width="9.140625" style="4"/>
    <col min="1992" max="1992" width="24.7109375" style="4" customWidth="1"/>
    <col min="1993" max="1993" width="12" style="4" customWidth="1"/>
    <col min="1994" max="1994" width="9" style="4" customWidth="1"/>
    <col min="1995" max="1998" width="8.7109375" style="4" customWidth="1"/>
    <col min="1999" max="1999" width="8.5703125" style="4" customWidth="1"/>
    <col min="2000" max="2000" width="8.85546875" style="4" customWidth="1"/>
    <col min="2001" max="2002" width="11.5703125" style="4" customWidth="1"/>
    <col min="2003" max="2003" width="9.28515625" style="4" customWidth="1"/>
    <col min="2004" max="2004" width="40.42578125" style="4" customWidth="1"/>
    <col min="2005" max="2005" width="51.28515625" style="4" customWidth="1"/>
    <col min="2006" max="2007" width="9.140625" style="4" customWidth="1"/>
    <col min="2008" max="2247" width="9.140625" style="4"/>
    <col min="2248" max="2248" width="24.7109375" style="4" customWidth="1"/>
    <col min="2249" max="2249" width="12" style="4" customWidth="1"/>
    <col min="2250" max="2250" width="9" style="4" customWidth="1"/>
    <col min="2251" max="2254" width="8.7109375" style="4" customWidth="1"/>
    <col min="2255" max="2255" width="8.5703125" style="4" customWidth="1"/>
    <col min="2256" max="2256" width="8.85546875" style="4" customWidth="1"/>
    <col min="2257" max="2258" width="11.5703125" style="4" customWidth="1"/>
    <col min="2259" max="2259" width="9.28515625" style="4" customWidth="1"/>
    <col min="2260" max="2260" width="40.42578125" style="4" customWidth="1"/>
    <col min="2261" max="2261" width="51.28515625" style="4" customWidth="1"/>
    <col min="2262" max="2263" width="9.140625" style="4" customWidth="1"/>
    <col min="2264" max="2503" width="9.140625" style="4"/>
    <col min="2504" max="2504" width="24.7109375" style="4" customWidth="1"/>
    <col min="2505" max="2505" width="12" style="4" customWidth="1"/>
    <col min="2506" max="2506" width="9" style="4" customWidth="1"/>
    <col min="2507" max="2510" width="8.7109375" style="4" customWidth="1"/>
    <col min="2511" max="2511" width="8.5703125" style="4" customWidth="1"/>
    <col min="2512" max="2512" width="8.85546875" style="4" customWidth="1"/>
    <col min="2513" max="2514" width="11.5703125" style="4" customWidth="1"/>
    <col min="2515" max="2515" width="9.28515625" style="4" customWidth="1"/>
    <col min="2516" max="2516" width="40.42578125" style="4" customWidth="1"/>
    <col min="2517" max="2517" width="51.28515625" style="4" customWidth="1"/>
    <col min="2518" max="2519" width="9.140625" style="4" customWidth="1"/>
    <col min="2520" max="2759" width="9.140625" style="4"/>
    <col min="2760" max="2760" width="24.7109375" style="4" customWidth="1"/>
    <col min="2761" max="2761" width="12" style="4" customWidth="1"/>
    <col min="2762" max="2762" width="9" style="4" customWidth="1"/>
    <col min="2763" max="2766" width="8.7109375" style="4" customWidth="1"/>
    <col min="2767" max="2767" width="8.5703125" style="4" customWidth="1"/>
    <col min="2768" max="2768" width="8.85546875" style="4" customWidth="1"/>
    <col min="2769" max="2770" width="11.5703125" style="4" customWidth="1"/>
    <col min="2771" max="2771" width="9.28515625" style="4" customWidth="1"/>
    <col min="2772" max="2772" width="40.42578125" style="4" customWidth="1"/>
    <col min="2773" max="2773" width="51.28515625" style="4" customWidth="1"/>
    <col min="2774" max="2775" width="9.140625" style="4" customWidth="1"/>
    <col min="2776" max="3015" width="9.140625" style="4"/>
    <col min="3016" max="3016" width="24.7109375" style="4" customWidth="1"/>
    <col min="3017" max="3017" width="12" style="4" customWidth="1"/>
    <col min="3018" max="3018" width="9" style="4" customWidth="1"/>
    <col min="3019" max="3022" width="8.7109375" style="4" customWidth="1"/>
    <col min="3023" max="3023" width="8.5703125" style="4" customWidth="1"/>
    <col min="3024" max="3024" width="8.85546875" style="4" customWidth="1"/>
    <col min="3025" max="3026" width="11.5703125" style="4" customWidth="1"/>
    <col min="3027" max="3027" width="9.28515625" style="4" customWidth="1"/>
    <col min="3028" max="3028" width="40.42578125" style="4" customWidth="1"/>
    <col min="3029" max="3029" width="51.28515625" style="4" customWidth="1"/>
    <col min="3030" max="3031" width="9.140625" style="4" customWidth="1"/>
    <col min="3032" max="3271" width="9.140625" style="4"/>
    <col min="3272" max="3272" width="24.7109375" style="4" customWidth="1"/>
    <col min="3273" max="3273" width="12" style="4" customWidth="1"/>
    <col min="3274" max="3274" width="9" style="4" customWidth="1"/>
    <col min="3275" max="3278" width="8.7109375" style="4" customWidth="1"/>
    <col min="3279" max="3279" width="8.5703125" style="4" customWidth="1"/>
    <col min="3280" max="3280" width="8.85546875" style="4" customWidth="1"/>
    <col min="3281" max="3282" width="11.5703125" style="4" customWidth="1"/>
    <col min="3283" max="3283" width="9.28515625" style="4" customWidth="1"/>
    <col min="3284" max="3284" width="40.42578125" style="4" customWidth="1"/>
    <col min="3285" max="3285" width="51.28515625" style="4" customWidth="1"/>
    <col min="3286" max="3287" width="9.140625" style="4" customWidth="1"/>
    <col min="3288" max="3527" width="9.140625" style="4"/>
    <col min="3528" max="3528" width="24.7109375" style="4" customWidth="1"/>
    <col min="3529" max="3529" width="12" style="4" customWidth="1"/>
    <col min="3530" max="3530" width="9" style="4" customWidth="1"/>
    <col min="3531" max="3534" width="8.7109375" style="4" customWidth="1"/>
    <col min="3535" max="3535" width="8.5703125" style="4" customWidth="1"/>
    <col min="3536" max="3536" width="8.85546875" style="4" customWidth="1"/>
    <col min="3537" max="3538" width="11.5703125" style="4" customWidth="1"/>
    <col min="3539" max="3539" width="9.28515625" style="4" customWidth="1"/>
    <col min="3540" max="3540" width="40.42578125" style="4" customWidth="1"/>
    <col min="3541" max="3541" width="51.28515625" style="4" customWidth="1"/>
    <col min="3542" max="3543" width="9.140625" style="4" customWidth="1"/>
    <col min="3544" max="3783" width="9.140625" style="4"/>
    <col min="3784" max="3784" width="24.7109375" style="4" customWidth="1"/>
    <col min="3785" max="3785" width="12" style="4" customWidth="1"/>
    <col min="3786" max="3786" width="9" style="4" customWidth="1"/>
    <col min="3787" max="3790" width="8.7109375" style="4" customWidth="1"/>
    <col min="3791" max="3791" width="8.5703125" style="4" customWidth="1"/>
    <col min="3792" max="3792" width="8.85546875" style="4" customWidth="1"/>
    <col min="3793" max="3794" width="11.5703125" style="4" customWidth="1"/>
    <col min="3795" max="3795" width="9.28515625" style="4" customWidth="1"/>
    <col min="3796" max="3796" width="40.42578125" style="4" customWidth="1"/>
    <col min="3797" max="3797" width="51.28515625" style="4" customWidth="1"/>
    <col min="3798" max="3799" width="9.140625" style="4" customWidth="1"/>
    <col min="3800" max="4039" width="9.140625" style="4"/>
    <col min="4040" max="4040" width="24.7109375" style="4" customWidth="1"/>
    <col min="4041" max="4041" width="12" style="4" customWidth="1"/>
    <col min="4042" max="4042" width="9" style="4" customWidth="1"/>
    <col min="4043" max="4046" width="8.7109375" style="4" customWidth="1"/>
    <col min="4047" max="4047" width="8.5703125" style="4" customWidth="1"/>
    <col min="4048" max="4048" width="8.85546875" style="4" customWidth="1"/>
    <col min="4049" max="4050" width="11.5703125" style="4" customWidth="1"/>
    <col min="4051" max="4051" width="9.28515625" style="4" customWidth="1"/>
    <col min="4052" max="4052" width="40.42578125" style="4" customWidth="1"/>
    <col min="4053" max="4053" width="51.28515625" style="4" customWidth="1"/>
    <col min="4054" max="4055" width="9.140625" style="4" customWidth="1"/>
    <col min="4056" max="4295" width="9.140625" style="4"/>
    <col min="4296" max="4296" width="24.7109375" style="4" customWidth="1"/>
    <col min="4297" max="4297" width="12" style="4" customWidth="1"/>
    <col min="4298" max="4298" width="9" style="4" customWidth="1"/>
    <col min="4299" max="4302" width="8.7109375" style="4" customWidth="1"/>
    <col min="4303" max="4303" width="8.5703125" style="4" customWidth="1"/>
    <col min="4304" max="4304" width="8.85546875" style="4" customWidth="1"/>
    <col min="4305" max="4306" width="11.5703125" style="4" customWidth="1"/>
    <col min="4307" max="4307" width="9.28515625" style="4" customWidth="1"/>
    <col min="4308" max="4308" width="40.42578125" style="4" customWidth="1"/>
    <col min="4309" max="4309" width="51.28515625" style="4" customWidth="1"/>
    <col min="4310" max="4311" width="9.140625" style="4" customWidth="1"/>
    <col min="4312" max="4551" width="9.140625" style="4"/>
    <col min="4552" max="4552" width="24.7109375" style="4" customWidth="1"/>
    <col min="4553" max="4553" width="12" style="4" customWidth="1"/>
    <col min="4554" max="4554" width="9" style="4" customWidth="1"/>
    <col min="4555" max="4558" width="8.7109375" style="4" customWidth="1"/>
    <col min="4559" max="4559" width="8.5703125" style="4" customWidth="1"/>
    <col min="4560" max="4560" width="8.85546875" style="4" customWidth="1"/>
    <col min="4561" max="4562" width="11.5703125" style="4" customWidth="1"/>
    <col min="4563" max="4563" width="9.28515625" style="4" customWidth="1"/>
    <col min="4564" max="4564" width="40.42578125" style="4" customWidth="1"/>
    <col min="4565" max="4565" width="51.28515625" style="4" customWidth="1"/>
    <col min="4566" max="4567" width="9.140625" style="4" customWidth="1"/>
    <col min="4568" max="4807" width="9.140625" style="4"/>
    <col min="4808" max="4808" width="24.7109375" style="4" customWidth="1"/>
    <col min="4809" max="4809" width="12" style="4" customWidth="1"/>
    <col min="4810" max="4810" width="9" style="4" customWidth="1"/>
    <col min="4811" max="4814" width="8.7109375" style="4" customWidth="1"/>
    <col min="4815" max="4815" width="8.5703125" style="4" customWidth="1"/>
    <col min="4816" max="4816" width="8.85546875" style="4" customWidth="1"/>
    <col min="4817" max="4818" width="11.5703125" style="4" customWidth="1"/>
    <col min="4819" max="4819" width="9.28515625" style="4" customWidth="1"/>
    <col min="4820" max="4820" width="40.42578125" style="4" customWidth="1"/>
    <col min="4821" max="4821" width="51.28515625" style="4" customWidth="1"/>
    <col min="4822" max="4823" width="9.140625" style="4" customWidth="1"/>
    <col min="4824" max="5063" width="9.140625" style="4"/>
    <col min="5064" max="5064" width="24.7109375" style="4" customWidth="1"/>
    <col min="5065" max="5065" width="12" style="4" customWidth="1"/>
    <col min="5066" max="5066" width="9" style="4" customWidth="1"/>
    <col min="5067" max="5070" width="8.7109375" style="4" customWidth="1"/>
    <col min="5071" max="5071" width="8.5703125" style="4" customWidth="1"/>
    <col min="5072" max="5072" width="8.85546875" style="4" customWidth="1"/>
    <col min="5073" max="5074" width="11.5703125" style="4" customWidth="1"/>
    <col min="5075" max="5075" width="9.28515625" style="4" customWidth="1"/>
    <col min="5076" max="5076" width="40.42578125" style="4" customWidth="1"/>
    <col min="5077" max="5077" width="51.28515625" style="4" customWidth="1"/>
    <col min="5078" max="5079" width="9.140625" style="4" customWidth="1"/>
    <col min="5080" max="5319" width="9.140625" style="4"/>
    <col min="5320" max="5320" width="24.7109375" style="4" customWidth="1"/>
    <col min="5321" max="5321" width="12" style="4" customWidth="1"/>
    <col min="5322" max="5322" width="9" style="4" customWidth="1"/>
    <col min="5323" max="5326" width="8.7109375" style="4" customWidth="1"/>
    <col min="5327" max="5327" width="8.5703125" style="4" customWidth="1"/>
    <col min="5328" max="5328" width="8.85546875" style="4" customWidth="1"/>
    <col min="5329" max="5330" width="11.5703125" style="4" customWidth="1"/>
    <col min="5331" max="5331" width="9.28515625" style="4" customWidth="1"/>
    <col min="5332" max="5332" width="40.42578125" style="4" customWidth="1"/>
    <col min="5333" max="5333" width="51.28515625" style="4" customWidth="1"/>
    <col min="5334" max="5335" width="9.140625" style="4" customWidth="1"/>
    <col min="5336" max="5575" width="9.140625" style="4"/>
    <col min="5576" max="5576" width="24.7109375" style="4" customWidth="1"/>
    <col min="5577" max="5577" width="12" style="4" customWidth="1"/>
    <col min="5578" max="5578" width="9" style="4" customWidth="1"/>
    <col min="5579" max="5582" width="8.7109375" style="4" customWidth="1"/>
    <col min="5583" max="5583" width="8.5703125" style="4" customWidth="1"/>
    <col min="5584" max="5584" width="8.85546875" style="4" customWidth="1"/>
    <col min="5585" max="5586" width="11.5703125" style="4" customWidth="1"/>
    <col min="5587" max="5587" width="9.28515625" style="4" customWidth="1"/>
    <col min="5588" max="5588" width="40.42578125" style="4" customWidth="1"/>
    <col min="5589" max="5589" width="51.28515625" style="4" customWidth="1"/>
    <col min="5590" max="5591" width="9.140625" style="4" customWidth="1"/>
    <col min="5592" max="5831" width="9.140625" style="4"/>
    <col min="5832" max="5832" width="24.7109375" style="4" customWidth="1"/>
    <col min="5833" max="5833" width="12" style="4" customWidth="1"/>
    <col min="5834" max="5834" width="9" style="4" customWidth="1"/>
    <col min="5835" max="5838" width="8.7109375" style="4" customWidth="1"/>
    <col min="5839" max="5839" width="8.5703125" style="4" customWidth="1"/>
    <col min="5840" max="5840" width="8.85546875" style="4" customWidth="1"/>
    <col min="5841" max="5842" width="11.5703125" style="4" customWidth="1"/>
    <col min="5843" max="5843" width="9.28515625" style="4" customWidth="1"/>
    <col min="5844" max="5844" width="40.42578125" style="4" customWidth="1"/>
    <col min="5845" max="5845" width="51.28515625" style="4" customWidth="1"/>
    <col min="5846" max="5847" width="9.140625" style="4" customWidth="1"/>
    <col min="5848" max="6087" width="9.140625" style="4"/>
    <col min="6088" max="6088" width="24.7109375" style="4" customWidth="1"/>
    <col min="6089" max="6089" width="12" style="4" customWidth="1"/>
    <col min="6090" max="6090" width="9" style="4" customWidth="1"/>
    <col min="6091" max="6094" width="8.7109375" style="4" customWidth="1"/>
    <col min="6095" max="6095" width="8.5703125" style="4" customWidth="1"/>
    <col min="6096" max="6096" width="8.85546875" style="4" customWidth="1"/>
    <col min="6097" max="6098" width="11.5703125" style="4" customWidth="1"/>
    <col min="6099" max="6099" width="9.28515625" style="4" customWidth="1"/>
    <col min="6100" max="6100" width="40.42578125" style="4" customWidth="1"/>
    <col min="6101" max="6101" width="51.28515625" style="4" customWidth="1"/>
    <col min="6102" max="6103" width="9.140625" style="4" customWidth="1"/>
    <col min="6104" max="6343" width="9.140625" style="4"/>
    <col min="6344" max="6344" width="24.7109375" style="4" customWidth="1"/>
    <col min="6345" max="6345" width="12" style="4" customWidth="1"/>
    <col min="6346" max="6346" width="9" style="4" customWidth="1"/>
    <col min="6347" max="6350" width="8.7109375" style="4" customWidth="1"/>
    <col min="6351" max="6351" width="8.5703125" style="4" customWidth="1"/>
    <col min="6352" max="6352" width="8.85546875" style="4" customWidth="1"/>
    <col min="6353" max="6354" width="11.5703125" style="4" customWidth="1"/>
    <col min="6355" max="6355" width="9.28515625" style="4" customWidth="1"/>
    <col min="6356" max="6356" width="40.42578125" style="4" customWidth="1"/>
    <col min="6357" max="6357" width="51.28515625" style="4" customWidth="1"/>
    <col min="6358" max="6359" width="9.140625" style="4" customWidth="1"/>
    <col min="6360" max="6599" width="9.140625" style="4"/>
    <col min="6600" max="6600" width="24.7109375" style="4" customWidth="1"/>
    <col min="6601" max="6601" width="12" style="4" customWidth="1"/>
    <col min="6602" max="6602" width="9" style="4" customWidth="1"/>
    <col min="6603" max="6606" width="8.7109375" style="4" customWidth="1"/>
    <col min="6607" max="6607" width="8.5703125" style="4" customWidth="1"/>
    <col min="6608" max="6608" width="8.85546875" style="4" customWidth="1"/>
    <col min="6609" max="6610" width="11.5703125" style="4" customWidth="1"/>
    <col min="6611" max="6611" width="9.28515625" style="4" customWidth="1"/>
    <col min="6612" max="6612" width="40.42578125" style="4" customWidth="1"/>
    <col min="6613" max="6613" width="51.28515625" style="4" customWidth="1"/>
    <col min="6614" max="6615" width="9.140625" style="4" customWidth="1"/>
    <col min="6616" max="6855" width="9.140625" style="4"/>
    <col min="6856" max="6856" width="24.7109375" style="4" customWidth="1"/>
    <col min="6857" max="6857" width="12" style="4" customWidth="1"/>
    <col min="6858" max="6858" width="9" style="4" customWidth="1"/>
    <col min="6859" max="6862" width="8.7109375" style="4" customWidth="1"/>
    <col min="6863" max="6863" width="8.5703125" style="4" customWidth="1"/>
    <col min="6864" max="6864" width="8.85546875" style="4" customWidth="1"/>
    <col min="6865" max="6866" width="11.5703125" style="4" customWidth="1"/>
    <col min="6867" max="6867" width="9.28515625" style="4" customWidth="1"/>
    <col min="6868" max="6868" width="40.42578125" style="4" customWidth="1"/>
    <col min="6869" max="6869" width="51.28515625" style="4" customWidth="1"/>
    <col min="6870" max="6871" width="9.140625" style="4" customWidth="1"/>
    <col min="6872" max="7111" width="9.140625" style="4"/>
    <col min="7112" max="7112" width="24.7109375" style="4" customWidth="1"/>
    <col min="7113" max="7113" width="12" style="4" customWidth="1"/>
    <col min="7114" max="7114" width="9" style="4" customWidth="1"/>
    <col min="7115" max="7118" width="8.7109375" style="4" customWidth="1"/>
    <col min="7119" max="7119" width="8.5703125" style="4" customWidth="1"/>
    <col min="7120" max="7120" width="8.85546875" style="4" customWidth="1"/>
    <col min="7121" max="7122" width="11.5703125" style="4" customWidth="1"/>
    <col min="7123" max="7123" width="9.28515625" style="4" customWidth="1"/>
    <col min="7124" max="7124" width="40.42578125" style="4" customWidth="1"/>
    <col min="7125" max="7125" width="51.28515625" style="4" customWidth="1"/>
    <col min="7126" max="7127" width="9.140625" style="4" customWidth="1"/>
    <col min="7128" max="7367" width="9.140625" style="4"/>
    <col min="7368" max="7368" width="24.7109375" style="4" customWidth="1"/>
    <col min="7369" max="7369" width="12" style="4" customWidth="1"/>
    <col min="7370" max="7370" width="9" style="4" customWidth="1"/>
    <col min="7371" max="7374" width="8.7109375" style="4" customWidth="1"/>
    <col min="7375" max="7375" width="8.5703125" style="4" customWidth="1"/>
    <col min="7376" max="7376" width="8.85546875" style="4" customWidth="1"/>
    <col min="7377" max="7378" width="11.5703125" style="4" customWidth="1"/>
    <col min="7379" max="7379" width="9.28515625" style="4" customWidth="1"/>
    <col min="7380" max="7380" width="40.42578125" style="4" customWidth="1"/>
    <col min="7381" max="7381" width="51.28515625" style="4" customWidth="1"/>
    <col min="7382" max="7383" width="9.140625" style="4" customWidth="1"/>
    <col min="7384" max="7623" width="9.140625" style="4"/>
    <col min="7624" max="7624" width="24.7109375" style="4" customWidth="1"/>
    <col min="7625" max="7625" width="12" style="4" customWidth="1"/>
    <col min="7626" max="7626" width="9" style="4" customWidth="1"/>
    <col min="7627" max="7630" width="8.7109375" style="4" customWidth="1"/>
    <col min="7631" max="7631" width="8.5703125" style="4" customWidth="1"/>
    <col min="7632" max="7632" width="8.85546875" style="4" customWidth="1"/>
    <col min="7633" max="7634" width="11.5703125" style="4" customWidth="1"/>
    <col min="7635" max="7635" width="9.28515625" style="4" customWidth="1"/>
    <col min="7636" max="7636" width="40.42578125" style="4" customWidth="1"/>
    <col min="7637" max="7637" width="51.28515625" style="4" customWidth="1"/>
    <col min="7638" max="7639" width="9.140625" style="4" customWidth="1"/>
    <col min="7640" max="7879" width="9.140625" style="4"/>
    <col min="7880" max="7880" width="24.7109375" style="4" customWidth="1"/>
    <col min="7881" max="7881" width="12" style="4" customWidth="1"/>
    <col min="7882" max="7882" width="9" style="4" customWidth="1"/>
    <col min="7883" max="7886" width="8.7109375" style="4" customWidth="1"/>
    <col min="7887" max="7887" width="8.5703125" style="4" customWidth="1"/>
    <col min="7888" max="7888" width="8.85546875" style="4" customWidth="1"/>
    <col min="7889" max="7890" width="11.5703125" style="4" customWidth="1"/>
    <col min="7891" max="7891" width="9.28515625" style="4" customWidth="1"/>
    <col min="7892" max="7892" width="40.42578125" style="4" customWidth="1"/>
    <col min="7893" max="7893" width="51.28515625" style="4" customWidth="1"/>
    <col min="7894" max="7895" width="9.140625" style="4" customWidth="1"/>
    <col min="7896" max="8135" width="9.140625" style="4"/>
    <col min="8136" max="8136" width="24.7109375" style="4" customWidth="1"/>
    <col min="8137" max="8137" width="12" style="4" customWidth="1"/>
    <col min="8138" max="8138" width="9" style="4" customWidth="1"/>
    <col min="8139" max="8142" width="8.7109375" style="4" customWidth="1"/>
    <col min="8143" max="8143" width="8.5703125" style="4" customWidth="1"/>
    <col min="8144" max="8144" width="8.85546875" style="4" customWidth="1"/>
    <col min="8145" max="8146" width="11.5703125" style="4" customWidth="1"/>
    <col min="8147" max="8147" width="9.28515625" style="4" customWidth="1"/>
    <col min="8148" max="8148" width="40.42578125" style="4" customWidth="1"/>
    <col min="8149" max="8149" width="51.28515625" style="4" customWidth="1"/>
    <col min="8150" max="8151" width="9.140625" style="4" customWidth="1"/>
    <col min="8152" max="8391" width="9.140625" style="4"/>
    <col min="8392" max="8392" width="24.7109375" style="4" customWidth="1"/>
    <col min="8393" max="8393" width="12" style="4" customWidth="1"/>
    <col min="8394" max="8394" width="9" style="4" customWidth="1"/>
    <col min="8395" max="8398" width="8.7109375" style="4" customWidth="1"/>
    <col min="8399" max="8399" width="8.5703125" style="4" customWidth="1"/>
    <col min="8400" max="8400" width="8.85546875" style="4" customWidth="1"/>
    <col min="8401" max="8402" width="11.5703125" style="4" customWidth="1"/>
    <col min="8403" max="8403" width="9.28515625" style="4" customWidth="1"/>
    <col min="8404" max="8404" width="40.42578125" style="4" customWidth="1"/>
    <col min="8405" max="8405" width="51.28515625" style="4" customWidth="1"/>
    <col min="8406" max="8407" width="9.140625" style="4" customWidth="1"/>
    <col min="8408" max="8647" width="9.140625" style="4"/>
    <col min="8648" max="8648" width="24.7109375" style="4" customWidth="1"/>
    <col min="8649" max="8649" width="12" style="4" customWidth="1"/>
    <col min="8650" max="8650" width="9" style="4" customWidth="1"/>
    <col min="8651" max="8654" width="8.7109375" style="4" customWidth="1"/>
    <col min="8655" max="8655" width="8.5703125" style="4" customWidth="1"/>
    <col min="8656" max="8656" width="8.85546875" style="4" customWidth="1"/>
    <col min="8657" max="8658" width="11.5703125" style="4" customWidth="1"/>
    <col min="8659" max="8659" width="9.28515625" style="4" customWidth="1"/>
    <col min="8660" max="8660" width="40.42578125" style="4" customWidth="1"/>
    <col min="8661" max="8661" width="51.28515625" style="4" customWidth="1"/>
    <col min="8662" max="8663" width="9.140625" style="4" customWidth="1"/>
    <col min="8664" max="8903" width="9.140625" style="4"/>
    <col min="8904" max="8904" width="24.7109375" style="4" customWidth="1"/>
    <col min="8905" max="8905" width="12" style="4" customWidth="1"/>
    <col min="8906" max="8906" width="9" style="4" customWidth="1"/>
    <col min="8907" max="8910" width="8.7109375" style="4" customWidth="1"/>
    <col min="8911" max="8911" width="8.5703125" style="4" customWidth="1"/>
    <col min="8912" max="8912" width="8.85546875" style="4" customWidth="1"/>
    <col min="8913" max="8914" width="11.5703125" style="4" customWidth="1"/>
    <col min="8915" max="8915" width="9.28515625" style="4" customWidth="1"/>
    <col min="8916" max="8916" width="40.42578125" style="4" customWidth="1"/>
    <col min="8917" max="8917" width="51.28515625" style="4" customWidth="1"/>
    <col min="8918" max="8919" width="9.140625" style="4" customWidth="1"/>
    <col min="8920" max="9159" width="9.140625" style="4"/>
    <col min="9160" max="9160" width="24.7109375" style="4" customWidth="1"/>
    <col min="9161" max="9161" width="12" style="4" customWidth="1"/>
    <col min="9162" max="9162" width="9" style="4" customWidth="1"/>
    <col min="9163" max="9166" width="8.7109375" style="4" customWidth="1"/>
    <col min="9167" max="9167" width="8.5703125" style="4" customWidth="1"/>
    <col min="9168" max="9168" width="8.85546875" style="4" customWidth="1"/>
    <col min="9169" max="9170" width="11.5703125" style="4" customWidth="1"/>
    <col min="9171" max="9171" width="9.28515625" style="4" customWidth="1"/>
    <col min="9172" max="9172" width="40.42578125" style="4" customWidth="1"/>
    <col min="9173" max="9173" width="51.28515625" style="4" customWidth="1"/>
    <col min="9174" max="9175" width="9.140625" style="4" customWidth="1"/>
    <col min="9176" max="9415" width="9.140625" style="4"/>
    <col min="9416" max="9416" width="24.7109375" style="4" customWidth="1"/>
    <col min="9417" max="9417" width="12" style="4" customWidth="1"/>
    <col min="9418" max="9418" width="9" style="4" customWidth="1"/>
    <col min="9419" max="9422" width="8.7109375" style="4" customWidth="1"/>
    <col min="9423" max="9423" width="8.5703125" style="4" customWidth="1"/>
    <col min="9424" max="9424" width="8.85546875" style="4" customWidth="1"/>
    <col min="9425" max="9426" width="11.5703125" style="4" customWidth="1"/>
    <col min="9427" max="9427" width="9.28515625" style="4" customWidth="1"/>
    <col min="9428" max="9428" width="40.42578125" style="4" customWidth="1"/>
    <col min="9429" max="9429" width="51.28515625" style="4" customWidth="1"/>
    <col min="9430" max="9431" width="9.140625" style="4" customWidth="1"/>
    <col min="9432" max="9671" width="9.140625" style="4"/>
    <col min="9672" max="9672" width="24.7109375" style="4" customWidth="1"/>
    <col min="9673" max="9673" width="12" style="4" customWidth="1"/>
    <col min="9674" max="9674" width="9" style="4" customWidth="1"/>
    <col min="9675" max="9678" width="8.7109375" style="4" customWidth="1"/>
    <col min="9679" max="9679" width="8.5703125" style="4" customWidth="1"/>
    <col min="9680" max="9680" width="8.85546875" style="4" customWidth="1"/>
    <col min="9681" max="9682" width="11.5703125" style="4" customWidth="1"/>
    <col min="9683" max="9683" width="9.28515625" style="4" customWidth="1"/>
    <col min="9684" max="9684" width="40.42578125" style="4" customWidth="1"/>
    <col min="9685" max="9685" width="51.28515625" style="4" customWidth="1"/>
    <col min="9686" max="9687" width="9.140625" style="4" customWidth="1"/>
    <col min="9688" max="9927" width="9.140625" style="4"/>
    <col min="9928" max="9928" width="24.7109375" style="4" customWidth="1"/>
    <col min="9929" max="9929" width="12" style="4" customWidth="1"/>
    <col min="9930" max="9930" width="9" style="4" customWidth="1"/>
    <col min="9931" max="9934" width="8.7109375" style="4" customWidth="1"/>
    <col min="9935" max="9935" width="8.5703125" style="4" customWidth="1"/>
    <col min="9936" max="9936" width="8.85546875" style="4" customWidth="1"/>
    <col min="9937" max="9938" width="11.5703125" style="4" customWidth="1"/>
    <col min="9939" max="9939" width="9.28515625" style="4" customWidth="1"/>
    <col min="9940" max="9940" width="40.42578125" style="4" customWidth="1"/>
    <col min="9941" max="9941" width="51.28515625" style="4" customWidth="1"/>
    <col min="9942" max="9943" width="9.140625" style="4" customWidth="1"/>
    <col min="9944" max="10183" width="9.140625" style="4"/>
    <col min="10184" max="10184" width="24.7109375" style="4" customWidth="1"/>
    <col min="10185" max="10185" width="12" style="4" customWidth="1"/>
    <col min="10186" max="10186" width="9" style="4" customWidth="1"/>
    <col min="10187" max="10190" width="8.7109375" style="4" customWidth="1"/>
    <col min="10191" max="10191" width="8.5703125" style="4" customWidth="1"/>
    <col min="10192" max="10192" width="8.85546875" style="4" customWidth="1"/>
    <col min="10193" max="10194" width="11.5703125" style="4" customWidth="1"/>
    <col min="10195" max="10195" width="9.28515625" style="4" customWidth="1"/>
    <col min="10196" max="10196" width="40.42578125" style="4" customWidth="1"/>
    <col min="10197" max="10197" width="51.28515625" style="4" customWidth="1"/>
    <col min="10198" max="10199" width="9.140625" style="4" customWidth="1"/>
    <col min="10200" max="10439" width="9.140625" style="4"/>
    <col min="10440" max="10440" width="24.7109375" style="4" customWidth="1"/>
    <col min="10441" max="10441" width="12" style="4" customWidth="1"/>
    <col min="10442" max="10442" width="9" style="4" customWidth="1"/>
    <col min="10443" max="10446" width="8.7109375" style="4" customWidth="1"/>
    <col min="10447" max="10447" width="8.5703125" style="4" customWidth="1"/>
    <col min="10448" max="10448" width="8.85546875" style="4" customWidth="1"/>
    <col min="10449" max="10450" width="11.5703125" style="4" customWidth="1"/>
    <col min="10451" max="10451" width="9.28515625" style="4" customWidth="1"/>
    <col min="10452" max="10452" width="40.42578125" style="4" customWidth="1"/>
    <col min="10453" max="10453" width="51.28515625" style="4" customWidth="1"/>
    <col min="10454" max="10455" width="9.140625" style="4" customWidth="1"/>
    <col min="10456" max="10695" width="9.140625" style="4"/>
    <col min="10696" max="10696" width="24.7109375" style="4" customWidth="1"/>
    <col min="10697" max="10697" width="12" style="4" customWidth="1"/>
    <col min="10698" max="10698" width="9" style="4" customWidth="1"/>
    <col min="10699" max="10702" width="8.7109375" style="4" customWidth="1"/>
    <col min="10703" max="10703" width="8.5703125" style="4" customWidth="1"/>
    <col min="10704" max="10704" width="8.85546875" style="4" customWidth="1"/>
    <col min="10705" max="10706" width="11.5703125" style="4" customWidth="1"/>
    <col min="10707" max="10707" width="9.28515625" style="4" customWidth="1"/>
    <col min="10708" max="10708" width="40.42578125" style="4" customWidth="1"/>
    <col min="10709" max="10709" width="51.28515625" style="4" customWidth="1"/>
    <col min="10710" max="10711" width="9.140625" style="4" customWidth="1"/>
    <col min="10712" max="10951" width="9.140625" style="4"/>
    <col min="10952" max="10952" width="24.7109375" style="4" customWidth="1"/>
    <col min="10953" max="10953" width="12" style="4" customWidth="1"/>
    <col min="10954" max="10954" width="9" style="4" customWidth="1"/>
    <col min="10955" max="10958" width="8.7109375" style="4" customWidth="1"/>
    <col min="10959" max="10959" width="8.5703125" style="4" customWidth="1"/>
    <col min="10960" max="10960" width="8.85546875" style="4" customWidth="1"/>
    <col min="10961" max="10962" width="11.5703125" style="4" customWidth="1"/>
    <col min="10963" max="10963" width="9.28515625" style="4" customWidth="1"/>
    <col min="10964" max="10964" width="40.42578125" style="4" customWidth="1"/>
    <col min="10965" max="10965" width="51.28515625" style="4" customWidth="1"/>
    <col min="10966" max="10967" width="9.140625" style="4" customWidth="1"/>
    <col min="10968" max="11207" width="9.140625" style="4"/>
    <col min="11208" max="11208" width="24.7109375" style="4" customWidth="1"/>
    <col min="11209" max="11209" width="12" style="4" customWidth="1"/>
    <col min="11210" max="11210" width="9" style="4" customWidth="1"/>
    <col min="11211" max="11214" width="8.7109375" style="4" customWidth="1"/>
    <col min="11215" max="11215" width="8.5703125" style="4" customWidth="1"/>
    <col min="11216" max="11216" width="8.85546875" style="4" customWidth="1"/>
    <col min="11217" max="11218" width="11.5703125" style="4" customWidth="1"/>
    <col min="11219" max="11219" width="9.28515625" style="4" customWidth="1"/>
    <col min="11220" max="11220" width="40.42578125" style="4" customWidth="1"/>
    <col min="11221" max="11221" width="51.28515625" style="4" customWidth="1"/>
    <col min="11222" max="11223" width="9.140625" style="4" customWidth="1"/>
    <col min="11224" max="11463" width="9.140625" style="4"/>
    <col min="11464" max="11464" width="24.7109375" style="4" customWidth="1"/>
    <col min="11465" max="11465" width="12" style="4" customWidth="1"/>
    <col min="11466" max="11466" width="9" style="4" customWidth="1"/>
    <col min="11467" max="11470" width="8.7109375" style="4" customWidth="1"/>
    <col min="11471" max="11471" width="8.5703125" style="4" customWidth="1"/>
    <col min="11472" max="11472" width="8.85546875" style="4" customWidth="1"/>
    <col min="11473" max="11474" width="11.5703125" style="4" customWidth="1"/>
    <col min="11475" max="11475" width="9.28515625" style="4" customWidth="1"/>
    <col min="11476" max="11476" width="40.42578125" style="4" customWidth="1"/>
    <col min="11477" max="11477" width="51.28515625" style="4" customWidth="1"/>
    <col min="11478" max="11479" width="9.140625" style="4" customWidth="1"/>
    <col min="11480" max="11719" width="9.140625" style="4"/>
    <col min="11720" max="11720" width="24.7109375" style="4" customWidth="1"/>
    <col min="11721" max="11721" width="12" style="4" customWidth="1"/>
    <col min="11722" max="11722" width="9" style="4" customWidth="1"/>
    <col min="11723" max="11726" width="8.7109375" style="4" customWidth="1"/>
    <col min="11727" max="11727" width="8.5703125" style="4" customWidth="1"/>
    <col min="11728" max="11728" width="8.85546875" style="4" customWidth="1"/>
    <col min="11729" max="11730" width="11.5703125" style="4" customWidth="1"/>
    <col min="11731" max="11731" width="9.28515625" style="4" customWidth="1"/>
    <col min="11732" max="11732" width="40.42578125" style="4" customWidth="1"/>
    <col min="11733" max="11733" width="51.28515625" style="4" customWidth="1"/>
    <col min="11734" max="11735" width="9.140625" style="4" customWidth="1"/>
    <col min="11736" max="11975" width="9.140625" style="4"/>
    <col min="11976" max="11976" width="24.7109375" style="4" customWidth="1"/>
    <col min="11977" max="11977" width="12" style="4" customWidth="1"/>
    <col min="11978" max="11978" width="9" style="4" customWidth="1"/>
    <col min="11979" max="11982" width="8.7109375" style="4" customWidth="1"/>
    <col min="11983" max="11983" width="8.5703125" style="4" customWidth="1"/>
    <col min="11984" max="11984" width="8.85546875" style="4" customWidth="1"/>
    <col min="11985" max="11986" width="11.5703125" style="4" customWidth="1"/>
    <col min="11987" max="11987" width="9.28515625" style="4" customWidth="1"/>
    <col min="11988" max="11988" width="40.42578125" style="4" customWidth="1"/>
    <col min="11989" max="11989" width="51.28515625" style="4" customWidth="1"/>
    <col min="11990" max="11991" width="9.140625" style="4" customWidth="1"/>
    <col min="11992" max="12231" width="9.140625" style="4"/>
    <col min="12232" max="12232" width="24.7109375" style="4" customWidth="1"/>
    <col min="12233" max="12233" width="12" style="4" customWidth="1"/>
    <col min="12234" max="12234" width="9" style="4" customWidth="1"/>
    <col min="12235" max="12238" width="8.7109375" style="4" customWidth="1"/>
    <col min="12239" max="12239" width="8.5703125" style="4" customWidth="1"/>
    <col min="12240" max="12240" width="8.85546875" style="4" customWidth="1"/>
    <col min="12241" max="12242" width="11.5703125" style="4" customWidth="1"/>
    <col min="12243" max="12243" width="9.28515625" style="4" customWidth="1"/>
    <col min="12244" max="12244" width="40.42578125" style="4" customWidth="1"/>
    <col min="12245" max="12245" width="51.28515625" style="4" customWidth="1"/>
    <col min="12246" max="12247" width="9.140625" style="4" customWidth="1"/>
    <col min="12248" max="12487" width="9.140625" style="4"/>
    <col min="12488" max="12488" width="24.7109375" style="4" customWidth="1"/>
    <col min="12489" max="12489" width="12" style="4" customWidth="1"/>
    <col min="12490" max="12490" width="9" style="4" customWidth="1"/>
    <col min="12491" max="12494" width="8.7109375" style="4" customWidth="1"/>
    <col min="12495" max="12495" width="8.5703125" style="4" customWidth="1"/>
    <col min="12496" max="12496" width="8.85546875" style="4" customWidth="1"/>
    <col min="12497" max="12498" width="11.5703125" style="4" customWidth="1"/>
    <col min="12499" max="12499" width="9.28515625" style="4" customWidth="1"/>
    <col min="12500" max="12500" width="40.42578125" style="4" customWidth="1"/>
    <col min="12501" max="12501" width="51.28515625" style="4" customWidth="1"/>
    <col min="12502" max="12503" width="9.140625" style="4" customWidth="1"/>
    <col min="12504" max="12743" width="9.140625" style="4"/>
    <col min="12744" max="12744" width="24.7109375" style="4" customWidth="1"/>
    <col min="12745" max="12745" width="12" style="4" customWidth="1"/>
    <col min="12746" max="12746" width="9" style="4" customWidth="1"/>
    <col min="12747" max="12750" width="8.7109375" style="4" customWidth="1"/>
    <col min="12751" max="12751" width="8.5703125" style="4" customWidth="1"/>
    <col min="12752" max="12752" width="8.85546875" style="4" customWidth="1"/>
    <col min="12753" max="12754" width="11.5703125" style="4" customWidth="1"/>
    <col min="12755" max="12755" width="9.28515625" style="4" customWidth="1"/>
    <col min="12756" max="12756" width="40.42578125" style="4" customWidth="1"/>
    <col min="12757" max="12757" width="51.28515625" style="4" customWidth="1"/>
    <col min="12758" max="12759" width="9.140625" style="4" customWidth="1"/>
    <col min="12760" max="12999" width="9.140625" style="4"/>
    <col min="13000" max="13000" width="24.7109375" style="4" customWidth="1"/>
    <col min="13001" max="13001" width="12" style="4" customWidth="1"/>
    <col min="13002" max="13002" width="9" style="4" customWidth="1"/>
    <col min="13003" max="13006" width="8.7109375" style="4" customWidth="1"/>
    <col min="13007" max="13007" width="8.5703125" style="4" customWidth="1"/>
    <col min="13008" max="13008" width="8.85546875" style="4" customWidth="1"/>
    <col min="13009" max="13010" width="11.5703125" style="4" customWidth="1"/>
    <col min="13011" max="13011" width="9.28515625" style="4" customWidth="1"/>
    <col min="13012" max="13012" width="40.42578125" style="4" customWidth="1"/>
    <col min="13013" max="13013" width="51.28515625" style="4" customWidth="1"/>
    <col min="13014" max="13015" width="9.140625" style="4" customWidth="1"/>
    <col min="13016" max="13255" width="9.140625" style="4"/>
    <col min="13256" max="13256" width="24.7109375" style="4" customWidth="1"/>
    <col min="13257" max="13257" width="12" style="4" customWidth="1"/>
    <col min="13258" max="13258" width="9" style="4" customWidth="1"/>
    <col min="13259" max="13262" width="8.7109375" style="4" customWidth="1"/>
    <col min="13263" max="13263" width="8.5703125" style="4" customWidth="1"/>
    <col min="13264" max="13264" width="8.85546875" style="4" customWidth="1"/>
    <col min="13265" max="13266" width="11.5703125" style="4" customWidth="1"/>
    <col min="13267" max="13267" width="9.28515625" style="4" customWidth="1"/>
    <col min="13268" max="13268" width="40.42578125" style="4" customWidth="1"/>
    <col min="13269" max="13269" width="51.28515625" style="4" customWidth="1"/>
    <col min="13270" max="13271" width="9.140625" style="4" customWidth="1"/>
    <col min="13272" max="13511" width="9.140625" style="4"/>
    <col min="13512" max="13512" width="24.7109375" style="4" customWidth="1"/>
    <col min="13513" max="13513" width="12" style="4" customWidth="1"/>
    <col min="13514" max="13514" width="9" style="4" customWidth="1"/>
    <col min="13515" max="13518" width="8.7109375" style="4" customWidth="1"/>
    <col min="13519" max="13519" width="8.5703125" style="4" customWidth="1"/>
    <col min="13520" max="13520" width="8.85546875" style="4" customWidth="1"/>
    <col min="13521" max="13522" width="11.5703125" style="4" customWidth="1"/>
    <col min="13523" max="13523" width="9.28515625" style="4" customWidth="1"/>
    <col min="13524" max="13524" width="40.42578125" style="4" customWidth="1"/>
    <col min="13525" max="13525" width="51.28515625" style="4" customWidth="1"/>
    <col min="13526" max="13527" width="9.140625" style="4" customWidth="1"/>
    <col min="13528" max="13767" width="9.140625" style="4"/>
    <col min="13768" max="13768" width="24.7109375" style="4" customWidth="1"/>
    <col min="13769" max="13769" width="12" style="4" customWidth="1"/>
    <col min="13770" max="13770" width="9" style="4" customWidth="1"/>
    <col min="13771" max="13774" width="8.7109375" style="4" customWidth="1"/>
    <col min="13775" max="13775" width="8.5703125" style="4" customWidth="1"/>
    <col min="13776" max="13776" width="8.85546875" style="4" customWidth="1"/>
    <col min="13777" max="13778" width="11.5703125" style="4" customWidth="1"/>
    <col min="13779" max="13779" width="9.28515625" style="4" customWidth="1"/>
    <col min="13780" max="13780" width="40.42578125" style="4" customWidth="1"/>
    <col min="13781" max="13781" width="51.28515625" style="4" customWidth="1"/>
    <col min="13782" max="13783" width="9.140625" style="4" customWidth="1"/>
    <col min="13784" max="14023" width="9.140625" style="4"/>
    <col min="14024" max="14024" width="24.7109375" style="4" customWidth="1"/>
    <col min="14025" max="14025" width="12" style="4" customWidth="1"/>
    <col min="14026" max="14026" width="9" style="4" customWidth="1"/>
    <col min="14027" max="14030" width="8.7109375" style="4" customWidth="1"/>
    <col min="14031" max="14031" width="8.5703125" style="4" customWidth="1"/>
    <col min="14032" max="14032" width="8.85546875" style="4" customWidth="1"/>
    <col min="14033" max="14034" width="11.5703125" style="4" customWidth="1"/>
    <col min="14035" max="14035" width="9.28515625" style="4" customWidth="1"/>
    <col min="14036" max="14036" width="40.42578125" style="4" customWidth="1"/>
    <col min="14037" max="14037" width="51.28515625" style="4" customWidth="1"/>
    <col min="14038" max="14039" width="9.140625" style="4" customWidth="1"/>
    <col min="14040" max="14279" width="9.140625" style="4"/>
    <col min="14280" max="14280" width="24.7109375" style="4" customWidth="1"/>
    <col min="14281" max="14281" width="12" style="4" customWidth="1"/>
    <col min="14282" max="14282" width="9" style="4" customWidth="1"/>
    <col min="14283" max="14286" width="8.7109375" style="4" customWidth="1"/>
    <col min="14287" max="14287" width="8.5703125" style="4" customWidth="1"/>
    <col min="14288" max="14288" width="8.85546875" style="4" customWidth="1"/>
    <col min="14289" max="14290" width="11.5703125" style="4" customWidth="1"/>
    <col min="14291" max="14291" width="9.28515625" style="4" customWidth="1"/>
    <col min="14292" max="14292" width="40.42578125" style="4" customWidth="1"/>
    <col min="14293" max="14293" width="51.28515625" style="4" customWidth="1"/>
    <col min="14294" max="14295" width="9.140625" style="4" customWidth="1"/>
    <col min="14296" max="14535" width="9.140625" style="4"/>
    <col min="14536" max="14536" width="24.7109375" style="4" customWidth="1"/>
    <col min="14537" max="14537" width="12" style="4" customWidth="1"/>
    <col min="14538" max="14538" width="9" style="4" customWidth="1"/>
    <col min="14539" max="14542" width="8.7109375" style="4" customWidth="1"/>
    <col min="14543" max="14543" width="8.5703125" style="4" customWidth="1"/>
    <col min="14544" max="14544" width="8.85546875" style="4" customWidth="1"/>
    <col min="14545" max="14546" width="11.5703125" style="4" customWidth="1"/>
    <col min="14547" max="14547" width="9.28515625" style="4" customWidth="1"/>
    <col min="14548" max="14548" width="40.42578125" style="4" customWidth="1"/>
    <col min="14549" max="14549" width="51.28515625" style="4" customWidth="1"/>
    <col min="14550" max="14551" width="9.140625" style="4" customWidth="1"/>
    <col min="14552" max="14791" width="9.140625" style="4"/>
    <col min="14792" max="14792" width="24.7109375" style="4" customWidth="1"/>
    <col min="14793" max="14793" width="12" style="4" customWidth="1"/>
    <col min="14794" max="14794" width="9" style="4" customWidth="1"/>
    <col min="14795" max="14798" width="8.7109375" style="4" customWidth="1"/>
    <col min="14799" max="14799" width="8.5703125" style="4" customWidth="1"/>
    <col min="14800" max="14800" width="8.85546875" style="4" customWidth="1"/>
    <col min="14801" max="14802" width="11.5703125" style="4" customWidth="1"/>
    <col min="14803" max="14803" width="9.28515625" style="4" customWidth="1"/>
    <col min="14804" max="14804" width="40.42578125" style="4" customWidth="1"/>
    <col min="14805" max="14805" width="51.28515625" style="4" customWidth="1"/>
    <col min="14806" max="14807" width="9.140625" style="4" customWidth="1"/>
    <col min="14808" max="15047" width="9.140625" style="4"/>
    <col min="15048" max="15048" width="24.7109375" style="4" customWidth="1"/>
    <col min="15049" max="15049" width="12" style="4" customWidth="1"/>
    <col min="15050" max="15050" width="9" style="4" customWidth="1"/>
    <col min="15051" max="15054" width="8.7109375" style="4" customWidth="1"/>
    <col min="15055" max="15055" width="8.5703125" style="4" customWidth="1"/>
    <col min="15056" max="15056" width="8.85546875" style="4" customWidth="1"/>
    <col min="15057" max="15058" width="11.5703125" style="4" customWidth="1"/>
    <col min="15059" max="15059" width="9.28515625" style="4" customWidth="1"/>
    <col min="15060" max="15060" width="40.42578125" style="4" customWidth="1"/>
    <col min="15061" max="15061" width="51.28515625" style="4" customWidth="1"/>
    <col min="15062" max="15063" width="9.140625" style="4" customWidth="1"/>
    <col min="15064" max="15303" width="9.140625" style="4"/>
    <col min="15304" max="15304" width="24.7109375" style="4" customWidth="1"/>
    <col min="15305" max="15305" width="12" style="4" customWidth="1"/>
    <col min="15306" max="15306" width="9" style="4" customWidth="1"/>
    <col min="15307" max="15310" width="8.7109375" style="4" customWidth="1"/>
    <col min="15311" max="15311" width="8.5703125" style="4" customWidth="1"/>
    <col min="15312" max="15312" width="8.85546875" style="4" customWidth="1"/>
    <col min="15313" max="15314" width="11.5703125" style="4" customWidth="1"/>
    <col min="15315" max="15315" width="9.28515625" style="4" customWidth="1"/>
    <col min="15316" max="15316" width="40.42578125" style="4" customWidth="1"/>
    <col min="15317" max="15317" width="51.28515625" style="4" customWidth="1"/>
    <col min="15318" max="15319" width="9.140625" style="4" customWidth="1"/>
    <col min="15320" max="15559" width="9.140625" style="4"/>
    <col min="15560" max="15560" width="24.7109375" style="4" customWidth="1"/>
    <col min="15561" max="15561" width="12" style="4" customWidth="1"/>
    <col min="15562" max="15562" width="9" style="4" customWidth="1"/>
    <col min="15563" max="15566" width="8.7109375" style="4" customWidth="1"/>
    <col min="15567" max="15567" width="8.5703125" style="4" customWidth="1"/>
    <col min="15568" max="15568" width="8.85546875" style="4" customWidth="1"/>
    <col min="15569" max="15570" width="11.5703125" style="4" customWidth="1"/>
    <col min="15571" max="15571" width="9.28515625" style="4" customWidth="1"/>
    <col min="15572" max="15572" width="40.42578125" style="4" customWidth="1"/>
    <col min="15573" max="15573" width="51.28515625" style="4" customWidth="1"/>
    <col min="15574" max="15575" width="9.140625" style="4" customWidth="1"/>
    <col min="15576" max="15815" width="9.140625" style="4"/>
    <col min="15816" max="15816" width="24.7109375" style="4" customWidth="1"/>
    <col min="15817" max="15817" width="12" style="4" customWidth="1"/>
    <col min="15818" max="15818" width="9" style="4" customWidth="1"/>
    <col min="15819" max="15822" width="8.7109375" style="4" customWidth="1"/>
    <col min="15823" max="15823" width="8.5703125" style="4" customWidth="1"/>
    <col min="15824" max="15824" width="8.85546875" style="4" customWidth="1"/>
    <col min="15825" max="15826" width="11.5703125" style="4" customWidth="1"/>
    <col min="15827" max="15827" width="9.28515625" style="4" customWidth="1"/>
    <col min="15828" max="15828" width="40.42578125" style="4" customWidth="1"/>
    <col min="15829" max="15829" width="51.28515625" style="4" customWidth="1"/>
    <col min="15830" max="15831" width="9.140625" style="4" customWidth="1"/>
    <col min="15832" max="16071" width="9.140625" style="4"/>
    <col min="16072" max="16072" width="24.7109375" style="4" customWidth="1"/>
    <col min="16073" max="16073" width="12" style="4" customWidth="1"/>
    <col min="16074" max="16074" width="9" style="4" customWidth="1"/>
    <col min="16075" max="16078" width="8.7109375" style="4" customWidth="1"/>
    <col min="16079" max="16079" width="8.5703125" style="4" customWidth="1"/>
    <col min="16080" max="16080" width="8.85546875" style="4" customWidth="1"/>
    <col min="16081" max="16082" width="11.5703125" style="4" customWidth="1"/>
    <col min="16083" max="16083" width="9.28515625" style="4" customWidth="1"/>
    <col min="16084" max="16084" width="40.42578125" style="4" customWidth="1"/>
    <col min="16085" max="16085" width="51.28515625" style="4" customWidth="1"/>
    <col min="16086" max="16087" width="9.140625" style="4" customWidth="1"/>
    <col min="16088" max="16384" width="9.140625" style="4"/>
  </cols>
  <sheetData>
    <row r="1" spans="1:9" x14ac:dyDescent="0.3">
      <c r="A1" s="493" t="str">
        <f>'1.'!AL3</f>
        <v>Pielikums</v>
      </c>
      <c r="B1" s="493"/>
      <c r="C1" s="493"/>
      <c r="D1" s="493"/>
      <c r="E1" s="493"/>
      <c r="F1" s="493"/>
      <c r="G1" s="493"/>
      <c r="H1" s="493"/>
      <c r="I1" s="493"/>
    </row>
    <row r="2" spans="1:9" x14ac:dyDescent="0.3">
      <c r="A2" s="493" t="str">
        <f>'1.'!AL4</f>
        <v>Likumprojekta “Grozījumi Invaliditātes likumā” sākotnējās ietekmes novērtējuma ziņojumam (anotācijai)</v>
      </c>
      <c r="B2" s="493"/>
      <c r="C2" s="493"/>
      <c r="D2" s="493"/>
      <c r="E2" s="493"/>
      <c r="F2" s="493"/>
      <c r="G2" s="493"/>
      <c r="H2" s="493"/>
      <c r="I2" s="493"/>
    </row>
    <row r="3" spans="1:9" hidden="1" x14ac:dyDescent="0.3"/>
    <row r="4" spans="1:9" ht="51.75" customHeight="1" x14ac:dyDescent="0.3">
      <c r="A4" s="446" t="s">
        <v>304</v>
      </c>
      <c r="B4" s="446"/>
      <c r="C4" s="446"/>
      <c r="D4" s="446"/>
      <c r="E4" s="446"/>
      <c r="F4" s="446"/>
      <c r="G4" s="446"/>
      <c r="H4" s="446"/>
      <c r="I4" s="446"/>
    </row>
    <row r="5" spans="1:9" ht="38.25" customHeight="1" x14ac:dyDescent="0.3">
      <c r="A5" s="512" t="s">
        <v>316</v>
      </c>
      <c r="B5" s="512"/>
      <c r="C5" s="512"/>
      <c r="D5" s="512"/>
      <c r="E5" s="512"/>
      <c r="F5" s="512"/>
      <c r="G5" s="512"/>
      <c r="H5" s="512"/>
      <c r="I5" s="512"/>
    </row>
    <row r="6" spans="1:9" ht="26.25" customHeight="1" x14ac:dyDescent="0.3">
      <c r="B6" s="511" t="s">
        <v>5</v>
      </c>
      <c r="C6" s="511"/>
      <c r="D6" s="511"/>
      <c r="E6" s="511"/>
      <c r="F6" s="511"/>
      <c r="G6" s="511"/>
      <c r="H6" s="511"/>
      <c r="I6" s="511"/>
    </row>
    <row r="7" spans="1:9" ht="33" customHeight="1" x14ac:dyDescent="0.3">
      <c r="A7" s="514" t="s">
        <v>6</v>
      </c>
      <c r="B7" s="518" t="s">
        <v>0</v>
      </c>
      <c r="C7" s="494" t="s">
        <v>3</v>
      </c>
      <c r="D7" s="494" t="s">
        <v>2</v>
      </c>
      <c r="E7" s="520" t="s">
        <v>288</v>
      </c>
      <c r="F7" s="494" t="s">
        <v>110</v>
      </c>
      <c r="G7" s="494" t="s">
        <v>19</v>
      </c>
      <c r="H7" s="494" t="s">
        <v>14</v>
      </c>
      <c r="I7" s="494" t="s">
        <v>15</v>
      </c>
    </row>
    <row r="8" spans="1:9" ht="40.5" customHeight="1" thickBot="1" x14ac:dyDescent="0.35">
      <c r="A8" s="517"/>
      <c r="B8" s="519"/>
      <c r="C8" s="494"/>
      <c r="D8" s="495"/>
      <c r="E8" s="521"/>
      <c r="F8" s="495"/>
      <c r="G8" s="495"/>
      <c r="H8" s="495"/>
      <c r="I8" s="495"/>
    </row>
    <row r="9" spans="1:9" ht="44.25" customHeight="1" thickBot="1" x14ac:dyDescent="0.35">
      <c r="A9" s="503" t="s">
        <v>18</v>
      </c>
      <c r="B9" s="504"/>
      <c r="C9" s="504"/>
      <c r="D9" s="504"/>
      <c r="E9" s="505"/>
      <c r="F9" s="26">
        <f>F10+F15</f>
        <v>788.99856</v>
      </c>
      <c r="G9" s="32">
        <f>G10+G15</f>
        <v>4.7302071942446036</v>
      </c>
      <c r="H9" s="506"/>
      <c r="I9" s="507"/>
    </row>
    <row r="10" spans="1:9" s="9" customFormat="1" ht="40.5" customHeight="1" x14ac:dyDescent="0.25">
      <c r="A10" s="23">
        <v>1</v>
      </c>
      <c r="B10" s="516" t="s">
        <v>8</v>
      </c>
      <c r="C10" s="516"/>
      <c r="D10" s="516"/>
      <c r="E10" s="516"/>
      <c r="F10" s="24">
        <f>F11</f>
        <v>751.42719999999997</v>
      </c>
      <c r="G10" s="25">
        <f>G11</f>
        <v>4.5049592326139081</v>
      </c>
      <c r="H10" s="508" t="s">
        <v>289</v>
      </c>
      <c r="I10" s="510" t="s">
        <v>38</v>
      </c>
    </row>
    <row r="11" spans="1:9" s="6" customFormat="1" ht="216" customHeight="1" x14ac:dyDescent="0.25">
      <c r="A11" s="10" t="s">
        <v>7</v>
      </c>
      <c r="B11" s="30" t="s">
        <v>13</v>
      </c>
      <c r="C11" s="28" t="s">
        <v>17</v>
      </c>
      <c r="D11" s="1">
        <f>608</f>
        <v>608</v>
      </c>
      <c r="E11" s="1">
        <f>D11*0.2359</f>
        <v>143.4272</v>
      </c>
      <c r="F11" s="1">
        <f>D11+E11</f>
        <v>751.42719999999997</v>
      </c>
      <c r="G11" s="1">
        <f>F11/166.8</f>
        <v>4.5049592326139081</v>
      </c>
      <c r="H11" s="509"/>
      <c r="I11" s="502"/>
    </row>
    <row r="12" spans="1:9" s="6" customFormat="1" ht="26.25" customHeight="1" x14ac:dyDescent="0.3">
      <c r="A12" s="7"/>
      <c r="B12" s="496" t="s">
        <v>9</v>
      </c>
      <c r="C12" s="496"/>
      <c r="D12" s="496"/>
      <c r="E12" s="496"/>
      <c r="F12" s="496"/>
      <c r="G12" s="496"/>
      <c r="H12" s="496"/>
      <c r="I12" s="496"/>
    </row>
    <row r="13" spans="1:9" ht="32.25" customHeight="1" x14ac:dyDescent="0.3">
      <c r="A13" s="514" t="s">
        <v>6</v>
      </c>
      <c r="B13" s="515" t="s">
        <v>0</v>
      </c>
      <c r="C13" s="494" t="s">
        <v>3</v>
      </c>
      <c r="D13" s="494" t="s">
        <v>1</v>
      </c>
      <c r="E13" s="499" t="s">
        <v>20</v>
      </c>
      <c r="F13" s="499" t="s">
        <v>21</v>
      </c>
      <c r="G13" s="494" t="s">
        <v>19</v>
      </c>
      <c r="H13" s="494" t="s">
        <v>14</v>
      </c>
      <c r="I13" s="494" t="s">
        <v>15</v>
      </c>
    </row>
    <row r="14" spans="1:9" ht="44.25" customHeight="1" x14ac:dyDescent="0.3">
      <c r="A14" s="514"/>
      <c r="B14" s="515"/>
      <c r="C14" s="494"/>
      <c r="D14" s="494"/>
      <c r="E14" s="499"/>
      <c r="F14" s="499"/>
      <c r="G14" s="494"/>
      <c r="H14" s="494"/>
      <c r="I14" s="494"/>
    </row>
    <row r="15" spans="1:9" ht="47.25" customHeight="1" x14ac:dyDescent="0.3">
      <c r="A15" s="11">
        <v>2</v>
      </c>
      <c r="B15" s="513" t="s">
        <v>11</v>
      </c>
      <c r="C15" s="513"/>
      <c r="D15" s="513"/>
      <c r="E15" s="513" t="s">
        <v>4</v>
      </c>
      <c r="F15" s="22">
        <f>F16+F19</f>
        <v>37.571359999999999</v>
      </c>
      <c r="G15" s="22">
        <f>G16+G19</f>
        <v>0.22524796163069541</v>
      </c>
      <c r="H15" s="27"/>
      <c r="I15" s="27"/>
    </row>
    <row r="16" spans="1:9" ht="102" hidden="1" customHeight="1" x14ac:dyDescent="0.3">
      <c r="A16" s="12"/>
      <c r="B16" s="498"/>
      <c r="C16" s="498"/>
      <c r="D16" s="498"/>
      <c r="E16" s="498"/>
      <c r="F16" s="19"/>
      <c r="G16" s="20"/>
      <c r="H16" s="2"/>
      <c r="I16" s="500"/>
    </row>
    <row r="17" spans="1:10" ht="149.25" hidden="1" customHeight="1" x14ac:dyDescent="0.3">
      <c r="A17" s="13"/>
      <c r="B17" s="14"/>
      <c r="C17" s="29"/>
      <c r="D17" s="15"/>
      <c r="E17" s="16"/>
      <c r="F17" s="1"/>
      <c r="G17" s="1"/>
      <c r="H17" s="2"/>
      <c r="I17" s="501"/>
    </row>
    <row r="18" spans="1:10" ht="132.75" hidden="1" customHeight="1" x14ac:dyDescent="0.3">
      <c r="A18" s="17"/>
      <c r="B18" s="18"/>
      <c r="C18" s="28"/>
      <c r="D18" s="15"/>
      <c r="E18" s="21"/>
      <c r="F18" s="1"/>
      <c r="G18" s="1"/>
      <c r="H18" s="2"/>
      <c r="I18" s="502"/>
    </row>
    <row r="19" spans="1:10" ht="111.6" customHeight="1" x14ac:dyDescent="0.3">
      <c r="A19" s="12" t="s">
        <v>10</v>
      </c>
      <c r="B19" s="498" t="s">
        <v>16</v>
      </c>
      <c r="C19" s="498"/>
      <c r="D19" s="498"/>
      <c r="E19" s="498" t="s">
        <v>4</v>
      </c>
      <c r="F19" s="19">
        <f>(F16+F11)*0.05</f>
        <v>37.571359999999999</v>
      </c>
      <c r="G19" s="19">
        <f>F19/166.8</f>
        <v>0.22524796163069541</v>
      </c>
      <c r="H19" s="2" t="s">
        <v>290</v>
      </c>
      <c r="I19" s="3" t="s">
        <v>40</v>
      </c>
      <c r="J19" s="9"/>
    </row>
    <row r="20" spans="1:10" ht="132" customHeight="1" x14ac:dyDescent="0.3">
      <c r="A20" s="497" t="s">
        <v>142</v>
      </c>
      <c r="B20" s="497"/>
      <c r="C20" s="497"/>
      <c r="D20" s="497"/>
      <c r="E20" s="497"/>
      <c r="F20" s="497"/>
      <c r="G20" s="497"/>
      <c r="H20" s="497"/>
      <c r="I20" s="497"/>
    </row>
    <row r="21" spans="1:10" x14ac:dyDescent="0.3">
      <c r="A21" s="424" t="s">
        <v>306</v>
      </c>
      <c r="B21" s="424"/>
      <c r="C21" s="424"/>
    </row>
    <row r="22" spans="1:10" x14ac:dyDescent="0.3">
      <c r="A22" s="424"/>
      <c r="B22" s="424"/>
      <c r="C22" s="424"/>
    </row>
    <row r="23" spans="1:10" x14ac:dyDescent="0.3">
      <c r="A23" s="424"/>
      <c r="B23" s="424"/>
      <c r="C23" s="424"/>
    </row>
    <row r="24" spans="1:10" x14ac:dyDescent="0.3">
      <c r="A24" s="424"/>
      <c r="B24" s="424"/>
      <c r="C24" s="424"/>
      <c r="G24" s="186"/>
    </row>
    <row r="25" spans="1:10" x14ac:dyDescent="0.3">
      <c r="A25" s="424"/>
      <c r="B25" s="424"/>
      <c r="C25" s="424"/>
    </row>
  </sheetData>
  <mergeCells count="35">
    <mergeCell ref="B15:E15"/>
    <mergeCell ref="A13:A14"/>
    <mergeCell ref="B13:B14"/>
    <mergeCell ref="C13:C14"/>
    <mergeCell ref="D13:D14"/>
    <mergeCell ref="E13:E14"/>
    <mergeCell ref="H9:I9"/>
    <mergeCell ref="H10:H11"/>
    <mergeCell ref="I10:I11"/>
    <mergeCell ref="B6:I6"/>
    <mergeCell ref="A5:I5"/>
    <mergeCell ref="C7:C8"/>
    <mergeCell ref="B10:E10"/>
    <mergeCell ref="I7:I8"/>
    <mergeCell ref="A7:A8"/>
    <mergeCell ref="H7:H8"/>
    <mergeCell ref="B7:B8"/>
    <mergeCell ref="D7:D8"/>
    <mergeCell ref="E7:E8"/>
    <mergeCell ref="A1:I1"/>
    <mergeCell ref="A2:I2"/>
    <mergeCell ref="A4:I4"/>
    <mergeCell ref="A21:C25"/>
    <mergeCell ref="F7:F8"/>
    <mergeCell ref="G7:G8"/>
    <mergeCell ref="B12:I12"/>
    <mergeCell ref="A20:I20"/>
    <mergeCell ref="B16:E16"/>
    <mergeCell ref="F13:F14"/>
    <mergeCell ref="G13:G14"/>
    <mergeCell ref="H13:H14"/>
    <mergeCell ref="I13:I14"/>
    <mergeCell ref="I16:I18"/>
    <mergeCell ref="B19:E19"/>
    <mergeCell ref="A9:E9"/>
  </mergeCells>
  <pageMargins left="1.1811023622047245" right="0.51181102362204722" top="0.78740157480314965" bottom="0.59055118110236227" header="0.31496062992125984" footer="0.31496062992125984"/>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90E9-742F-49CE-90CC-4D6514866DA7}">
  <dimension ref="A1:F24"/>
  <sheetViews>
    <sheetView zoomScale="70" zoomScaleNormal="70" workbookViewId="0">
      <selection activeCell="M17" sqref="M17"/>
    </sheetView>
  </sheetViews>
  <sheetFormatPr defaultColWidth="9.140625" defaultRowHeight="15" x14ac:dyDescent="0.25"/>
  <cols>
    <col min="1" max="1" width="23.7109375" style="56" customWidth="1"/>
    <col min="2" max="6" width="17.7109375" style="56" customWidth="1"/>
    <col min="7" max="16384" width="9.140625" style="56"/>
  </cols>
  <sheetData>
    <row r="1" spans="1:6" x14ac:dyDescent="0.25">
      <c r="A1" s="522" t="str">
        <f>'1.4.'!A1:I1</f>
        <v>Pielikums</v>
      </c>
      <c r="B1" s="522"/>
      <c r="C1" s="522"/>
      <c r="D1" s="522"/>
      <c r="E1" s="522"/>
      <c r="F1" s="522"/>
    </row>
    <row r="2" spans="1:6" x14ac:dyDescent="0.25">
      <c r="A2" s="522" t="str">
        <f>'1.4.'!A2:I2</f>
        <v>Likumprojekta “Grozījumi Invaliditātes likumā” sākotnējās ietekmes novērtējuma ziņojumam (anotācijai)</v>
      </c>
      <c r="B2" s="522"/>
      <c r="C2" s="522"/>
      <c r="D2" s="522"/>
      <c r="E2" s="522"/>
      <c r="F2" s="522"/>
    </row>
    <row r="3" spans="1:6" ht="30" customHeight="1" x14ac:dyDescent="0.25">
      <c r="A3" s="446" t="str">
        <f>'1.4.'!A4:I4</f>
        <v>Asistenta pakalpojuma izmaiņu ietekme uz valsts budžetu un pašvaldību budžetiem</v>
      </c>
      <c r="B3" s="446"/>
      <c r="C3" s="446"/>
      <c r="D3" s="446"/>
      <c r="E3" s="446"/>
      <c r="F3" s="446"/>
    </row>
    <row r="4" spans="1:6" ht="45.75" customHeight="1" x14ac:dyDescent="0.25">
      <c r="A4" s="525" t="s">
        <v>214</v>
      </c>
      <c r="B4" s="525"/>
      <c r="C4" s="525"/>
      <c r="D4" s="525"/>
      <c r="E4" s="525"/>
      <c r="F4" s="525"/>
    </row>
    <row r="5" spans="1:6" ht="51.75" customHeight="1" x14ac:dyDescent="0.25">
      <c r="A5" s="524" t="s">
        <v>215</v>
      </c>
      <c r="B5" s="524"/>
      <c r="C5" s="524"/>
      <c r="D5" s="524"/>
      <c r="E5" s="524"/>
      <c r="F5" s="524"/>
    </row>
    <row r="7" spans="1:6" x14ac:dyDescent="0.25">
      <c r="B7" s="216" t="s">
        <v>212</v>
      </c>
      <c r="C7" s="216" t="s">
        <v>90</v>
      </c>
      <c r="D7" s="216" t="s">
        <v>91</v>
      </c>
      <c r="E7" s="216" t="s">
        <v>92</v>
      </c>
      <c r="F7" s="216" t="s">
        <v>231</v>
      </c>
    </row>
    <row r="8" spans="1:6" x14ac:dyDescent="0.25">
      <c r="A8" s="56" t="s">
        <v>210</v>
      </c>
      <c r="B8" s="217">
        <v>64000</v>
      </c>
      <c r="C8" s="217">
        <v>38000</v>
      </c>
      <c r="D8" s="217">
        <v>34000</v>
      </c>
      <c r="E8" s="217">
        <v>6000</v>
      </c>
      <c r="F8" s="217">
        <v>38000</v>
      </c>
    </row>
    <row r="9" spans="1:6" x14ac:dyDescent="0.25">
      <c r="A9" s="56" t="s">
        <v>211</v>
      </c>
      <c r="B9" s="217">
        <v>72600</v>
      </c>
      <c r="C9" s="217">
        <v>66000</v>
      </c>
      <c r="D9" s="56">
        <v>43500</v>
      </c>
      <c r="E9" s="56">
        <v>7000</v>
      </c>
      <c r="F9" s="217">
        <v>66000</v>
      </c>
    </row>
    <row r="10" spans="1:6" s="58" customFormat="1" ht="14.25" x14ac:dyDescent="0.2">
      <c r="A10" s="58" t="s">
        <v>12</v>
      </c>
      <c r="B10" s="218">
        <f>B8+B9</f>
        <v>136600</v>
      </c>
      <c r="C10" s="218">
        <f t="shared" ref="C10:E10" si="0">C8+C9</f>
        <v>104000</v>
      </c>
      <c r="D10" s="218">
        <f t="shared" si="0"/>
        <v>77500</v>
      </c>
      <c r="E10" s="218">
        <f t="shared" si="0"/>
        <v>13000</v>
      </c>
      <c r="F10" s="218">
        <f t="shared" ref="F10" si="1">F8+F9</f>
        <v>104000</v>
      </c>
    </row>
    <row r="12" spans="1:6" x14ac:dyDescent="0.25">
      <c r="A12" s="58" t="s">
        <v>213</v>
      </c>
      <c r="B12" s="219">
        <f>B13+B14</f>
        <v>2732</v>
      </c>
      <c r="C12" s="219">
        <f t="shared" ref="C12:E12" si="2">C13+C14</f>
        <v>2080</v>
      </c>
      <c r="D12" s="219">
        <f t="shared" si="2"/>
        <v>1550</v>
      </c>
      <c r="E12" s="219">
        <f t="shared" si="2"/>
        <v>260</v>
      </c>
      <c r="F12" s="219">
        <f t="shared" ref="F12" si="3">F13+F14</f>
        <v>2080</v>
      </c>
    </row>
    <row r="13" spans="1:6" x14ac:dyDescent="0.25">
      <c r="A13" s="220" t="s">
        <v>210</v>
      </c>
      <c r="B13" s="221">
        <v>1280</v>
      </c>
      <c r="C13" s="221">
        <v>760</v>
      </c>
      <c r="D13" s="221">
        <v>680</v>
      </c>
      <c r="E13" s="221">
        <v>120</v>
      </c>
      <c r="F13" s="221">
        <v>760</v>
      </c>
    </row>
    <row r="14" spans="1:6" x14ac:dyDescent="0.25">
      <c r="A14" s="220" t="s">
        <v>211</v>
      </c>
      <c r="B14" s="221">
        <v>1452</v>
      </c>
      <c r="C14" s="221">
        <v>1320</v>
      </c>
      <c r="D14" s="221">
        <v>870</v>
      </c>
      <c r="E14" s="221">
        <v>140</v>
      </c>
      <c r="F14" s="221">
        <v>1320</v>
      </c>
    </row>
    <row r="15" spans="1:6" x14ac:dyDescent="0.25">
      <c r="A15" s="56" t="s">
        <v>218</v>
      </c>
      <c r="B15" s="222">
        <v>50</v>
      </c>
      <c r="C15" s="222">
        <v>50</v>
      </c>
      <c r="D15" s="222">
        <v>50</v>
      </c>
      <c r="E15" s="222">
        <v>50</v>
      </c>
      <c r="F15" s="222">
        <v>50</v>
      </c>
    </row>
    <row r="17" spans="1:6" ht="202.5" customHeight="1" x14ac:dyDescent="0.25">
      <c r="B17" s="223" t="s">
        <v>216</v>
      </c>
      <c r="C17" s="223" t="s">
        <v>219</v>
      </c>
      <c r="D17" s="223" t="s">
        <v>220</v>
      </c>
      <c r="E17" s="223" t="s">
        <v>221</v>
      </c>
      <c r="F17" s="223" t="s">
        <v>219</v>
      </c>
    </row>
    <row r="18" spans="1:6" ht="103.5" customHeight="1" x14ac:dyDescent="0.25">
      <c r="B18" s="523" t="s">
        <v>217</v>
      </c>
      <c r="C18" s="523"/>
      <c r="D18" s="523"/>
      <c r="E18" s="523"/>
      <c r="F18" s="523"/>
    </row>
    <row r="19" spans="1:6" x14ac:dyDescent="0.25">
      <c r="A19" s="424" t="s">
        <v>306</v>
      </c>
      <c r="B19" s="424"/>
      <c r="C19" s="424"/>
    </row>
    <row r="20" spans="1:6" x14ac:dyDescent="0.25">
      <c r="A20" s="424"/>
      <c r="B20" s="424"/>
      <c r="C20" s="424"/>
    </row>
    <row r="21" spans="1:6" x14ac:dyDescent="0.25">
      <c r="A21" s="424"/>
      <c r="B21" s="424"/>
      <c r="C21" s="424"/>
    </row>
    <row r="22" spans="1:6" x14ac:dyDescent="0.25">
      <c r="A22" s="424"/>
      <c r="B22" s="424"/>
      <c r="C22" s="424"/>
    </row>
    <row r="23" spans="1:6" x14ac:dyDescent="0.25">
      <c r="A23" s="424"/>
      <c r="B23" s="424"/>
      <c r="C23" s="424"/>
    </row>
    <row r="24" spans="1:6" x14ac:dyDescent="0.25">
      <c r="A24" s="79"/>
    </row>
  </sheetData>
  <mergeCells count="7">
    <mergeCell ref="A19:C23"/>
    <mergeCell ref="A2:F2"/>
    <mergeCell ref="A1:F1"/>
    <mergeCell ref="B18:F18"/>
    <mergeCell ref="A5:F5"/>
    <mergeCell ref="A4:F4"/>
    <mergeCell ref="A3:F3"/>
  </mergeCells>
  <pageMargins left="1.1023622047244095" right="0.70866141732283472" top="0.74803149606299213" bottom="0.74803149606299213" header="0.31496062992125984" footer="0.31496062992125984"/>
  <pageSetup paperSize="9" scale="70"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BC3E-2D29-4E70-BBE2-6299246C4979}">
  <dimension ref="A1:R404"/>
  <sheetViews>
    <sheetView zoomScale="70" zoomScaleNormal="70" workbookViewId="0">
      <pane xSplit="2" ySplit="4" topLeftCell="C5" activePane="bottomRight" state="frozen"/>
      <selection pane="topRight" activeCell="C1" sqref="C1"/>
      <selection pane="bottomLeft" activeCell="A3" sqref="A3"/>
      <selection pane="bottomRight" activeCell="K421" sqref="K421"/>
    </sheetView>
  </sheetViews>
  <sheetFormatPr defaultColWidth="9.140625" defaultRowHeight="12.75" x14ac:dyDescent="0.2"/>
  <cols>
    <col min="1" max="1" width="13.140625" style="193" customWidth="1"/>
    <col min="2" max="2" width="10.28515625" style="193" customWidth="1"/>
    <col min="3" max="3" width="24.7109375" style="193" customWidth="1"/>
    <col min="4" max="4" width="11.140625" style="193" customWidth="1"/>
    <col min="5" max="5" width="4" style="193" hidden="1" customWidth="1"/>
    <col min="6" max="9" width="11.140625" style="193" customWidth="1"/>
    <col min="10" max="10" width="2.85546875" style="193" customWidth="1"/>
    <col min="11" max="13" width="11.140625" style="193" customWidth="1"/>
    <col min="14" max="14" width="2.85546875" style="193" customWidth="1"/>
    <col min="15" max="17" width="11.140625" style="193" customWidth="1"/>
    <col min="18" max="18" width="9.85546875" style="193" bestFit="1" customWidth="1"/>
    <col min="19" max="254" width="9.140625" style="193"/>
    <col min="255" max="255" width="31.42578125" style="193" customWidth="1"/>
    <col min="256" max="257" width="11.42578125" style="193" customWidth="1"/>
    <col min="258" max="261" width="11.140625" style="193" customWidth="1"/>
    <col min="262" max="510" width="9.140625" style="193"/>
    <col min="511" max="511" width="31.42578125" style="193" customWidth="1"/>
    <col min="512" max="513" width="11.42578125" style="193" customWidth="1"/>
    <col min="514" max="517" width="11.140625" style="193" customWidth="1"/>
    <col min="518" max="766" width="9.140625" style="193"/>
    <col min="767" max="767" width="31.42578125" style="193" customWidth="1"/>
    <col min="768" max="769" width="11.42578125" style="193" customWidth="1"/>
    <col min="770" max="773" width="11.140625" style="193" customWidth="1"/>
    <col min="774" max="1022" width="9.140625" style="193"/>
    <col min="1023" max="1023" width="31.42578125" style="193" customWidth="1"/>
    <col min="1024" max="1025" width="11.42578125" style="193" customWidth="1"/>
    <col min="1026" max="1029" width="11.140625" style="193" customWidth="1"/>
    <col min="1030" max="1278" width="9.140625" style="193"/>
    <col min="1279" max="1279" width="31.42578125" style="193" customWidth="1"/>
    <col min="1280" max="1281" width="11.42578125" style="193" customWidth="1"/>
    <col min="1282" max="1285" width="11.140625" style="193" customWidth="1"/>
    <col min="1286" max="1534" width="9.140625" style="193"/>
    <col min="1535" max="1535" width="31.42578125" style="193" customWidth="1"/>
    <col min="1536" max="1537" width="11.42578125" style="193" customWidth="1"/>
    <col min="1538" max="1541" width="11.140625" style="193" customWidth="1"/>
    <col min="1542" max="1790" width="9.140625" style="193"/>
    <col min="1791" max="1791" width="31.42578125" style="193" customWidth="1"/>
    <col min="1792" max="1793" width="11.42578125" style="193" customWidth="1"/>
    <col min="1794" max="1797" width="11.140625" style="193" customWidth="1"/>
    <col min="1798" max="2046" width="9.140625" style="193"/>
    <col min="2047" max="2047" width="31.42578125" style="193" customWidth="1"/>
    <col min="2048" max="2049" width="11.42578125" style="193" customWidth="1"/>
    <col min="2050" max="2053" width="11.140625" style="193" customWidth="1"/>
    <col min="2054" max="2302" width="9.140625" style="193"/>
    <col min="2303" max="2303" width="31.42578125" style="193" customWidth="1"/>
    <col min="2304" max="2305" width="11.42578125" style="193" customWidth="1"/>
    <col min="2306" max="2309" width="11.140625" style="193" customWidth="1"/>
    <col min="2310" max="2558" width="9.140625" style="193"/>
    <col min="2559" max="2559" width="31.42578125" style="193" customWidth="1"/>
    <col min="2560" max="2561" width="11.42578125" style="193" customWidth="1"/>
    <col min="2562" max="2565" width="11.140625" style="193" customWidth="1"/>
    <col min="2566" max="2814" width="9.140625" style="193"/>
    <col min="2815" max="2815" width="31.42578125" style="193" customWidth="1"/>
    <col min="2816" max="2817" width="11.42578125" style="193" customWidth="1"/>
    <col min="2818" max="2821" width="11.140625" style="193" customWidth="1"/>
    <col min="2822" max="3070" width="9.140625" style="193"/>
    <col min="3071" max="3071" width="31.42578125" style="193" customWidth="1"/>
    <col min="3072" max="3073" width="11.42578125" style="193" customWidth="1"/>
    <col min="3074" max="3077" width="11.140625" style="193" customWidth="1"/>
    <col min="3078" max="3326" width="9.140625" style="193"/>
    <col min="3327" max="3327" width="31.42578125" style="193" customWidth="1"/>
    <col min="3328" max="3329" width="11.42578125" style="193" customWidth="1"/>
    <col min="3330" max="3333" width="11.140625" style="193" customWidth="1"/>
    <col min="3334" max="3582" width="9.140625" style="193"/>
    <col min="3583" max="3583" width="31.42578125" style="193" customWidth="1"/>
    <col min="3584" max="3585" width="11.42578125" style="193" customWidth="1"/>
    <col min="3586" max="3589" width="11.140625" style="193" customWidth="1"/>
    <col min="3590" max="3838" width="9.140625" style="193"/>
    <col min="3839" max="3839" width="31.42578125" style="193" customWidth="1"/>
    <col min="3840" max="3841" width="11.42578125" style="193" customWidth="1"/>
    <col min="3842" max="3845" width="11.140625" style="193" customWidth="1"/>
    <col min="3846" max="4094" width="9.140625" style="193"/>
    <col min="4095" max="4095" width="31.42578125" style="193" customWidth="1"/>
    <col min="4096" max="4097" width="11.42578125" style="193" customWidth="1"/>
    <col min="4098" max="4101" width="11.140625" style="193" customWidth="1"/>
    <col min="4102" max="4350" width="9.140625" style="193"/>
    <col min="4351" max="4351" width="31.42578125" style="193" customWidth="1"/>
    <col min="4352" max="4353" width="11.42578125" style="193" customWidth="1"/>
    <col min="4354" max="4357" width="11.140625" style="193" customWidth="1"/>
    <col min="4358" max="4606" width="9.140625" style="193"/>
    <col min="4607" max="4607" width="31.42578125" style="193" customWidth="1"/>
    <col min="4608" max="4609" width="11.42578125" style="193" customWidth="1"/>
    <col min="4610" max="4613" width="11.140625" style="193" customWidth="1"/>
    <col min="4614" max="4862" width="9.140625" style="193"/>
    <col min="4863" max="4863" width="31.42578125" style="193" customWidth="1"/>
    <col min="4864" max="4865" width="11.42578125" style="193" customWidth="1"/>
    <col min="4866" max="4869" width="11.140625" style="193" customWidth="1"/>
    <col min="4870" max="5118" width="9.140625" style="193"/>
    <col min="5119" max="5119" width="31.42578125" style="193" customWidth="1"/>
    <col min="5120" max="5121" width="11.42578125" style="193" customWidth="1"/>
    <col min="5122" max="5125" width="11.140625" style="193" customWidth="1"/>
    <col min="5126" max="5374" width="9.140625" style="193"/>
    <col min="5375" max="5375" width="31.42578125" style="193" customWidth="1"/>
    <col min="5376" max="5377" width="11.42578125" style="193" customWidth="1"/>
    <col min="5378" max="5381" width="11.140625" style="193" customWidth="1"/>
    <col min="5382" max="5630" width="9.140625" style="193"/>
    <col min="5631" max="5631" width="31.42578125" style="193" customWidth="1"/>
    <col min="5632" max="5633" width="11.42578125" style="193" customWidth="1"/>
    <col min="5634" max="5637" width="11.140625" style="193" customWidth="1"/>
    <col min="5638" max="5886" width="9.140625" style="193"/>
    <col min="5887" max="5887" width="31.42578125" style="193" customWidth="1"/>
    <col min="5888" max="5889" width="11.42578125" style="193" customWidth="1"/>
    <col min="5890" max="5893" width="11.140625" style="193" customWidth="1"/>
    <col min="5894" max="6142" width="9.140625" style="193"/>
    <col min="6143" max="6143" width="31.42578125" style="193" customWidth="1"/>
    <col min="6144" max="6145" width="11.42578125" style="193" customWidth="1"/>
    <col min="6146" max="6149" width="11.140625" style="193" customWidth="1"/>
    <col min="6150" max="6398" width="9.140625" style="193"/>
    <col min="6399" max="6399" width="31.42578125" style="193" customWidth="1"/>
    <col min="6400" max="6401" width="11.42578125" style="193" customWidth="1"/>
    <col min="6402" max="6405" width="11.140625" style="193" customWidth="1"/>
    <col min="6406" max="6654" width="9.140625" style="193"/>
    <col min="6655" max="6655" width="31.42578125" style="193" customWidth="1"/>
    <col min="6656" max="6657" width="11.42578125" style="193" customWidth="1"/>
    <col min="6658" max="6661" width="11.140625" style="193" customWidth="1"/>
    <col min="6662" max="6910" width="9.140625" style="193"/>
    <col min="6911" max="6911" width="31.42578125" style="193" customWidth="1"/>
    <col min="6912" max="6913" width="11.42578125" style="193" customWidth="1"/>
    <col min="6914" max="6917" width="11.140625" style="193" customWidth="1"/>
    <col min="6918" max="7166" width="9.140625" style="193"/>
    <col min="7167" max="7167" width="31.42578125" style="193" customWidth="1"/>
    <col min="7168" max="7169" width="11.42578125" style="193" customWidth="1"/>
    <col min="7170" max="7173" width="11.140625" style="193" customWidth="1"/>
    <col min="7174" max="7422" width="9.140625" style="193"/>
    <col min="7423" max="7423" width="31.42578125" style="193" customWidth="1"/>
    <col min="7424" max="7425" width="11.42578125" style="193" customWidth="1"/>
    <col min="7426" max="7429" width="11.140625" style="193" customWidth="1"/>
    <col min="7430" max="7678" width="9.140625" style="193"/>
    <col min="7679" max="7679" width="31.42578125" style="193" customWidth="1"/>
    <col min="7680" max="7681" width="11.42578125" style="193" customWidth="1"/>
    <col min="7682" max="7685" width="11.140625" style="193" customWidth="1"/>
    <col min="7686" max="7934" width="9.140625" style="193"/>
    <col min="7935" max="7935" width="31.42578125" style="193" customWidth="1"/>
    <col min="7936" max="7937" width="11.42578125" style="193" customWidth="1"/>
    <col min="7938" max="7941" width="11.140625" style="193" customWidth="1"/>
    <col min="7942" max="8190" width="9.140625" style="193"/>
    <col min="8191" max="8191" width="31.42578125" style="193" customWidth="1"/>
    <col min="8192" max="8193" width="11.42578125" style="193" customWidth="1"/>
    <col min="8194" max="8197" width="11.140625" style="193" customWidth="1"/>
    <col min="8198" max="8446" width="9.140625" style="193"/>
    <col min="8447" max="8447" width="31.42578125" style="193" customWidth="1"/>
    <col min="8448" max="8449" width="11.42578125" style="193" customWidth="1"/>
    <col min="8450" max="8453" width="11.140625" style="193" customWidth="1"/>
    <col min="8454" max="8702" width="9.140625" style="193"/>
    <col min="8703" max="8703" width="31.42578125" style="193" customWidth="1"/>
    <col min="8704" max="8705" width="11.42578125" style="193" customWidth="1"/>
    <col min="8706" max="8709" width="11.140625" style="193" customWidth="1"/>
    <col min="8710" max="8958" width="9.140625" style="193"/>
    <col min="8959" max="8959" width="31.42578125" style="193" customWidth="1"/>
    <col min="8960" max="8961" width="11.42578125" style="193" customWidth="1"/>
    <col min="8962" max="8965" width="11.140625" style="193" customWidth="1"/>
    <col min="8966" max="9214" width="9.140625" style="193"/>
    <col min="9215" max="9215" width="31.42578125" style="193" customWidth="1"/>
    <col min="9216" max="9217" width="11.42578125" style="193" customWidth="1"/>
    <col min="9218" max="9221" width="11.140625" style="193" customWidth="1"/>
    <col min="9222" max="9470" width="9.140625" style="193"/>
    <col min="9471" max="9471" width="31.42578125" style="193" customWidth="1"/>
    <col min="9472" max="9473" width="11.42578125" style="193" customWidth="1"/>
    <col min="9474" max="9477" width="11.140625" style="193" customWidth="1"/>
    <col min="9478" max="9726" width="9.140625" style="193"/>
    <col min="9727" max="9727" width="31.42578125" style="193" customWidth="1"/>
    <col min="9728" max="9729" width="11.42578125" style="193" customWidth="1"/>
    <col min="9730" max="9733" width="11.140625" style="193" customWidth="1"/>
    <col min="9734" max="9982" width="9.140625" style="193"/>
    <col min="9983" max="9983" width="31.42578125" style="193" customWidth="1"/>
    <col min="9984" max="9985" width="11.42578125" style="193" customWidth="1"/>
    <col min="9986" max="9989" width="11.140625" style="193" customWidth="1"/>
    <col min="9990" max="10238" width="9.140625" style="193"/>
    <col min="10239" max="10239" width="31.42578125" style="193" customWidth="1"/>
    <col min="10240" max="10241" width="11.42578125" style="193" customWidth="1"/>
    <col min="10242" max="10245" width="11.140625" style="193" customWidth="1"/>
    <col min="10246" max="10494" width="9.140625" style="193"/>
    <col min="10495" max="10495" width="31.42578125" style="193" customWidth="1"/>
    <col min="10496" max="10497" width="11.42578125" style="193" customWidth="1"/>
    <col min="10498" max="10501" width="11.140625" style="193" customWidth="1"/>
    <col min="10502" max="10750" width="9.140625" style="193"/>
    <col min="10751" max="10751" width="31.42578125" style="193" customWidth="1"/>
    <col min="10752" max="10753" width="11.42578125" style="193" customWidth="1"/>
    <col min="10754" max="10757" width="11.140625" style="193" customWidth="1"/>
    <col min="10758" max="11006" width="9.140625" style="193"/>
    <col min="11007" max="11007" width="31.42578125" style="193" customWidth="1"/>
    <col min="11008" max="11009" width="11.42578125" style="193" customWidth="1"/>
    <col min="11010" max="11013" width="11.140625" style="193" customWidth="1"/>
    <col min="11014" max="11262" width="9.140625" style="193"/>
    <col min="11263" max="11263" width="31.42578125" style="193" customWidth="1"/>
    <col min="11264" max="11265" width="11.42578125" style="193" customWidth="1"/>
    <col min="11266" max="11269" width="11.140625" style="193" customWidth="1"/>
    <col min="11270" max="11518" width="9.140625" style="193"/>
    <col min="11519" max="11519" width="31.42578125" style="193" customWidth="1"/>
    <col min="11520" max="11521" width="11.42578125" style="193" customWidth="1"/>
    <col min="11522" max="11525" width="11.140625" style="193" customWidth="1"/>
    <col min="11526" max="11774" width="9.140625" style="193"/>
    <col min="11775" max="11775" width="31.42578125" style="193" customWidth="1"/>
    <col min="11776" max="11777" width="11.42578125" style="193" customWidth="1"/>
    <col min="11778" max="11781" width="11.140625" style="193" customWidth="1"/>
    <col min="11782" max="12030" width="9.140625" style="193"/>
    <col min="12031" max="12031" width="31.42578125" style="193" customWidth="1"/>
    <col min="12032" max="12033" width="11.42578125" style="193" customWidth="1"/>
    <col min="12034" max="12037" width="11.140625" style="193" customWidth="1"/>
    <col min="12038" max="12286" width="9.140625" style="193"/>
    <col min="12287" max="12287" width="31.42578125" style="193" customWidth="1"/>
    <col min="12288" max="12289" width="11.42578125" style="193" customWidth="1"/>
    <col min="12290" max="12293" width="11.140625" style="193" customWidth="1"/>
    <col min="12294" max="12542" width="9.140625" style="193"/>
    <col min="12543" max="12543" width="31.42578125" style="193" customWidth="1"/>
    <col min="12544" max="12545" width="11.42578125" style="193" customWidth="1"/>
    <col min="12546" max="12549" width="11.140625" style="193" customWidth="1"/>
    <col min="12550" max="12798" width="9.140625" style="193"/>
    <col min="12799" max="12799" width="31.42578125" style="193" customWidth="1"/>
    <col min="12800" max="12801" width="11.42578125" style="193" customWidth="1"/>
    <col min="12802" max="12805" width="11.140625" style="193" customWidth="1"/>
    <col min="12806" max="13054" width="9.140625" style="193"/>
    <col min="13055" max="13055" width="31.42578125" style="193" customWidth="1"/>
    <col min="13056" max="13057" width="11.42578125" style="193" customWidth="1"/>
    <col min="13058" max="13061" width="11.140625" style="193" customWidth="1"/>
    <col min="13062" max="13310" width="9.140625" style="193"/>
    <col min="13311" max="13311" width="31.42578125" style="193" customWidth="1"/>
    <col min="13312" max="13313" width="11.42578125" style="193" customWidth="1"/>
    <col min="13314" max="13317" width="11.140625" style="193" customWidth="1"/>
    <col min="13318" max="13566" width="9.140625" style="193"/>
    <col min="13567" max="13567" width="31.42578125" style="193" customWidth="1"/>
    <col min="13568" max="13569" width="11.42578125" style="193" customWidth="1"/>
    <col min="13570" max="13573" width="11.140625" style="193" customWidth="1"/>
    <col min="13574" max="13822" width="9.140625" style="193"/>
    <col min="13823" max="13823" width="31.42578125" style="193" customWidth="1"/>
    <col min="13824" max="13825" width="11.42578125" style="193" customWidth="1"/>
    <col min="13826" max="13829" width="11.140625" style="193" customWidth="1"/>
    <col min="13830" max="14078" width="9.140625" style="193"/>
    <col min="14079" max="14079" width="31.42578125" style="193" customWidth="1"/>
    <col min="14080" max="14081" width="11.42578125" style="193" customWidth="1"/>
    <col min="14082" max="14085" width="11.140625" style="193" customWidth="1"/>
    <col min="14086" max="14334" width="9.140625" style="193"/>
    <col min="14335" max="14335" width="31.42578125" style="193" customWidth="1"/>
    <col min="14336" max="14337" width="11.42578125" style="193" customWidth="1"/>
    <col min="14338" max="14341" width="11.140625" style="193" customWidth="1"/>
    <col min="14342" max="14590" width="9.140625" style="193"/>
    <col min="14591" max="14591" width="31.42578125" style="193" customWidth="1"/>
    <col min="14592" max="14593" width="11.42578125" style="193" customWidth="1"/>
    <col min="14594" max="14597" width="11.140625" style="193" customWidth="1"/>
    <col min="14598" max="14846" width="9.140625" style="193"/>
    <col min="14847" max="14847" width="31.42578125" style="193" customWidth="1"/>
    <col min="14848" max="14849" width="11.42578125" style="193" customWidth="1"/>
    <col min="14850" max="14853" width="11.140625" style="193" customWidth="1"/>
    <col min="14854" max="15102" width="9.140625" style="193"/>
    <col min="15103" max="15103" width="31.42578125" style="193" customWidth="1"/>
    <col min="15104" max="15105" width="11.42578125" style="193" customWidth="1"/>
    <col min="15106" max="15109" width="11.140625" style="193" customWidth="1"/>
    <col min="15110" max="15358" width="9.140625" style="193"/>
    <col min="15359" max="15359" width="31.42578125" style="193" customWidth="1"/>
    <col min="15360" max="15361" width="11.42578125" style="193" customWidth="1"/>
    <col min="15362" max="15365" width="11.140625" style="193" customWidth="1"/>
    <col min="15366" max="15614" width="9.140625" style="193"/>
    <col min="15615" max="15615" width="31.42578125" style="193" customWidth="1"/>
    <col min="15616" max="15617" width="11.42578125" style="193" customWidth="1"/>
    <col min="15618" max="15621" width="11.140625" style="193" customWidth="1"/>
    <col min="15622" max="15870" width="9.140625" style="193"/>
    <col min="15871" max="15871" width="31.42578125" style="193" customWidth="1"/>
    <col min="15872" max="15873" width="11.42578125" style="193" customWidth="1"/>
    <col min="15874" max="15877" width="11.140625" style="193" customWidth="1"/>
    <col min="15878" max="16126" width="9.140625" style="193"/>
    <col min="16127" max="16127" width="31.42578125" style="193" customWidth="1"/>
    <col min="16128" max="16129" width="11.42578125" style="193" customWidth="1"/>
    <col min="16130" max="16133" width="11.140625" style="193" customWidth="1"/>
    <col min="16134" max="16384" width="9.140625" style="193"/>
  </cols>
  <sheetData>
    <row r="1" spans="1:17" ht="18.75" hidden="1" x14ac:dyDescent="0.3">
      <c r="Q1" s="77" t="s">
        <v>233</v>
      </c>
    </row>
    <row r="2" spans="1:17" ht="15.75" hidden="1" x14ac:dyDescent="0.25">
      <c r="Q2" s="80" t="s">
        <v>106</v>
      </c>
    </row>
    <row r="3" spans="1:17" ht="22.5" x14ac:dyDescent="0.3">
      <c r="A3" s="531" t="s">
        <v>230</v>
      </c>
      <c r="B3" s="531"/>
      <c r="C3" s="531"/>
      <c r="D3" s="531"/>
      <c r="E3" s="531"/>
      <c r="F3" s="531"/>
      <c r="G3" s="531"/>
      <c r="H3" s="531"/>
      <c r="I3" s="531"/>
      <c r="J3" s="531"/>
      <c r="K3" s="531"/>
      <c r="L3" s="531"/>
      <c r="M3" s="531"/>
      <c r="N3" s="531"/>
      <c r="O3" s="531"/>
      <c r="P3" s="531"/>
      <c r="Q3" s="531"/>
    </row>
    <row r="4" spans="1:17" ht="22.5" x14ac:dyDescent="0.3">
      <c r="A4" s="215"/>
      <c r="B4" s="215"/>
      <c r="C4" s="215"/>
      <c r="D4" s="215"/>
      <c r="E4" s="215"/>
      <c r="F4" s="215"/>
      <c r="G4" s="215"/>
      <c r="H4" s="215"/>
      <c r="I4" s="215"/>
      <c r="J4" s="215"/>
      <c r="K4" s="215"/>
      <c r="L4" s="215"/>
      <c r="M4" s="215"/>
      <c r="N4" s="215"/>
      <c r="O4" s="215"/>
      <c r="P4" s="215"/>
      <c r="Q4" s="215"/>
    </row>
    <row r="5" spans="1:17" x14ac:dyDescent="0.2">
      <c r="A5" s="193" t="s">
        <v>181</v>
      </c>
      <c r="C5" s="204" t="s">
        <v>181</v>
      </c>
    </row>
    <row r="6" spans="1:17" x14ac:dyDescent="0.2">
      <c r="A6" s="193" t="s">
        <v>181</v>
      </c>
      <c r="B6" s="193" t="s">
        <v>205</v>
      </c>
      <c r="C6" s="528" t="s">
        <v>180</v>
      </c>
      <c r="D6" s="528"/>
      <c r="E6" s="200"/>
      <c r="G6" s="529" t="s">
        <v>184</v>
      </c>
      <c r="H6" s="529"/>
      <c r="I6" s="529"/>
      <c r="K6" s="530" t="s">
        <v>185</v>
      </c>
      <c r="L6" s="530"/>
      <c r="M6" s="530"/>
      <c r="O6" s="530" t="s">
        <v>186</v>
      </c>
      <c r="P6" s="530"/>
      <c r="Q6" s="530"/>
    </row>
    <row r="7" spans="1:17" s="33" customFormat="1" x14ac:dyDescent="0.2">
      <c r="A7" s="193" t="s">
        <v>181</v>
      </c>
      <c r="B7" s="193" t="s">
        <v>205</v>
      </c>
      <c r="C7" s="34"/>
      <c r="D7" s="199" t="s">
        <v>178</v>
      </c>
      <c r="E7" s="199"/>
      <c r="F7" s="199" t="s">
        <v>86</v>
      </c>
      <c r="G7" s="207" t="s">
        <v>41</v>
      </c>
      <c r="H7" s="207" t="s">
        <v>44</v>
      </c>
      <c r="I7" s="207" t="s">
        <v>72</v>
      </c>
      <c r="K7" s="199" t="s">
        <v>41</v>
      </c>
      <c r="L7" s="199" t="s">
        <v>44</v>
      </c>
      <c r="M7" s="199" t="s">
        <v>72</v>
      </c>
      <c r="O7" s="199" t="s">
        <v>41</v>
      </c>
      <c r="P7" s="199" t="s">
        <v>44</v>
      </c>
      <c r="Q7" s="199" t="s">
        <v>72</v>
      </c>
    </row>
    <row r="8" spans="1:17" x14ac:dyDescent="0.2">
      <c r="A8" s="193" t="s">
        <v>181</v>
      </c>
      <c r="B8" s="193" t="s">
        <v>205</v>
      </c>
      <c r="C8" s="194" t="s">
        <v>166</v>
      </c>
      <c r="D8" s="195">
        <v>1300261.1800000002</v>
      </c>
      <c r="E8" s="195">
        <f>D8*100/$D$20</f>
        <v>7.8982270853128522</v>
      </c>
      <c r="F8" s="195">
        <v>1392459.9975706718</v>
      </c>
      <c r="G8" s="208">
        <f>'1.1.'!$C$20*Sheet5!E8/100</f>
        <v>3394294.6507540876</v>
      </c>
      <c r="H8" s="208">
        <f>'1.1.'!$C$37*Sheet5!E8/100</f>
        <v>3564009.3832917931</v>
      </c>
      <c r="I8" s="208">
        <f>'1.1.'!$C$54*Sheet5!E8/100</f>
        <v>3742209.852456382</v>
      </c>
      <c r="K8" s="195">
        <f>'1.1.'!$C$18*Sheet5!E8/100</f>
        <v>3035636.245179133</v>
      </c>
      <c r="L8" s="195">
        <f>'1.1.'!$C$35*Sheet5!E8/100</f>
        <v>3187418.0574380904</v>
      </c>
      <c r="M8" s="195">
        <f>'1.1.'!$C$52*Sheet5!E8/100</f>
        <v>3346788.9603099949</v>
      </c>
      <c r="O8" s="195">
        <f>G8-K8</f>
        <v>358658.40557495458</v>
      </c>
      <c r="P8" s="195">
        <f t="shared" ref="P8:Q8" si="0">H8-L8</f>
        <v>376591.32585370261</v>
      </c>
      <c r="Q8" s="195">
        <f t="shared" si="0"/>
        <v>395420.89214638714</v>
      </c>
    </row>
    <row r="9" spans="1:17" x14ac:dyDescent="0.2">
      <c r="A9" s="193" t="s">
        <v>181</v>
      </c>
      <c r="B9" s="193" t="s">
        <v>205</v>
      </c>
      <c r="C9" s="194" t="s">
        <v>167</v>
      </c>
      <c r="D9" s="195">
        <v>1345922.41</v>
      </c>
      <c r="E9" s="195">
        <f t="shared" ref="E9:E19" si="1">D9*100/$D$20</f>
        <v>8.1755888716077401</v>
      </c>
      <c r="F9" s="195">
        <v>1441358.970479233</v>
      </c>
      <c r="G9" s="208">
        <f>'1.1.'!$C$20*Sheet5!E9/100</f>
        <v>3513491.9867353495</v>
      </c>
      <c r="H9" s="208">
        <f>'1.1.'!$C$37*Sheet5!E9/100</f>
        <v>3689166.5860721171</v>
      </c>
      <c r="I9" s="208">
        <f>'1.1.'!$C$54*Sheet5!E9/100</f>
        <v>3873624.915375723</v>
      </c>
      <c r="K9" s="195">
        <f>'1.1.'!$C$18*Sheet5!E9/100</f>
        <v>3142238.5854777647</v>
      </c>
      <c r="L9" s="195">
        <f>'1.1.'!$C$35*Sheet5!E9/100</f>
        <v>3299350.5147516537</v>
      </c>
      <c r="M9" s="195">
        <f>'1.1.'!$C$52*Sheet5!E9/100</f>
        <v>3464318.0404892359</v>
      </c>
      <c r="O9" s="195">
        <f t="shared" ref="O9:O19" si="2">G9-K9</f>
        <v>371253.4012575848</v>
      </c>
      <c r="P9" s="195">
        <f t="shared" ref="P9:P19" si="3">H9-L9</f>
        <v>389816.07132046344</v>
      </c>
      <c r="Q9" s="195">
        <f t="shared" ref="Q9:Q19" si="4">I9-M9</f>
        <v>409306.87488648714</v>
      </c>
    </row>
    <row r="10" spans="1:17" x14ac:dyDescent="0.2">
      <c r="A10" s="193" t="s">
        <v>181</v>
      </c>
      <c r="B10" s="193" t="s">
        <v>205</v>
      </c>
      <c r="C10" s="194" t="s">
        <v>168</v>
      </c>
      <c r="D10" s="195">
        <v>1359789.78</v>
      </c>
      <c r="E10" s="195">
        <f t="shared" si="1"/>
        <v>8.2598239768471764</v>
      </c>
      <c r="F10" s="195">
        <v>1456209.6468614279</v>
      </c>
      <c r="G10" s="208">
        <f>'1.1.'!$C$20*Sheet5!E10/100</f>
        <v>3549692.3598104166</v>
      </c>
      <c r="H10" s="208">
        <f>'1.1.'!$C$37*Sheet5!E10/100</f>
        <v>3727176.9778009378</v>
      </c>
      <c r="I10" s="208">
        <f>'1.1.'!$C$54*Sheet5!E10/100</f>
        <v>3913535.8266909849</v>
      </c>
      <c r="K10" s="195">
        <f>'1.1.'!$C$18*Sheet5!E10/100</f>
        <v>3174613.8433450414</v>
      </c>
      <c r="L10" s="195">
        <f>'1.1.'!$C$35*Sheet5!E10/100</f>
        <v>3333344.5355122942</v>
      </c>
      <c r="M10" s="195">
        <f>'1.1.'!$C$52*Sheet5!E10/100</f>
        <v>3500011.7622879087</v>
      </c>
      <c r="O10" s="195">
        <f t="shared" si="2"/>
        <v>375078.5164653752</v>
      </c>
      <c r="P10" s="195">
        <f t="shared" si="3"/>
        <v>393832.44228864368</v>
      </c>
      <c r="Q10" s="195">
        <f t="shared" si="4"/>
        <v>413524.06440307619</v>
      </c>
    </row>
    <row r="11" spans="1:17" x14ac:dyDescent="0.2">
      <c r="A11" s="193" t="s">
        <v>181</v>
      </c>
      <c r="B11" s="193" t="s">
        <v>205</v>
      </c>
      <c r="C11" s="194" t="s">
        <v>169</v>
      </c>
      <c r="D11" s="195">
        <v>1455300.79</v>
      </c>
      <c r="E11" s="195">
        <f t="shared" si="1"/>
        <v>8.8399902216992974</v>
      </c>
      <c r="F11" s="195">
        <v>1558493.1440527942</v>
      </c>
      <c r="G11" s="208">
        <f>'1.1.'!$C$20*Sheet5!E11/100</f>
        <v>3799021.1218450721</v>
      </c>
      <c r="H11" s="208">
        <f>'1.1.'!$C$37*Sheet5!E11/100</f>
        <v>3988972.1779373265</v>
      </c>
      <c r="I11" s="208">
        <f>'1.1.'!$C$54*Sheet5!E11/100</f>
        <v>4188420.7868341929</v>
      </c>
      <c r="K11" s="195">
        <f>'1.1.'!$C$18*Sheet5!E11/100</f>
        <v>3397597.2625452257</v>
      </c>
      <c r="L11" s="195">
        <f>'1.1.'!$C$35*Sheet5!E11/100</f>
        <v>3567477.125672488</v>
      </c>
      <c r="M11" s="195">
        <f>'1.1.'!$C$52*Sheet5!E11/100</f>
        <v>3745850.9819561122</v>
      </c>
      <c r="O11" s="195">
        <f t="shared" si="2"/>
        <v>401423.85929984646</v>
      </c>
      <c r="P11" s="195">
        <f t="shared" si="3"/>
        <v>421495.05226483848</v>
      </c>
      <c r="Q11" s="195">
        <f t="shared" si="4"/>
        <v>442569.80487808073</v>
      </c>
    </row>
    <row r="12" spans="1:17" x14ac:dyDescent="0.2">
      <c r="A12" s="193" t="s">
        <v>181</v>
      </c>
      <c r="B12" s="193" t="s">
        <v>205</v>
      </c>
      <c r="C12" s="194" t="s">
        <v>170</v>
      </c>
      <c r="D12" s="195">
        <v>1424578.2500000002</v>
      </c>
      <c r="E12" s="195">
        <f t="shared" si="1"/>
        <v>8.6533711014102455</v>
      </c>
      <c r="F12" s="195">
        <v>1525592.1326007994</v>
      </c>
      <c r="G12" s="208">
        <f>'1.1.'!$C$20*Sheet5!E12/100</f>
        <v>3718820.80918206</v>
      </c>
      <c r="H12" s="208">
        <f>'1.1.'!$C$37*Sheet5!E12/100</f>
        <v>3904761.8496411634</v>
      </c>
      <c r="I12" s="208">
        <f>'1.1.'!$C$54*Sheet5!E12/100</f>
        <v>4099999.9421232217</v>
      </c>
      <c r="K12" s="195">
        <f>'1.1.'!$C$18*Sheet5!E12/100</f>
        <v>3325871.3220938123</v>
      </c>
      <c r="L12" s="195">
        <f>'1.1.'!$C$35*Sheet5!E12/100</f>
        <v>3492164.8881985042</v>
      </c>
      <c r="M12" s="195">
        <f>'1.1.'!$C$52*Sheet5!E12/100</f>
        <v>3666773.1326084291</v>
      </c>
      <c r="O12" s="195">
        <f t="shared" si="2"/>
        <v>392949.48708824767</v>
      </c>
      <c r="P12" s="195">
        <f t="shared" si="3"/>
        <v>412596.96144265914</v>
      </c>
      <c r="Q12" s="195">
        <f t="shared" si="4"/>
        <v>433226.80951479264</v>
      </c>
    </row>
    <row r="13" spans="1:17" x14ac:dyDescent="0.2">
      <c r="A13" s="193" t="s">
        <v>181</v>
      </c>
      <c r="B13" s="193" t="s">
        <v>205</v>
      </c>
      <c r="C13" s="194" t="s">
        <v>171</v>
      </c>
      <c r="D13" s="195">
        <v>1357461.55</v>
      </c>
      <c r="E13" s="195">
        <f t="shared" si="1"/>
        <v>8.245681518755152</v>
      </c>
      <c r="F13" s="195">
        <v>1453716.3269115519</v>
      </c>
      <c r="G13" s="208">
        <f>'1.1.'!$C$20*Sheet5!E13/100</f>
        <v>3543614.5819329559</v>
      </c>
      <c r="H13" s="208">
        <f>'1.1.'!$C$37*Sheet5!E13/100</f>
        <v>3720795.3110296046</v>
      </c>
      <c r="I13" s="208">
        <f>'1.1.'!$C$54*Sheet5!E13/100</f>
        <v>3906835.0765810846</v>
      </c>
      <c r="K13" s="195">
        <f>'1.1.'!$C$18*Sheet5!E13/100</f>
        <v>3169178.2743348884</v>
      </c>
      <c r="L13" s="195">
        <f>'1.1.'!$C$35*Sheet5!E13/100</f>
        <v>3327637.188051634</v>
      </c>
      <c r="M13" s="195">
        <f>'1.1.'!$C$52*Sheet5!E13/100</f>
        <v>3494019.0474542151</v>
      </c>
      <c r="O13" s="195">
        <f t="shared" si="2"/>
        <v>374436.30759806745</v>
      </c>
      <c r="P13" s="195">
        <f t="shared" si="3"/>
        <v>393158.12297797063</v>
      </c>
      <c r="Q13" s="195">
        <f t="shared" si="4"/>
        <v>412816.02912686951</v>
      </c>
    </row>
    <row r="14" spans="1:17" x14ac:dyDescent="0.2">
      <c r="A14" s="193" t="s">
        <v>181</v>
      </c>
      <c r="B14" s="193" t="s">
        <v>205</v>
      </c>
      <c r="C14" s="194" t="s">
        <v>172</v>
      </c>
      <c r="D14" s="195">
        <v>1195371.06</v>
      </c>
      <c r="E14" s="195">
        <f t="shared" si="1"/>
        <v>7.2610889475998457</v>
      </c>
      <c r="F14" s="195">
        <v>1280132.3371844811</v>
      </c>
      <c r="G14" s="208">
        <f>'1.1.'!$C$20*Sheet5!E14/100</f>
        <v>3120481.9901062055</v>
      </c>
      <c r="H14" s="208">
        <f>'1.1.'!$C$37*Sheet5!E14/100</f>
        <v>3276506.0896115168</v>
      </c>
      <c r="I14" s="208">
        <f>'1.1.'!$C$54*Sheet5!E14/100</f>
        <v>3440331.3940920918</v>
      </c>
      <c r="K14" s="195">
        <f>'1.1.'!$C$18*Sheet5!E14/100</f>
        <v>2790756.0203975327</v>
      </c>
      <c r="L14" s="195">
        <f>'1.1.'!$C$35*Sheet5!E14/100</f>
        <v>2930293.8214174099</v>
      </c>
      <c r="M14" s="195">
        <f>'1.1.'!$C$52*Sheet5!E14/100</f>
        <v>3076808.51248828</v>
      </c>
      <c r="O14" s="195">
        <f t="shared" si="2"/>
        <v>329725.96970867272</v>
      </c>
      <c r="P14" s="195">
        <f t="shared" si="3"/>
        <v>346212.26819410687</v>
      </c>
      <c r="Q14" s="195">
        <f t="shared" si="4"/>
        <v>363522.88160381187</v>
      </c>
    </row>
    <row r="15" spans="1:17" x14ac:dyDescent="0.2">
      <c r="A15" s="193" t="s">
        <v>181</v>
      </c>
      <c r="B15" s="193" t="s">
        <v>205</v>
      </c>
      <c r="C15" s="194" t="s">
        <v>173</v>
      </c>
      <c r="D15" s="195">
        <v>1254926.53</v>
      </c>
      <c r="E15" s="195">
        <f t="shared" si="1"/>
        <v>7.6228490566208169</v>
      </c>
      <c r="F15" s="195">
        <v>1343910.7617710861</v>
      </c>
      <c r="G15" s="208">
        <f>'1.1.'!$C$20*Sheet5!E15/100</f>
        <v>3275949.8425296284</v>
      </c>
      <c r="H15" s="208">
        <f>'1.1.'!$C$37*Sheet5!E15/100</f>
        <v>3439747.3346561105</v>
      </c>
      <c r="I15" s="208">
        <f>'1.1.'!$C$54*Sheet5!E15/100</f>
        <v>3611734.701388916</v>
      </c>
      <c r="K15" s="195">
        <f>'1.1.'!$C$18*Sheet5!E15/100</f>
        <v>2929796.3502262509</v>
      </c>
      <c r="L15" s="195">
        <f>'1.1.'!$C$35*Sheet5!E15/100</f>
        <v>3076286.1677375645</v>
      </c>
      <c r="M15" s="195">
        <f>'1.1.'!$C$52*Sheet5!E15/100</f>
        <v>3230100.4761244422</v>
      </c>
      <c r="O15" s="195">
        <f t="shared" si="2"/>
        <v>346153.49230337748</v>
      </c>
      <c r="P15" s="195">
        <f t="shared" si="3"/>
        <v>363461.16691854596</v>
      </c>
      <c r="Q15" s="195">
        <f t="shared" si="4"/>
        <v>381634.22526447382</v>
      </c>
    </row>
    <row r="16" spans="1:17" x14ac:dyDescent="0.2">
      <c r="A16" s="193" t="s">
        <v>181</v>
      </c>
      <c r="B16" s="193" t="s">
        <v>205</v>
      </c>
      <c r="C16" s="194" t="s">
        <v>174</v>
      </c>
      <c r="D16" s="195">
        <v>1385671.28</v>
      </c>
      <c r="E16" s="195">
        <f t="shared" si="1"/>
        <v>8.4170369794752524</v>
      </c>
      <c r="F16" s="195">
        <v>1483926.3502295357</v>
      </c>
      <c r="G16" s="208">
        <f>'1.1.'!$C$20*Sheet5!E16/100</f>
        <v>3617255.2759035449</v>
      </c>
      <c r="H16" s="208">
        <f>'1.1.'!$C$37*Sheet5!E16/100</f>
        <v>3798118.0396987228</v>
      </c>
      <c r="I16" s="208">
        <f>'1.1.'!$C$54*Sheet5!E16/100</f>
        <v>3988023.9416836589</v>
      </c>
      <c r="J16" s="196"/>
      <c r="K16" s="195">
        <f>'1.1.'!$C$18*Sheet5!E16/100</f>
        <v>3235037.7187079922</v>
      </c>
      <c r="L16" s="195">
        <f>'1.1.'!$C$35*Sheet5!E16/100</f>
        <v>3396789.6046433933</v>
      </c>
      <c r="M16" s="195">
        <f>'1.1.'!$C$52*Sheet5!E16/100</f>
        <v>3566629.0848755622</v>
      </c>
      <c r="O16" s="195">
        <f t="shared" si="2"/>
        <v>382217.55719555262</v>
      </c>
      <c r="P16" s="195">
        <f t="shared" si="3"/>
        <v>401328.43505532946</v>
      </c>
      <c r="Q16" s="195">
        <f t="shared" si="4"/>
        <v>421394.85680809664</v>
      </c>
    </row>
    <row r="17" spans="1:17" x14ac:dyDescent="0.2">
      <c r="A17" s="193" t="s">
        <v>181</v>
      </c>
      <c r="B17" s="193" t="s">
        <v>205</v>
      </c>
      <c r="C17" s="194" t="s">
        <v>175</v>
      </c>
      <c r="D17" s="195">
        <v>1357421.7699999998</v>
      </c>
      <c r="E17" s="195">
        <f t="shared" si="1"/>
        <v>8.2454398815531107</v>
      </c>
      <c r="F17" s="195">
        <v>1453673.7261944374</v>
      </c>
      <c r="G17" s="208">
        <f>'1.1.'!$C$20*Sheet5!E17/100</f>
        <v>3543510.7373798112</v>
      </c>
      <c r="H17" s="208">
        <f>'1.1.'!$C$37*Sheet5!E17/100</f>
        <v>3720686.2742488021</v>
      </c>
      <c r="I17" s="208">
        <f>'1.1.'!$C$54*Sheet5!E17/100</f>
        <v>3906720.5879612421</v>
      </c>
      <c r="J17" s="196"/>
      <c r="K17" s="195">
        <f>'1.1.'!$C$18*Sheet5!E17/100</f>
        <v>3169085.4025244457</v>
      </c>
      <c r="L17" s="195">
        <f>'1.1.'!$C$35*Sheet5!E17/100</f>
        <v>3327539.6726506692</v>
      </c>
      <c r="M17" s="195">
        <f>'1.1.'!$C$52*Sheet5!E17/100</f>
        <v>3493916.6562832021</v>
      </c>
      <c r="O17" s="195">
        <f t="shared" si="2"/>
        <v>374425.33485536557</v>
      </c>
      <c r="P17" s="195">
        <f t="shared" si="3"/>
        <v>393146.60159813287</v>
      </c>
      <c r="Q17" s="195">
        <f t="shared" si="4"/>
        <v>412803.93167803995</v>
      </c>
    </row>
    <row r="18" spans="1:17" x14ac:dyDescent="0.2">
      <c r="A18" s="193" t="s">
        <v>181</v>
      </c>
      <c r="B18" s="193" t="s">
        <v>205</v>
      </c>
      <c r="C18" s="194" t="s">
        <v>176</v>
      </c>
      <c r="D18" s="195">
        <v>1473223.48</v>
      </c>
      <c r="E18" s="195">
        <f t="shared" si="1"/>
        <v>8.9488587150274341</v>
      </c>
      <c r="F18" s="195">
        <v>1577686.6947468633</v>
      </c>
      <c r="G18" s="208">
        <f>'1.1.'!$C$20*Sheet5!E18/100</f>
        <v>3845807.7918847972</v>
      </c>
      <c r="H18" s="208">
        <f>'1.1.'!$C$37*Sheet5!E18/100</f>
        <v>4038098.1814790382</v>
      </c>
      <c r="I18" s="208">
        <f>'1.1.'!$C$54*Sheet5!E18/100</f>
        <v>4240003.0905529894</v>
      </c>
      <c r="K18" s="195">
        <f>'1.1.'!$C$18*Sheet5!E18/100</f>
        <v>3439440.2154934243</v>
      </c>
      <c r="L18" s="195">
        <f>'1.1.'!$C$35*Sheet5!E18/100</f>
        <v>3611412.2262680973</v>
      </c>
      <c r="M18" s="195">
        <f>'1.1.'!$C$52*Sheet5!E18/100</f>
        <v>3791982.8375815018</v>
      </c>
      <c r="O18" s="195">
        <f t="shared" si="2"/>
        <v>406367.57639137283</v>
      </c>
      <c r="P18" s="195">
        <f t="shared" si="3"/>
        <v>426685.95521094091</v>
      </c>
      <c r="Q18" s="195">
        <f t="shared" si="4"/>
        <v>448020.25297148759</v>
      </c>
    </row>
    <row r="19" spans="1:17" x14ac:dyDescent="0.2">
      <c r="A19" s="193" t="s">
        <v>181</v>
      </c>
      <c r="B19" s="193" t="s">
        <v>205</v>
      </c>
      <c r="C19" s="194" t="s">
        <v>204</v>
      </c>
      <c r="D19" s="195">
        <v>1552768.75</v>
      </c>
      <c r="E19" s="195">
        <f t="shared" si="1"/>
        <v>9.4320436440910882</v>
      </c>
      <c r="F19" s="195">
        <v>1662872.3545009738</v>
      </c>
      <c r="G19" s="208">
        <f>'1.1.'!$C$20*Sheet5!E19/100</f>
        <v>4053458.4459278481</v>
      </c>
      <c r="H19" s="208">
        <f>'1.1.'!$C$37*Sheet5!E19/100</f>
        <v>4256131.3682242408</v>
      </c>
      <c r="I19" s="208">
        <f>'1.1.'!$C$54*Sheet5!E19/100</f>
        <v>4468937.9366354533</v>
      </c>
      <c r="K19" s="195">
        <f>'1.1.'!$C$18*Sheet5!E19/100</f>
        <v>3625149.4471914442</v>
      </c>
      <c r="L19" s="195">
        <f>'1.1.'!$C$35*Sheet5!E19/100</f>
        <v>3806406.9195510172</v>
      </c>
      <c r="M19" s="195">
        <f>'1.1.'!$C$52*Sheet5!E19/100</f>
        <v>3996727.2655285681</v>
      </c>
      <c r="O19" s="195">
        <f t="shared" si="2"/>
        <v>428308.99873640388</v>
      </c>
      <c r="P19" s="195">
        <f t="shared" si="3"/>
        <v>449724.44867322361</v>
      </c>
      <c r="Q19" s="195">
        <f t="shared" si="4"/>
        <v>472210.67110688519</v>
      </c>
    </row>
    <row r="20" spans="1:17" s="197" customFormat="1" x14ac:dyDescent="0.2">
      <c r="A20" s="193" t="s">
        <v>181</v>
      </c>
      <c r="B20" s="193" t="s">
        <v>205</v>
      </c>
      <c r="C20" s="205" t="s">
        <v>182</v>
      </c>
      <c r="D20" s="206">
        <f t="shared" ref="D20:I20" si="5">SUM(D8:D19)</f>
        <v>16462696.829999998</v>
      </c>
      <c r="E20" s="206">
        <f t="shared" si="5"/>
        <v>100.00000000000003</v>
      </c>
      <c r="F20" s="206">
        <f t="shared" si="5"/>
        <v>17630032.443103857</v>
      </c>
      <c r="G20" s="206">
        <f t="shared" si="5"/>
        <v>42975399.593991779</v>
      </c>
      <c r="H20" s="206">
        <f t="shared" si="5"/>
        <v>45124169.573691376</v>
      </c>
      <c r="I20" s="206">
        <f t="shared" si="5"/>
        <v>47380378.052375928</v>
      </c>
      <c r="K20" s="206">
        <f>SUM(K8:K19)</f>
        <v>38434400.687516958</v>
      </c>
      <c r="L20" s="206">
        <f>SUM(L8:L19)</f>
        <v>40356120.721892811</v>
      </c>
      <c r="M20" s="206">
        <f>SUM(M8:M19)</f>
        <v>42373926.757987447</v>
      </c>
      <c r="O20" s="206">
        <f>SUM(O8:O19)</f>
        <v>4540998.9064748213</v>
      </c>
      <c r="P20" s="206">
        <f>SUM(P8:P19)</f>
        <v>4768048.8517985586</v>
      </c>
      <c r="Q20" s="206">
        <f>SUM(Q8:Q19)</f>
        <v>5006451.2943884889</v>
      </c>
    </row>
    <row r="21" spans="1:17" x14ac:dyDescent="0.2">
      <c r="A21" s="193" t="s">
        <v>181</v>
      </c>
      <c r="D21" s="202"/>
      <c r="F21" s="202"/>
      <c r="G21" s="209">
        <f>G20-'1.1.'!C20</f>
        <v>0</v>
      </c>
      <c r="H21" s="209">
        <f>H20-'1.1.'!C37</f>
        <v>0</v>
      </c>
      <c r="I21" s="209">
        <f>I20-'1.1.'!C54</f>
        <v>0</v>
      </c>
      <c r="K21" s="202">
        <f>K20-'1.1.'!C18</f>
        <v>0</v>
      </c>
      <c r="L21" s="202">
        <f>L20-'1.1.'!C35</f>
        <v>0</v>
      </c>
      <c r="M21" s="202">
        <f>M20-'1.1.'!C52</f>
        <v>0</v>
      </c>
      <c r="O21" s="202">
        <f>O20-'1.1.'!C19</f>
        <v>0</v>
      </c>
      <c r="P21" s="202">
        <f>P20-'1.1.'!C36</f>
        <v>0</v>
      </c>
      <c r="Q21" s="202">
        <f>Q20-'1.1.'!C53</f>
        <v>0</v>
      </c>
    </row>
    <row r="22" spans="1:17" x14ac:dyDescent="0.2">
      <c r="A22" s="193" t="s">
        <v>181</v>
      </c>
      <c r="B22" s="193" t="s">
        <v>206</v>
      </c>
      <c r="C22" s="528" t="s">
        <v>179</v>
      </c>
      <c r="D22" s="528"/>
      <c r="E22" s="201"/>
      <c r="G22" s="529" t="str">
        <f>G6</f>
        <v>KOPĀ 1.risinājums A</v>
      </c>
      <c r="H22" s="529"/>
      <c r="I22" s="529"/>
      <c r="K22" s="530" t="str">
        <f>K6</f>
        <v>KOPĀ valsts budžets 1.risinājums A</v>
      </c>
      <c r="L22" s="530"/>
      <c r="M22" s="530"/>
      <c r="O22" s="530" t="str">
        <f>O6</f>
        <v>KOPĀ pašvaldību budžets 1.risinājums A</v>
      </c>
      <c r="P22" s="530"/>
      <c r="Q22" s="530"/>
    </row>
    <row r="23" spans="1:17" x14ac:dyDescent="0.2">
      <c r="A23" s="193" t="s">
        <v>181</v>
      </c>
      <c r="B23" s="193" t="s">
        <v>206</v>
      </c>
      <c r="C23" s="34"/>
      <c r="D23" s="198">
        <v>2019</v>
      </c>
      <c r="E23" s="198"/>
      <c r="F23" s="199" t="str">
        <f>F7</f>
        <v>2020.gads</v>
      </c>
      <c r="G23" s="207" t="str">
        <f>G7</f>
        <v>2021.gads</v>
      </c>
      <c r="H23" s="207" t="str">
        <f>H7</f>
        <v>2022.gads</v>
      </c>
      <c r="I23" s="207" t="str">
        <f>I7</f>
        <v>2023.gads</v>
      </c>
      <c r="K23" s="199" t="str">
        <f>K7</f>
        <v>2021.gads</v>
      </c>
      <c r="L23" s="199" t="str">
        <f>L7</f>
        <v>2022.gads</v>
      </c>
      <c r="M23" s="199" t="str">
        <f>M7</f>
        <v>2023.gads</v>
      </c>
      <c r="O23" s="199" t="str">
        <f>O7</f>
        <v>2021.gads</v>
      </c>
      <c r="P23" s="199" t="str">
        <f>P7</f>
        <v>2022.gads</v>
      </c>
      <c r="Q23" s="199" t="str">
        <f>Q7</f>
        <v>2023.gads</v>
      </c>
    </row>
    <row r="24" spans="1:17" x14ac:dyDescent="0.2">
      <c r="A24" s="193" t="s">
        <v>181</v>
      </c>
      <c r="B24" s="193" t="s">
        <v>206</v>
      </c>
      <c r="C24" s="194" t="s">
        <v>166</v>
      </c>
      <c r="D24" s="195">
        <v>1495656.14</v>
      </c>
      <c r="E24" s="195"/>
      <c r="F24" s="195">
        <f>D19</f>
        <v>1552768.75</v>
      </c>
      <c r="G24" s="208">
        <f>F19</f>
        <v>1662872.3545009738</v>
      </c>
      <c r="H24" s="208">
        <f>G19</f>
        <v>4053458.4459278481</v>
      </c>
      <c r="I24" s="208">
        <f>H19</f>
        <v>4256131.3682242408</v>
      </c>
      <c r="K24" s="195">
        <f>F19</f>
        <v>1662872.3545009738</v>
      </c>
      <c r="L24" s="195">
        <f>K19</f>
        <v>3625149.4471914442</v>
      </c>
      <c r="M24" s="195">
        <f>L19</f>
        <v>3806406.9195510172</v>
      </c>
      <c r="O24" s="195">
        <v>0</v>
      </c>
      <c r="P24" s="195">
        <f>O19</f>
        <v>428308.99873640388</v>
      </c>
      <c r="Q24" s="195">
        <f>P19</f>
        <v>449724.44867322361</v>
      </c>
    </row>
    <row r="25" spans="1:17" x14ac:dyDescent="0.2">
      <c r="A25" s="193" t="s">
        <v>181</v>
      </c>
      <c r="B25" s="193" t="s">
        <v>206</v>
      </c>
      <c r="C25" s="194" t="s">
        <v>167</v>
      </c>
      <c r="D25" s="195">
        <v>1300261.1800000002</v>
      </c>
      <c r="E25" s="195"/>
      <c r="F25" s="195">
        <f>F8</f>
        <v>1392459.9975706718</v>
      </c>
      <c r="G25" s="208">
        <f>G8</f>
        <v>3394294.6507540876</v>
      </c>
      <c r="H25" s="208">
        <f>H8</f>
        <v>3564009.3832917931</v>
      </c>
      <c r="I25" s="208">
        <f>I8</f>
        <v>3742209.852456382</v>
      </c>
      <c r="K25" s="195">
        <f>K8</f>
        <v>3035636.245179133</v>
      </c>
      <c r="L25" s="195">
        <f>L8</f>
        <v>3187418.0574380904</v>
      </c>
      <c r="M25" s="195">
        <f>M8</f>
        <v>3346788.9603099949</v>
      </c>
      <c r="O25" s="195">
        <f>O8</f>
        <v>358658.40557495458</v>
      </c>
      <c r="P25" s="195">
        <f>P8</f>
        <v>376591.32585370261</v>
      </c>
      <c r="Q25" s="195">
        <f>Q8</f>
        <v>395420.89214638714</v>
      </c>
    </row>
    <row r="26" spans="1:17" x14ac:dyDescent="0.2">
      <c r="A26" s="193" t="s">
        <v>181</v>
      </c>
      <c r="B26" s="193" t="s">
        <v>206</v>
      </c>
      <c r="C26" s="194" t="s">
        <v>168</v>
      </c>
      <c r="D26" s="195">
        <v>1345922.41</v>
      </c>
      <c r="E26" s="195"/>
      <c r="F26" s="195">
        <f t="shared" ref="F26:G34" si="6">F9</f>
        <v>1441358.970479233</v>
      </c>
      <c r="G26" s="208">
        <f t="shared" si="6"/>
        <v>3513491.9867353495</v>
      </c>
      <c r="H26" s="208">
        <f t="shared" ref="H26:I34" si="7">H9</f>
        <v>3689166.5860721171</v>
      </c>
      <c r="I26" s="208">
        <f t="shared" si="7"/>
        <v>3873624.915375723</v>
      </c>
      <c r="K26" s="195">
        <f t="shared" ref="K26:M26" si="8">K9</f>
        <v>3142238.5854777647</v>
      </c>
      <c r="L26" s="195">
        <f t="shared" si="8"/>
        <v>3299350.5147516537</v>
      </c>
      <c r="M26" s="195">
        <f t="shared" si="8"/>
        <v>3464318.0404892359</v>
      </c>
      <c r="O26" s="195">
        <f t="shared" ref="O26:Q26" si="9">O9</f>
        <v>371253.4012575848</v>
      </c>
      <c r="P26" s="195">
        <f t="shared" si="9"/>
        <v>389816.07132046344</v>
      </c>
      <c r="Q26" s="195">
        <f t="shared" si="9"/>
        <v>409306.87488648714</v>
      </c>
    </row>
    <row r="27" spans="1:17" x14ac:dyDescent="0.2">
      <c r="A27" s="193" t="s">
        <v>181</v>
      </c>
      <c r="B27" s="193" t="s">
        <v>206</v>
      </c>
      <c r="C27" s="194" t="s">
        <v>169</v>
      </c>
      <c r="D27" s="195">
        <v>1359789.78</v>
      </c>
      <c r="E27" s="195"/>
      <c r="F27" s="195">
        <f t="shared" si="6"/>
        <v>1456209.6468614279</v>
      </c>
      <c r="G27" s="208">
        <f t="shared" si="6"/>
        <v>3549692.3598104166</v>
      </c>
      <c r="H27" s="208">
        <f t="shared" si="7"/>
        <v>3727176.9778009378</v>
      </c>
      <c r="I27" s="208">
        <f t="shared" si="7"/>
        <v>3913535.8266909849</v>
      </c>
      <c r="K27" s="195">
        <f t="shared" ref="K27:M27" si="10">K10</f>
        <v>3174613.8433450414</v>
      </c>
      <c r="L27" s="195">
        <f t="shared" si="10"/>
        <v>3333344.5355122942</v>
      </c>
      <c r="M27" s="195">
        <f t="shared" si="10"/>
        <v>3500011.7622879087</v>
      </c>
      <c r="O27" s="195">
        <f t="shared" ref="O27:Q27" si="11">O10</f>
        <v>375078.5164653752</v>
      </c>
      <c r="P27" s="195">
        <f t="shared" si="11"/>
        <v>393832.44228864368</v>
      </c>
      <c r="Q27" s="195">
        <f t="shared" si="11"/>
        <v>413524.06440307619</v>
      </c>
    </row>
    <row r="28" spans="1:17" x14ac:dyDescent="0.2">
      <c r="A28" s="193" t="s">
        <v>181</v>
      </c>
      <c r="B28" s="193" t="s">
        <v>206</v>
      </c>
      <c r="C28" s="194" t="s">
        <v>170</v>
      </c>
      <c r="D28" s="195">
        <v>1455300.79</v>
      </c>
      <c r="E28" s="195"/>
      <c r="F28" s="195">
        <f t="shared" si="6"/>
        <v>1558493.1440527942</v>
      </c>
      <c r="G28" s="208">
        <f t="shared" si="6"/>
        <v>3799021.1218450721</v>
      </c>
      <c r="H28" s="208">
        <f t="shared" si="7"/>
        <v>3988972.1779373265</v>
      </c>
      <c r="I28" s="208">
        <f t="shared" si="7"/>
        <v>4188420.7868341929</v>
      </c>
      <c r="K28" s="195">
        <f t="shared" ref="K28:M28" si="12">K11</f>
        <v>3397597.2625452257</v>
      </c>
      <c r="L28" s="195">
        <f t="shared" si="12"/>
        <v>3567477.125672488</v>
      </c>
      <c r="M28" s="195">
        <f t="shared" si="12"/>
        <v>3745850.9819561122</v>
      </c>
      <c r="O28" s="195">
        <f t="shared" ref="O28:Q28" si="13">O11</f>
        <v>401423.85929984646</v>
      </c>
      <c r="P28" s="195">
        <f t="shared" si="13"/>
        <v>421495.05226483848</v>
      </c>
      <c r="Q28" s="195">
        <f t="shared" si="13"/>
        <v>442569.80487808073</v>
      </c>
    </row>
    <row r="29" spans="1:17" x14ac:dyDescent="0.2">
      <c r="A29" s="193" t="s">
        <v>181</v>
      </c>
      <c r="B29" s="193" t="s">
        <v>206</v>
      </c>
      <c r="C29" s="194" t="s">
        <v>171</v>
      </c>
      <c r="D29" s="195">
        <v>1424578.2500000002</v>
      </c>
      <c r="E29" s="195"/>
      <c r="F29" s="195">
        <f t="shared" si="6"/>
        <v>1525592.1326007994</v>
      </c>
      <c r="G29" s="208">
        <f t="shared" si="6"/>
        <v>3718820.80918206</v>
      </c>
      <c r="H29" s="208">
        <f t="shared" si="7"/>
        <v>3904761.8496411634</v>
      </c>
      <c r="I29" s="208">
        <f t="shared" si="7"/>
        <v>4099999.9421232217</v>
      </c>
      <c r="K29" s="195">
        <f t="shared" ref="K29:M29" si="14">K12</f>
        <v>3325871.3220938123</v>
      </c>
      <c r="L29" s="195">
        <f t="shared" si="14"/>
        <v>3492164.8881985042</v>
      </c>
      <c r="M29" s="195">
        <f t="shared" si="14"/>
        <v>3666773.1326084291</v>
      </c>
      <c r="O29" s="195">
        <f t="shared" ref="O29:Q29" si="15">O12</f>
        <v>392949.48708824767</v>
      </c>
      <c r="P29" s="195">
        <f t="shared" si="15"/>
        <v>412596.96144265914</v>
      </c>
      <c r="Q29" s="195">
        <f t="shared" si="15"/>
        <v>433226.80951479264</v>
      </c>
    </row>
    <row r="30" spans="1:17" x14ac:dyDescent="0.2">
      <c r="A30" s="193" t="s">
        <v>181</v>
      </c>
      <c r="B30" s="193" t="s">
        <v>206</v>
      </c>
      <c r="C30" s="194" t="s">
        <v>172</v>
      </c>
      <c r="D30" s="195">
        <v>1357461.55</v>
      </c>
      <c r="E30" s="195"/>
      <c r="F30" s="195">
        <f t="shared" si="6"/>
        <v>1453716.3269115519</v>
      </c>
      <c r="G30" s="208">
        <f t="shared" si="6"/>
        <v>3543614.5819329559</v>
      </c>
      <c r="H30" s="208">
        <f t="shared" si="7"/>
        <v>3720795.3110296046</v>
      </c>
      <c r="I30" s="208">
        <f t="shared" si="7"/>
        <v>3906835.0765810846</v>
      </c>
      <c r="K30" s="195">
        <f t="shared" ref="K30:M30" si="16">K13</f>
        <v>3169178.2743348884</v>
      </c>
      <c r="L30" s="195">
        <f t="shared" si="16"/>
        <v>3327637.188051634</v>
      </c>
      <c r="M30" s="195">
        <f t="shared" si="16"/>
        <v>3494019.0474542151</v>
      </c>
      <c r="O30" s="195">
        <f t="shared" ref="O30:Q30" si="17">O13</f>
        <v>374436.30759806745</v>
      </c>
      <c r="P30" s="195">
        <f t="shared" si="17"/>
        <v>393158.12297797063</v>
      </c>
      <c r="Q30" s="195">
        <f t="shared" si="17"/>
        <v>412816.02912686951</v>
      </c>
    </row>
    <row r="31" spans="1:17" x14ac:dyDescent="0.2">
      <c r="A31" s="193" t="s">
        <v>181</v>
      </c>
      <c r="B31" s="193" t="s">
        <v>206</v>
      </c>
      <c r="C31" s="194" t="s">
        <v>173</v>
      </c>
      <c r="D31" s="195">
        <v>1195371.06</v>
      </c>
      <c r="E31" s="195"/>
      <c r="F31" s="195">
        <f t="shared" si="6"/>
        <v>1280132.3371844811</v>
      </c>
      <c r="G31" s="208">
        <f t="shared" si="6"/>
        <v>3120481.9901062055</v>
      </c>
      <c r="H31" s="208">
        <f t="shared" si="7"/>
        <v>3276506.0896115168</v>
      </c>
      <c r="I31" s="208">
        <f t="shared" si="7"/>
        <v>3440331.3940920918</v>
      </c>
      <c r="K31" s="195">
        <f t="shared" ref="K31:M31" si="18">K14</f>
        <v>2790756.0203975327</v>
      </c>
      <c r="L31" s="195">
        <f t="shared" si="18"/>
        <v>2930293.8214174099</v>
      </c>
      <c r="M31" s="195">
        <f t="shared" si="18"/>
        <v>3076808.51248828</v>
      </c>
      <c r="O31" s="195">
        <f t="shared" ref="O31:Q31" si="19">O14</f>
        <v>329725.96970867272</v>
      </c>
      <c r="P31" s="195">
        <f t="shared" si="19"/>
        <v>346212.26819410687</v>
      </c>
      <c r="Q31" s="195">
        <f t="shared" si="19"/>
        <v>363522.88160381187</v>
      </c>
    </row>
    <row r="32" spans="1:17" x14ac:dyDescent="0.2">
      <c r="A32" s="193" t="s">
        <v>181</v>
      </c>
      <c r="B32" s="193" t="s">
        <v>206</v>
      </c>
      <c r="C32" s="194" t="s">
        <v>174</v>
      </c>
      <c r="D32" s="195">
        <v>1254926.53</v>
      </c>
      <c r="E32" s="195"/>
      <c r="F32" s="195">
        <f t="shared" si="6"/>
        <v>1343910.7617710861</v>
      </c>
      <c r="G32" s="208">
        <f t="shared" si="6"/>
        <v>3275949.8425296284</v>
      </c>
      <c r="H32" s="208">
        <f t="shared" si="7"/>
        <v>3439747.3346561105</v>
      </c>
      <c r="I32" s="208">
        <f t="shared" si="7"/>
        <v>3611734.701388916</v>
      </c>
      <c r="K32" s="195">
        <f t="shared" ref="K32:M32" si="20">K15</f>
        <v>2929796.3502262509</v>
      </c>
      <c r="L32" s="195">
        <f t="shared" si="20"/>
        <v>3076286.1677375645</v>
      </c>
      <c r="M32" s="195">
        <f t="shared" si="20"/>
        <v>3230100.4761244422</v>
      </c>
      <c r="O32" s="195">
        <f t="shared" ref="O32:Q32" si="21">O15</f>
        <v>346153.49230337748</v>
      </c>
      <c r="P32" s="195">
        <f t="shared" si="21"/>
        <v>363461.16691854596</v>
      </c>
      <c r="Q32" s="195">
        <f t="shared" si="21"/>
        <v>381634.22526447382</v>
      </c>
    </row>
    <row r="33" spans="1:17" x14ac:dyDescent="0.2">
      <c r="A33" s="193" t="s">
        <v>181</v>
      </c>
      <c r="B33" s="193" t="s">
        <v>206</v>
      </c>
      <c r="C33" s="194" t="s">
        <v>175</v>
      </c>
      <c r="D33" s="195">
        <v>1385671.28</v>
      </c>
      <c r="E33" s="195"/>
      <c r="F33" s="195">
        <f t="shared" si="6"/>
        <v>1483926.3502295357</v>
      </c>
      <c r="G33" s="208">
        <f t="shared" si="6"/>
        <v>3617255.2759035449</v>
      </c>
      <c r="H33" s="208">
        <f t="shared" si="7"/>
        <v>3798118.0396987228</v>
      </c>
      <c r="I33" s="208">
        <f t="shared" si="7"/>
        <v>3988023.9416836589</v>
      </c>
      <c r="K33" s="195">
        <f t="shared" ref="K33:M33" si="22">K16</f>
        <v>3235037.7187079922</v>
      </c>
      <c r="L33" s="195">
        <f t="shared" si="22"/>
        <v>3396789.6046433933</v>
      </c>
      <c r="M33" s="195">
        <f t="shared" si="22"/>
        <v>3566629.0848755622</v>
      </c>
      <c r="O33" s="195">
        <f t="shared" ref="O33:Q33" si="23">O16</f>
        <v>382217.55719555262</v>
      </c>
      <c r="P33" s="195">
        <f t="shared" si="23"/>
        <v>401328.43505532946</v>
      </c>
      <c r="Q33" s="195">
        <f t="shared" si="23"/>
        <v>421394.85680809664</v>
      </c>
    </row>
    <row r="34" spans="1:17" x14ac:dyDescent="0.2">
      <c r="A34" s="193" t="s">
        <v>181</v>
      </c>
      <c r="B34" s="193" t="s">
        <v>206</v>
      </c>
      <c r="C34" s="194" t="s">
        <v>176</v>
      </c>
      <c r="D34" s="195">
        <v>1357421.7699999998</v>
      </c>
      <c r="E34" s="195"/>
      <c r="F34" s="195">
        <f t="shared" si="6"/>
        <v>1453673.7261944374</v>
      </c>
      <c r="G34" s="208">
        <f t="shared" si="6"/>
        <v>3543510.7373798112</v>
      </c>
      <c r="H34" s="208">
        <f t="shared" si="7"/>
        <v>3720686.2742488021</v>
      </c>
      <c r="I34" s="208">
        <f t="shared" si="7"/>
        <v>3906720.5879612421</v>
      </c>
      <c r="K34" s="195">
        <f t="shared" ref="K34:M34" si="24">K17</f>
        <v>3169085.4025244457</v>
      </c>
      <c r="L34" s="195">
        <f t="shared" si="24"/>
        <v>3327539.6726506692</v>
      </c>
      <c r="M34" s="195">
        <f t="shared" si="24"/>
        <v>3493916.6562832021</v>
      </c>
      <c r="O34" s="195">
        <f t="shared" ref="O34:Q34" si="25">O17</f>
        <v>374425.33485536557</v>
      </c>
      <c r="P34" s="195">
        <f t="shared" si="25"/>
        <v>393146.60159813287</v>
      </c>
      <c r="Q34" s="195">
        <f t="shared" si="25"/>
        <v>412803.93167803995</v>
      </c>
    </row>
    <row r="35" spans="1:17" x14ac:dyDescent="0.2">
      <c r="A35" s="193" t="s">
        <v>181</v>
      </c>
      <c r="B35" s="193" t="s">
        <v>206</v>
      </c>
      <c r="C35" s="194" t="s">
        <v>177</v>
      </c>
      <c r="D35" s="195">
        <v>1473223.48</v>
      </c>
      <c r="E35" s="195"/>
      <c r="F35" s="195">
        <f>F18</f>
        <v>1577686.6947468633</v>
      </c>
      <c r="G35" s="208">
        <f>G18</f>
        <v>3845807.7918847972</v>
      </c>
      <c r="H35" s="208">
        <f>H18</f>
        <v>4038098.1814790382</v>
      </c>
      <c r="I35" s="208">
        <f>I18</f>
        <v>4240003.0905529894</v>
      </c>
      <c r="K35" s="195">
        <f>K18</f>
        <v>3439440.2154934243</v>
      </c>
      <c r="L35" s="195">
        <f>L18</f>
        <v>3611412.2262680973</v>
      </c>
      <c r="M35" s="195">
        <f>M18</f>
        <v>3791982.8375815018</v>
      </c>
      <c r="O35" s="195">
        <f>O18</f>
        <v>406367.57639137283</v>
      </c>
      <c r="P35" s="195">
        <f>P18</f>
        <v>426685.95521094091</v>
      </c>
      <c r="Q35" s="195">
        <f>Q18</f>
        <v>448020.25297148759</v>
      </c>
    </row>
    <row r="36" spans="1:17" x14ac:dyDescent="0.2">
      <c r="A36" s="193" t="s">
        <v>181</v>
      </c>
      <c r="B36" s="193" t="s">
        <v>206</v>
      </c>
      <c r="C36" s="205" t="s">
        <v>183</v>
      </c>
      <c r="D36" s="206">
        <f>SUM(D24:D35)</f>
        <v>16405584.220000001</v>
      </c>
      <c r="E36" s="206"/>
      <c r="F36" s="206">
        <f>SUM(F24:F35)</f>
        <v>17519928.838602882</v>
      </c>
      <c r="G36" s="206">
        <f>SUM(G24:G35)</f>
        <v>40584813.5025649</v>
      </c>
      <c r="H36" s="206">
        <f>SUM(H24:H35)</f>
        <v>44921496.651394978</v>
      </c>
      <c r="I36" s="206">
        <f>SUM(I24:I35)</f>
        <v>47167571.483964726</v>
      </c>
      <c r="K36" s="206">
        <f>SUM(K24:K35)</f>
        <v>36472123.594826482</v>
      </c>
      <c r="L36" s="206">
        <f>SUM(L24:L35)</f>
        <v>40174863.249533251</v>
      </c>
      <c r="M36" s="206">
        <f>SUM(M24:M35)</f>
        <v>42183606.412009902</v>
      </c>
      <c r="O36" s="206">
        <f>SUM(O24:O35)</f>
        <v>4112689.9077384174</v>
      </c>
      <c r="P36" s="206">
        <f>SUM(P24:P35)</f>
        <v>4746633.4018617384</v>
      </c>
      <c r="Q36" s="206">
        <f>SUM(Q24:Q35)</f>
        <v>4983965.0719548259</v>
      </c>
    </row>
    <row r="37" spans="1:17" x14ac:dyDescent="0.2">
      <c r="A37" s="193" t="s">
        <v>181</v>
      </c>
      <c r="B37" s="193" t="s">
        <v>206</v>
      </c>
      <c r="C37" s="203"/>
      <c r="D37" s="203"/>
      <c r="E37" s="203"/>
      <c r="F37" s="203"/>
      <c r="G37" s="203"/>
      <c r="H37" s="203"/>
      <c r="I37" s="203"/>
      <c r="J37" s="203"/>
      <c r="K37" s="196"/>
      <c r="L37" s="196"/>
      <c r="M37" s="196"/>
    </row>
    <row r="38" spans="1:17" x14ac:dyDescent="0.2">
      <c r="A38" s="193" t="s">
        <v>181</v>
      </c>
      <c r="B38" s="193" t="s">
        <v>206</v>
      </c>
      <c r="C38" s="526" t="s">
        <v>193</v>
      </c>
      <c r="D38" s="526"/>
      <c r="E38" s="526"/>
      <c r="F38" s="526"/>
      <c r="G38" s="212">
        <v>18810639</v>
      </c>
      <c r="H38" s="212">
        <v>18810639</v>
      </c>
      <c r="I38" s="212">
        <v>18810639</v>
      </c>
      <c r="J38" s="213"/>
      <c r="K38" s="212">
        <v>18810639</v>
      </c>
      <c r="L38" s="212">
        <v>18810639</v>
      </c>
      <c r="M38" s="212">
        <v>18810639</v>
      </c>
      <c r="N38" s="197"/>
      <c r="O38" s="197">
        <v>0</v>
      </c>
      <c r="P38" s="197">
        <v>0</v>
      </c>
      <c r="Q38" s="197">
        <v>0</v>
      </c>
    </row>
    <row r="39" spans="1:17" x14ac:dyDescent="0.2">
      <c r="A39" s="193" t="s">
        <v>181</v>
      </c>
      <c r="B39" s="193" t="s">
        <v>206</v>
      </c>
      <c r="C39" s="526" t="s">
        <v>222</v>
      </c>
      <c r="D39" s="526"/>
      <c r="E39" s="526"/>
      <c r="F39" s="526"/>
      <c r="G39" s="212">
        <f>K39+O39</f>
        <v>0</v>
      </c>
      <c r="H39" s="212">
        <f t="shared" ref="H39:I39" si="26">L39+P39</f>
        <v>0</v>
      </c>
      <c r="I39" s="212">
        <f t="shared" si="26"/>
        <v>0</v>
      </c>
      <c r="J39" s="213"/>
      <c r="K39" s="214">
        <v>0</v>
      </c>
      <c r="L39" s="214">
        <v>0</v>
      </c>
      <c r="M39" s="214">
        <v>0</v>
      </c>
      <c r="N39" s="197"/>
      <c r="O39" s="197">
        <v>0</v>
      </c>
      <c r="P39" s="197">
        <v>0</v>
      </c>
      <c r="Q39" s="197">
        <v>0</v>
      </c>
    </row>
    <row r="40" spans="1:17" x14ac:dyDescent="0.2">
      <c r="A40" s="193" t="s">
        <v>181</v>
      </c>
      <c r="B40" s="193" t="s">
        <v>206</v>
      </c>
      <c r="C40" s="224"/>
      <c r="D40" s="224"/>
      <c r="E40" s="224"/>
      <c r="F40" s="224"/>
      <c r="G40" s="226"/>
      <c r="H40" s="226"/>
      <c r="I40" s="226"/>
      <c r="J40" s="226"/>
      <c r="K40" s="226"/>
      <c r="L40" s="226"/>
      <c r="M40" s="226"/>
      <c r="N40" s="226"/>
      <c r="O40" s="226"/>
      <c r="P40" s="226"/>
      <c r="Q40" s="226"/>
    </row>
    <row r="41" spans="1:17" ht="14.45" customHeight="1" x14ac:dyDescent="0.2">
      <c r="A41" s="193" t="s">
        <v>181</v>
      </c>
      <c r="B41" s="193" t="s">
        <v>206</v>
      </c>
      <c r="C41" s="527" t="s">
        <v>194</v>
      </c>
      <c r="D41" s="527"/>
      <c r="E41" s="527"/>
      <c r="F41" s="527"/>
      <c r="G41" s="211">
        <f>G36-G38+G39</f>
        <v>21774174.5025649</v>
      </c>
      <c r="H41" s="211">
        <f>H36-H38+H39</f>
        <v>26110857.651394978</v>
      </c>
      <c r="I41" s="211">
        <f>I36-I38+I39</f>
        <v>28356932.483964726</v>
      </c>
      <c r="J41" s="211"/>
      <c r="K41" s="211">
        <f>K36-K38+K39</f>
        <v>17661484.594826482</v>
      </c>
      <c r="L41" s="211">
        <f>L36-L38+L39</f>
        <v>21364224.249533251</v>
      </c>
      <c r="M41" s="211">
        <f>M36-M38+M39</f>
        <v>23372967.412009902</v>
      </c>
      <c r="N41" s="211"/>
      <c r="O41" s="211">
        <f>O36-O38+O39</f>
        <v>4112689.9077384174</v>
      </c>
      <c r="P41" s="211">
        <f>P36-P38+P39</f>
        <v>4746633.4018617384</v>
      </c>
      <c r="Q41" s="211">
        <f>Q36-Q38+Q39</f>
        <v>4983965.0719548259</v>
      </c>
    </row>
    <row r="42" spans="1:17" hidden="1" x14ac:dyDescent="0.2"/>
    <row r="43" spans="1:17" hidden="1" x14ac:dyDescent="0.2">
      <c r="A43" s="193" t="s">
        <v>101</v>
      </c>
      <c r="C43" s="204" t="s">
        <v>101</v>
      </c>
    </row>
    <row r="44" spans="1:17" hidden="1" x14ac:dyDescent="0.2">
      <c r="A44" s="193" t="s">
        <v>101</v>
      </c>
      <c r="B44" s="193" t="s">
        <v>205</v>
      </c>
      <c r="C44" s="528" t="s">
        <v>180</v>
      </c>
      <c r="D44" s="528"/>
      <c r="E44" s="200"/>
      <c r="G44" s="529" t="s">
        <v>187</v>
      </c>
      <c r="H44" s="529"/>
      <c r="I44" s="529"/>
      <c r="K44" s="530" t="s">
        <v>188</v>
      </c>
      <c r="L44" s="530"/>
      <c r="M44" s="530"/>
      <c r="O44" s="530" t="s">
        <v>189</v>
      </c>
      <c r="P44" s="530"/>
      <c r="Q44" s="530"/>
    </row>
    <row r="45" spans="1:17" s="33" customFormat="1" hidden="1" x14ac:dyDescent="0.2">
      <c r="A45" s="193" t="s">
        <v>101</v>
      </c>
      <c r="B45" s="193" t="s">
        <v>205</v>
      </c>
      <c r="C45" s="34"/>
      <c r="D45" s="199" t="s">
        <v>178</v>
      </c>
      <c r="E45" s="199"/>
      <c r="F45" s="199" t="s">
        <v>86</v>
      </c>
      <c r="G45" s="207" t="s">
        <v>41</v>
      </c>
      <c r="H45" s="207" t="s">
        <v>44</v>
      </c>
      <c r="I45" s="207" t="s">
        <v>72</v>
      </c>
      <c r="K45" s="199" t="s">
        <v>41</v>
      </c>
      <c r="L45" s="199" t="s">
        <v>44</v>
      </c>
      <c r="M45" s="199" t="s">
        <v>72</v>
      </c>
      <c r="O45" s="199" t="s">
        <v>41</v>
      </c>
      <c r="P45" s="199" t="s">
        <v>44</v>
      </c>
      <c r="Q45" s="199" t="s">
        <v>72</v>
      </c>
    </row>
    <row r="46" spans="1:17" hidden="1" x14ac:dyDescent="0.2">
      <c r="A46" s="193" t="s">
        <v>101</v>
      </c>
      <c r="B46" s="193" t="s">
        <v>205</v>
      </c>
      <c r="C46" s="194" t="s">
        <v>166</v>
      </c>
      <c r="D46" s="195">
        <v>1300261.1800000002</v>
      </c>
      <c r="E46" s="195">
        <f>D46*100/$D$20</f>
        <v>7.8982270853128522</v>
      </c>
      <c r="F46" s="195" t="e">
        <f>#REF!*Sheet5!E46/100</f>
        <v>#REF!</v>
      </c>
      <c r="G46" s="208">
        <f>'1.1.'!$D$20*Sheet5!E46/100</f>
        <v>3394294.6507540876</v>
      </c>
      <c r="H46" s="208">
        <f>'1.1.'!$D$37*Sheet5!E46/100</f>
        <v>3564009.3832917931</v>
      </c>
      <c r="I46" s="208">
        <f>'1.1.'!$D$54*Sheet5!E46/100</f>
        <v>3742209.852456382</v>
      </c>
      <c r="K46" s="195">
        <f>'1.1.'!$D$18*Sheet5!E46/100</f>
        <v>0</v>
      </c>
      <c r="L46" s="195">
        <f>'1.1.'!$D$35*Sheet5!E46/100</f>
        <v>0</v>
      </c>
      <c r="M46" s="195">
        <f>'1.1.'!$D$52*Sheet5!E46/100</f>
        <v>0</v>
      </c>
      <c r="O46" s="195">
        <f>G46-K46</f>
        <v>3394294.6507540876</v>
      </c>
      <c r="P46" s="195">
        <f t="shared" ref="P46:P57" si="27">H46-L46</f>
        <v>3564009.3832917931</v>
      </c>
      <c r="Q46" s="195">
        <f t="shared" ref="Q46:Q57" si="28">I46-M46</f>
        <v>3742209.852456382</v>
      </c>
    </row>
    <row r="47" spans="1:17" hidden="1" x14ac:dyDescent="0.2">
      <c r="A47" s="193" t="s">
        <v>101</v>
      </c>
      <c r="B47" s="193" t="s">
        <v>205</v>
      </c>
      <c r="C47" s="194" t="s">
        <v>167</v>
      </c>
      <c r="D47" s="195">
        <v>1345922.41</v>
      </c>
      <c r="E47" s="195">
        <f t="shared" ref="E47:E57" si="29">D47*100/$D$20</f>
        <v>8.1755888716077401</v>
      </c>
      <c r="F47" s="195" t="e">
        <f>#REF!*Sheet5!E47/100</f>
        <v>#REF!</v>
      </c>
      <c r="G47" s="208">
        <f>'1.1.'!$D$20*Sheet5!E47/100</f>
        <v>3513491.9867353495</v>
      </c>
      <c r="H47" s="208">
        <f>'1.1.'!$D$37*Sheet5!E47/100</f>
        <v>3689166.5860721171</v>
      </c>
      <c r="I47" s="208">
        <f>'1.1.'!$D$54*Sheet5!E47/100</f>
        <v>3873624.915375723</v>
      </c>
      <c r="K47" s="195">
        <f>'1.1.'!$D$18*Sheet5!E47/100</f>
        <v>0</v>
      </c>
      <c r="L47" s="195">
        <f>'1.1.'!$D$35*Sheet5!E47/100</f>
        <v>0</v>
      </c>
      <c r="M47" s="195">
        <f>'1.1.'!$D$52*Sheet5!E47/100</f>
        <v>0</v>
      </c>
      <c r="O47" s="195">
        <f t="shared" ref="O47:O57" si="30">G47-K47</f>
        <v>3513491.9867353495</v>
      </c>
      <c r="P47" s="195">
        <f t="shared" si="27"/>
        <v>3689166.5860721171</v>
      </c>
      <c r="Q47" s="195">
        <f t="shared" si="28"/>
        <v>3873624.915375723</v>
      </c>
    </row>
    <row r="48" spans="1:17" hidden="1" x14ac:dyDescent="0.2">
      <c r="A48" s="193" t="s">
        <v>101</v>
      </c>
      <c r="B48" s="193" t="s">
        <v>205</v>
      </c>
      <c r="C48" s="194" t="s">
        <v>168</v>
      </c>
      <c r="D48" s="195">
        <v>1359789.78</v>
      </c>
      <c r="E48" s="195">
        <f t="shared" si="29"/>
        <v>8.2598239768471764</v>
      </c>
      <c r="F48" s="195" t="e">
        <f>#REF!*Sheet5!E48/100</f>
        <v>#REF!</v>
      </c>
      <c r="G48" s="208">
        <f>'1.1.'!$D$20*Sheet5!E48/100</f>
        <v>3549692.3598104166</v>
      </c>
      <c r="H48" s="208">
        <f>'1.1.'!$D$37*Sheet5!E48/100</f>
        <v>3727176.9778009378</v>
      </c>
      <c r="I48" s="208">
        <f>'1.1.'!$D$54*Sheet5!E48/100</f>
        <v>3913535.8266909849</v>
      </c>
      <c r="K48" s="195">
        <f>'1.1.'!$D$18*Sheet5!E48/100</f>
        <v>0</v>
      </c>
      <c r="L48" s="195">
        <f>'1.1.'!$D$35*Sheet5!E48/100</f>
        <v>0</v>
      </c>
      <c r="M48" s="195">
        <f>'1.1.'!$D$52*Sheet5!E48/100</f>
        <v>0</v>
      </c>
      <c r="O48" s="195">
        <f t="shared" si="30"/>
        <v>3549692.3598104166</v>
      </c>
      <c r="P48" s="195">
        <f t="shared" si="27"/>
        <v>3727176.9778009378</v>
      </c>
      <c r="Q48" s="195">
        <f t="shared" si="28"/>
        <v>3913535.8266909849</v>
      </c>
    </row>
    <row r="49" spans="1:17" hidden="1" x14ac:dyDescent="0.2">
      <c r="A49" s="193" t="s">
        <v>101</v>
      </c>
      <c r="B49" s="193" t="s">
        <v>205</v>
      </c>
      <c r="C49" s="194" t="s">
        <v>169</v>
      </c>
      <c r="D49" s="195">
        <v>1455300.79</v>
      </c>
      <c r="E49" s="195">
        <f t="shared" si="29"/>
        <v>8.8399902216992974</v>
      </c>
      <c r="F49" s="195" t="e">
        <f>#REF!*Sheet5!E49/100</f>
        <v>#REF!</v>
      </c>
      <c r="G49" s="208">
        <f>'1.1.'!$D$20*Sheet5!E49/100</f>
        <v>3799021.1218450721</v>
      </c>
      <c r="H49" s="208">
        <f>'1.1.'!$D$37*Sheet5!E49/100</f>
        <v>3988972.1779373265</v>
      </c>
      <c r="I49" s="208">
        <f>'1.1.'!$D$54*Sheet5!E49/100</f>
        <v>4188420.7868341929</v>
      </c>
      <c r="K49" s="195">
        <f>'1.1.'!$D$18*Sheet5!E49/100</f>
        <v>0</v>
      </c>
      <c r="L49" s="195">
        <f>'1.1.'!$D$35*Sheet5!E49/100</f>
        <v>0</v>
      </c>
      <c r="M49" s="195">
        <f>'1.1.'!$D$52*Sheet5!E49/100</f>
        <v>0</v>
      </c>
      <c r="O49" s="195">
        <f t="shared" si="30"/>
        <v>3799021.1218450721</v>
      </c>
      <c r="P49" s="195">
        <f t="shared" si="27"/>
        <v>3988972.1779373265</v>
      </c>
      <c r="Q49" s="195">
        <f t="shared" si="28"/>
        <v>4188420.7868341929</v>
      </c>
    </row>
    <row r="50" spans="1:17" hidden="1" x14ac:dyDescent="0.2">
      <c r="A50" s="193" t="s">
        <v>101</v>
      </c>
      <c r="B50" s="193" t="s">
        <v>205</v>
      </c>
      <c r="C50" s="194" t="s">
        <v>170</v>
      </c>
      <c r="D50" s="195">
        <v>1424578.2500000002</v>
      </c>
      <c r="E50" s="195">
        <f t="shared" si="29"/>
        <v>8.6533711014102455</v>
      </c>
      <c r="F50" s="195" t="e">
        <f>#REF!*Sheet5!E50/100</f>
        <v>#REF!</v>
      </c>
      <c r="G50" s="208">
        <f>'1.1.'!$D$20*Sheet5!E50/100</f>
        <v>3718820.80918206</v>
      </c>
      <c r="H50" s="208">
        <f>'1.1.'!$D$37*Sheet5!E50/100</f>
        <v>3904761.8496411634</v>
      </c>
      <c r="I50" s="208">
        <f>'1.1.'!$D$54*Sheet5!E50/100</f>
        <v>4099999.9421232217</v>
      </c>
      <c r="K50" s="195">
        <f>'1.1.'!$D$18*Sheet5!E50/100</f>
        <v>0</v>
      </c>
      <c r="L50" s="195">
        <f>'1.1.'!$D$35*Sheet5!E50/100</f>
        <v>0</v>
      </c>
      <c r="M50" s="195">
        <f>'1.1.'!$D$52*Sheet5!E50/100</f>
        <v>0</v>
      </c>
      <c r="O50" s="195">
        <f t="shared" si="30"/>
        <v>3718820.80918206</v>
      </c>
      <c r="P50" s="195">
        <f t="shared" si="27"/>
        <v>3904761.8496411634</v>
      </c>
      <c r="Q50" s="195">
        <f t="shared" si="28"/>
        <v>4099999.9421232217</v>
      </c>
    </row>
    <row r="51" spans="1:17" hidden="1" x14ac:dyDescent="0.2">
      <c r="A51" s="193" t="s">
        <v>101</v>
      </c>
      <c r="B51" s="193" t="s">
        <v>205</v>
      </c>
      <c r="C51" s="194" t="s">
        <v>171</v>
      </c>
      <c r="D51" s="195">
        <v>1357461.55</v>
      </c>
      <c r="E51" s="195">
        <f t="shared" si="29"/>
        <v>8.245681518755152</v>
      </c>
      <c r="F51" s="195" t="e">
        <f>#REF!*Sheet5!E51/100</f>
        <v>#REF!</v>
      </c>
      <c r="G51" s="208">
        <f>'1.1.'!$D$20*Sheet5!E51/100</f>
        <v>3543614.5819329559</v>
      </c>
      <c r="H51" s="208">
        <f>'1.1.'!$D$37*Sheet5!E51/100</f>
        <v>3720795.3110296046</v>
      </c>
      <c r="I51" s="208">
        <f>'1.1.'!$D$54*Sheet5!E51/100</f>
        <v>3906835.0765810846</v>
      </c>
      <c r="K51" s="195">
        <f>'1.1.'!$D$18*Sheet5!E51/100</f>
        <v>0</v>
      </c>
      <c r="L51" s="195">
        <f>'1.1.'!$D$35*Sheet5!E51/100</f>
        <v>0</v>
      </c>
      <c r="M51" s="195">
        <f>'1.1.'!$D$52*Sheet5!E51/100</f>
        <v>0</v>
      </c>
      <c r="O51" s="195">
        <f t="shared" si="30"/>
        <v>3543614.5819329559</v>
      </c>
      <c r="P51" s="195">
        <f t="shared" si="27"/>
        <v>3720795.3110296046</v>
      </c>
      <c r="Q51" s="195">
        <f t="shared" si="28"/>
        <v>3906835.0765810846</v>
      </c>
    </row>
    <row r="52" spans="1:17" hidden="1" x14ac:dyDescent="0.2">
      <c r="A52" s="193" t="s">
        <v>101</v>
      </c>
      <c r="B52" s="193" t="s">
        <v>205</v>
      </c>
      <c r="C52" s="194" t="s">
        <v>172</v>
      </c>
      <c r="D52" s="195">
        <v>1195371.06</v>
      </c>
      <c r="E52" s="195">
        <f t="shared" si="29"/>
        <v>7.2610889475998457</v>
      </c>
      <c r="F52" s="195" t="e">
        <f>#REF!*Sheet5!E52/100</f>
        <v>#REF!</v>
      </c>
      <c r="G52" s="208">
        <f>'1.1.'!$D$20*Sheet5!E52/100</f>
        <v>3120481.9901062055</v>
      </c>
      <c r="H52" s="208">
        <f>'1.1.'!$D$37*Sheet5!E52/100</f>
        <v>3276506.0896115168</v>
      </c>
      <c r="I52" s="208">
        <f>'1.1.'!$D$54*Sheet5!E52/100</f>
        <v>3440331.3940920918</v>
      </c>
      <c r="K52" s="195">
        <f>'1.1.'!$D$18*Sheet5!E52/100</f>
        <v>0</v>
      </c>
      <c r="L52" s="195">
        <f>'1.1.'!$D$35*Sheet5!E52/100</f>
        <v>0</v>
      </c>
      <c r="M52" s="195">
        <f>'1.1.'!$D$52*Sheet5!E52/100</f>
        <v>0</v>
      </c>
      <c r="O52" s="195">
        <f t="shared" si="30"/>
        <v>3120481.9901062055</v>
      </c>
      <c r="P52" s="195">
        <f t="shared" si="27"/>
        <v>3276506.0896115168</v>
      </c>
      <c r="Q52" s="195">
        <f t="shared" si="28"/>
        <v>3440331.3940920918</v>
      </c>
    </row>
    <row r="53" spans="1:17" hidden="1" x14ac:dyDescent="0.2">
      <c r="A53" s="193" t="s">
        <v>101</v>
      </c>
      <c r="B53" s="193" t="s">
        <v>205</v>
      </c>
      <c r="C53" s="194" t="s">
        <v>173</v>
      </c>
      <c r="D53" s="195">
        <v>1254926.53</v>
      </c>
      <c r="E53" s="195">
        <f t="shared" si="29"/>
        <v>7.6228490566208169</v>
      </c>
      <c r="F53" s="195" t="e">
        <f>#REF!*Sheet5!E53/100</f>
        <v>#REF!</v>
      </c>
      <c r="G53" s="208">
        <f>'1.1.'!$D$20*Sheet5!E53/100</f>
        <v>3275949.8425296284</v>
      </c>
      <c r="H53" s="208">
        <f>'1.1.'!$D$37*Sheet5!E53/100</f>
        <v>3439747.3346561105</v>
      </c>
      <c r="I53" s="208">
        <f>'1.1.'!$D$54*Sheet5!E53/100</f>
        <v>3611734.701388916</v>
      </c>
      <c r="K53" s="195">
        <f>'1.1.'!$D$18*Sheet5!E53/100</f>
        <v>0</v>
      </c>
      <c r="L53" s="195">
        <f>'1.1.'!$D$35*Sheet5!E53/100</f>
        <v>0</v>
      </c>
      <c r="M53" s="195">
        <f>'1.1.'!$D$52*Sheet5!E53/100</f>
        <v>0</v>
      </c>
      <c r="O53" s="195">
        <f t="shared" si="30"/>
        <v>3275949.8425296284</v>
      </c>
      <c r="P53" s="195">
        <f t="shared" si="27"/>
        <v>3439747.3346561105</v>
      </c>
      <c r="Q53" s="195">
        <f t="shared" si="28"/>
        <v>3611734.701388916</v>
      </c>
    </row>
    <row r="54" spans="1:17" hidden="1" x14ac:dyDescent="0.2">
      <c r="A54" s="193" t="s">
        <v>101</v>
      </c>
      <c r="B54" s="193" t="s">
        <v>205</v>
      </c>
      <c r="C54" s="194" t="s">
        <v>174</v>
      </c>
      <c r="D54" s="195">
        <v>1385671.28</v>
      </c>
      <c r="E54" s="195">
        <f t="shared" si="29"/>
        <v>8.4170369794752524</v>
      </c>
      <c r="F54" s="195" t="e">
        <f>#REF!*Sheet5!E54/100</f>
        <v>#REF!</v>
      </c>
      <c r="G54" s="208">
        <f>'1.1.'!$D$20*Sheet5!E54/100</f>
        <v>3617255.2759035449</v>
      </c>
      <c r="H54" s="208">
        <f>'1.1.'!$D$37*Sheet5!E54/100</f>
        <v>3798118.0396987228</v>
      </c>
      <c r="I54" s="208">
        <f>'1.1.'!$D$54*Sheet5!E54/100</f>
        <v>3988023.9416836589</v>
      </c>
      <c r="J54" s="196"/>
      <c r="K54" s="195">
        <f>'1.1.'!$D$18*Sheet5!E54/100</f>
        <v>0</v>
      </c>
      <c r="L54" s="195">
        <f>'1.1.'!$D$35*Sheet5!E54/100</f>
        <v>0</v>
      </c>
      <c r="M54" s="195">
        <f>'1.1.'!$D$52*Sheet5!E54/100</f>
        <v>0</v>
      </c>
      <c r="O54" s="195">
        <f t="shared" si="30"/>
        <v>3617255.2759035449</v>
      </c>
      <c r="P54" s="195">
        <f t="shared" si="27"/>
        <v>3798118.0396987228</v>
      </c>
      <c r="Q54" s="195">
        <f t="shared" si="28"/>
        <v>3988023.9416836589</v>
      </c>
    </row>
    <row r="55" spans="1:17" hidden="1" x14ac:dyDescent="0.2">
      <c r="A55" s="193" t="s">
        <v>101</v>
      </c>
      <c r="B55" s="193" t="s">
        <v>205</v>
      </c>
      <c r="C55" s="194" t="s">
        <v>175</v>
      </c>
      <c r="D55" s="195">
        <v>1357421.7699999998</v>
      </c>
      <c r="E55" s="195">
        <f t="shared" si="29"/>
        <v>8.2454398815531107</v>
      </c>
      <c r="F55" s="195" t="e">
        <f>#REF!*Sheet5!E55/100</f>
        <v>#REF!</v>
      </c>
      <c r="G55" s="208">
        <f>'1.1.'!$D$20*Sheet5!E55/100</f>
        <v>3543510.7373798112</v>
      </c>
      <c r="H55" s="208">
        <f>'1.1.'!$D$37*Sheet5!E55/100</f>
        <v>3720686.2742488021</v>
      </c>
      <c r="I55" s="208">
        <f>'1.1.'!$D$54*Sheet5!E55/100</f>
        <v>3906720.5879612421</v>
      </c>
      <c r="J55" s="196"/>
      <c r="K55" s="195">
        <f>'1.1.'!$D$18*Sheet5!E55/100</f>
        <v>0</v>
      </c>
      <c r="L55" s="195">
        <f>'1.1.'!$D$35*Sheet5!E55/100</f>
        <v>0</v>
      </c>
      <c r="M55" s="195">
        <f>'1.1.'!$D$52*Sheet5!E55/100</f>
        <v>0</v>
      </c>
      <c r="O55" s="195">
        <f t="shared" si="30"/>
        <v>3543510.7373798112</v>
      </c>
      <c r="P55" s="195">
        <f t="shared" si="27"/>
        <v>3720686.2742488021</v>
      </c>
      <c r="Q55" s="195">
        <f t="shared" si="28"/>
        <v>3906720.5879612421</v>
      </c>
    </row>
    <row r="56" spans="1:17" hidden="1" x14ac:dyDescent="0.2">
      <c r="A56" s="193" t="s">
        <v>101</v>
      </c>
      <c r="B56" s="193" t="s">
        <v>205</v>
      </c>
      <c r="C56" s="194" t="s">
        <v>176</v>
      </c>
      <c r="D56" s="195">
        <v>1473223.48</v>
      </c>
      <c r="E56" s="195">
        <f t="shared" si="29"/>
        <v>8.9488587150274341</v>
      </c>
      <c r="F56" s="195" t="e">
        <f>#REF!*Sheet5!E56/100</f>
        <v>#REF!</v>
      </c>
      <c r="G56" s="208">
        <f>'1.1.'!$D$20*Sheet5!E56/100</f>
        <v>3845807.7918847972</v>
      </c>
      <c r="H56" s="208">
        <f>'1.1.'!$D$37*Sheet5!E56/100</f>
        <v>4038098.1814790382</v>
      </c>
      <c r="I56" s="208">
        <f>'1.1.'!$D$54*Sheet5!E56/100</f>
        <v>4240003.0905529894</v>
      </c>
      <c r="K56" s="195">
        <f>'1.1.'!$D$18*Sheet5!E56/100</f>
        <v>0</v>
      </c>
      <c r="L56" s="195">
        <f>'1.1.'!$D$35*Sheet5!E56/100</f>
        <v>0</v>
      </c>
      <c r="M56" s="195">
        <f>'1.1.'!$D$52*Sheet5!E56/100</f>
        <v>0</v>
      </c>
      <c r="O56" s="195">
        <f t="shared" si="30"/>
        <v>3845807.7918847972</v>
      </c>
      <c r="P56" s="195">
        <f t="shared" si="27"/>
        <v>4038098.1814790382</v>
      </c>
      <c r="Q56" s="195">
        <f t="shared" si="28"/>
        <v>4240003.0905529894</v>
      </c>
    </row>
    <row r="57" spans="1:17" hidden="1" x14ac:dyDescent="0.2">
      <c r="A57" s="193" t="s">
        <v>101</v>
      </c>
      <c r="B57" s="193" t="s">
        <v>205</v>
      </c>
      <c r="C57" s="194" t="s">
        <v>204</v>
      </c>
      <c r="D57" s="195">
        <v>1552768.75</v>
      </c>
      <c r="E57" s="195">
        <f t="shared" si="29"/>
        <v>9.4320436440910882</v>
      </c>
      <c r="F57" s="195" t="e">
        <f>#REF!*Sheet5!E57/100</f>
        <v>#REF!</v>
      </c>
      <c r="G57" s="208">
        <f>'1.1.'!$D$20*Sheet5!E57/100</f>
        <v>4053458.4459278481</v>
      </c>
      <c r="H57" s="208">
        <f>'1.1.'!$D$37*Sheet5!E57/100</f>
        <v>4256131.3682242408</v>
      </c>
      <c r="I57" s="208">
        <f>'1.1.'!$D$54*Sheet5!E57/100</f>
        <v>4468937.9366354533</v>
      </c>
      <c r="K57" s="195">
        <f>'1.1.'!$D$18*Sheet5!E57/100</f>
        <v>0</v>
      </c>
      <c r="L57" s="195">
        <f>'1.1.'!$D$35*Sheet5!E57/100</f>
        <v>0</v>
      </c>
      <c r="M57" s="195">
        <f>'1.1.'!$D$52*Sheet5!E57/100</f>
        <v>0</v>
      </c>
      <c r="O57" s="195">
        <f t="shared" si="30"/>
        <v>4053458.4459278481</v>
      </c>
      <c r="P57" s="195">
        <f t="shared" si="27"/>
        <v>4256131.3682242408</v>
      </c>
      <c r="Q57" s="195">
        <f t="shared" si="28"/>
        <v>4468937.9366354533</v>
      </c>
    </row>
    <row r="58" spans="1:17" s="197" customFormat="1" hidden="1" x14ac:dyDescent="0.2">
      <c r="A58" s="193" t="s">
        <v>101</v>
      </c>
      <c r="B58" s="193" t="s">
        <v>205</v>
      </c>
      <c r="C58" s="205" t="s">
        <v>182</v>
      </c>
      <c r="D58" s="206">
        <f t="shared" ref="D58:I58" si="31">SUM(D46:D57)</f>
        <v>16462696.829999998</v>
      </c>
      <c r="E58" s="206">
        <f t="shared" si="31"/>
        <v>100.00000000000003</v>
      </c>
      <c r="F58" s="206" t="e">
        <f t="shared" si="31"/>
        <v>#REF!</v>
      </c>
      <c r="G58" s="206">
        <f t="shared" si="31"/>
        <v>42975399.593991779</v>
      </c>
      <c r="H58" s="206">
        <f t="shared" si="31"/>
        <v>45124169.573691376</v>
      </c>
      <c r="I58" s="206">
        <f t="shared" si="31"/>
        <v>47380378.052375928</v>
      </c>
      <c r="K58" s="206">
        <f>SUM(K46:K57)</f>
        <v>0</v>
      </c>
      <c r="L58" s="206">
        <f>SUM(L46:L57)</f>
        <v>0</v>
      </c>
      <c r="M58" s="206">
        <f>SUM(M46:M57)</f>
        <v>0</v>
      </c>
      <c r="O58" s="206">
        <f>SUM(O46:O57)</f>
        <v>42975399.593991779</v>
      </c>
      <c r="P58" s="206">
        <f>SUM(P46:P57)</f>
        <v>45124169.573691376</v>
      </c>
      <c r="Q58" s="206">
        <f>SUM(Q46:Q57)</f>
        <v>47380378.052375928</v>
      </c>
    </row>
    <row r="59" spans="1:17" hidden="1" x14ac:dyDescent="0.2">
      <c r="A59" s="193" t="s">
        <v>101</v>
      </c>
      <c r="F59" s="202"/>
      <c r="G59" s="209">
        <f>G58-'1.1.'!D20</f>
        <v>0</v>
      </c>
      <c r="H59" s="209">
        <f>H58-'1.1.'!D34</f>
        <v>0</v>
      </c>
      <c r="I59" s="209">
        <f>I58-'1.1.'!D51</f>
        <v>0</v>
      </c>
      <c r="K59" s="202">
        <f>K58-'1.1.'!D18</f>
        <v>0</v>
      </c>
      <c r="L59" s="202">
        <f>L58-'1.1.'!D35</f>
        <v>0</v>
      </c>
      <c r="M59" s="202">
        <f>M58-'1.1.'!D52</f>
        <v>0</v>
      </c>
      <c r="O59" s="202">
        <f>O58-'1.1.'!D19</f>
        <v>0</v>
      </c>
      <c r="P59" s="202">
        <f>P58-'1.1.'!D36</f>
        <v>0</v>
      </c>
      <c r="Q59" s="202">
        <f>Q58-'1.1.'!D53</f>
        <v>0</v>
      </c>
    </row>
    <row r="60" spans="1:17" hidden="1" x14ac:dyDescent="0.2">
      <c r="A60" s="193" t="s">
        <v>101</v>
      </c>
      <c r="B60" s="193" t="s">
        <v>206</v>
      </c>
      <c r="C60" s="528" t="s">
        <v>179</v>
      </c>
      <c r="D60" s="528"/>
      <c r="E60" s="201"/>
      <c r="G60" s="529" t="str">
        <f>G44</f>
        <v>KOPĀ 1.risinājums B</v>
      </c>
      <c r="H60" s="529"/>
      <c r="I60" s="529"/>
      <c r="K60" s="530" t="str">
        <f>K44</f>
        <v>KOPĀ valsts budžets 1.risinājums B</v>
      </c>
      <c r="L60" s="530"/>
      <c r="M60" s="530"/>
      <c r="O60" s="530" t="str">
        <f>O44</f>
        <v>KOPĀ pašvaldību budžets 1.risinājums B</v>
      </c>
      <c r="P60" s="530"/>
      <c r="Q60" s="530"/>
    </row>
    <row r="61" spans="1:17" hidden="1" x14ac:dyDescent="0.2">
      <c r="A61" s="193" t="s">
        <v>101</v>
      </c>
      <c r="B61" s="193" t="s">
        <v>206</v>
      </c>
      <c r="C61" s="34"/>
      <c r="D61" s="198">
        <v>2019</v>
      </c>
      <c r="E61" s="198"/>
      <c r="F61" s="199" t="str">
        <f>F45</f>
        <v>2020.gads</v>
      </c>
      <c r="G61" s="207" t="str">
        <f>G45</f>
        <v>2021.gads</v>
      </c>
      <c r="H61" s="207" t="str">
        <f>H45</f>
        <v>2022.gads</v>
      </c>
      <c r="I61" s="207" t="str">
        <f>I45</f>
        <v>2023.gads</v>
      </c>
      <c r="K61" s="199" t="str">
        <f>K45</f>
        <v>2021.gads</v>
      </c>
      <c r="L61" s="199" t="str">
        <f>L45</f>
        <v>2022.gads</v>
      </c>
      <c r="M61" s="199" t="str">
        <f>M45</f>
        <v>2023.gads</v>
      </c>
      <c r="O61" s="199" t="str">
        <f>O45</f>
        <v>2021.gads</v>
      </c>
      <c r="P61" s="199" t="str">
        <f>P45</f>
        <v>2022.gads</v>
      </c>
      <c r="Q61" s="199" t="str">
        <f>Q45</f>
        <v>2023.gads</v>
      </c>
    </row>
    <row r="62" spans="1:17" hidden="1" x14ac:dyDescent="0.2">
      <c r="A62" s="193" t="s">
        <v>101</v>
      </c>
      <c r="B62" s="193" t="s">
        <v>206</v>
      </c>
      <c r="C62" s="194" t="s">
        <v>166</v>
      </c>
      <c r="D62" s="195">
        <v>1495656.14</v>
      </c>
      <c r="E62" s="195"/>
      <c r="F62" s="195">
        <f>D57</f>
        <v>1552768.75</v>
      </c>
      <c r="G62" s="208" t="e">
        <f>F57</f>
        <v>#REF!</v>
      </c>
      <c r="H62" s="208">
        <f>G57</f>
        <v>4053458.4459278481</v>
      </c>
      <c r="I62" s="208">
        <f>H57</f>
        <v>4256131.3682242408</v>
      </c>
      <c r="K62" s="195" t="e">
        <f>F57</f>
        <v>#REF!</v>
      </c>
      <c r="L62" s="195">
        <f>K57</f>
        <v>0</v>
      </c>
      <c r="M62" s="195">
        <f>L57</f>
        <v>0</v>
      </c>
      <c r="O62" s="195">
        <v>0</v>
      </c>
      <c r="P62" s="195">
        <f>O57</f>
        <v>4053458.4459278481</v>
      </c>
      <c r="Q62" s="195">
        <f>P57</f>
        <v>4256131.3682242408</v>
      </c>
    </row>
    <row r="63" spans="1:17" hidden="1" x14ac:dyDescent="0.2">
      <c r="A63" s="193" t="s">
        <v>101</v>
      </c>
      <c r="B63" s="193" t="s">
        <v>206</v>
      </c>
      <c r="C63" s="194" t="s">
        <v>167</v>
      </c>
      <c r="D63" s="195">
        <v>1300261.1800000002</v>
      </c>
      <c r="E63" s="195"/>
      <c r="F63" s="195" t="e">
        <f>F46</f>
        <v>#REF!</v>
      </c>
      <c r="G63" s="208">
        <f>G46</f>
        <v>3394294.6507540876</v>
      </c>
      <c r="H63" s="208">
        <f>H46</f>
        <v>3564009.3832917931</v>
      </c>
      <c r="I63" s="208">
        <f>I46</f>
        <v>3742209.852456382</v>
      </c>
      <c r="K63" s="195">
        <f>K46</f>
        <v>0</v>
      </c>
      <c r="L63" s="195">
        <f>L46</f>
        <v>0</v>
      </c>
      <c r="M63" s="195">
        <f>M46</f>
        <v>0</v>
      </c>
      <c r="O63" s="195">
        <f>O46</f>
        <v>3394294.6507540876</v>
      </c>
      <c r="P63" s="195">
        <f>P46</f>
        <v>3564009.3832917931</v>
      </c>
      <c r="Q63" s="195">
        <f>Q46</f>
        <v>3742209.852456382</v>
      </c>
    </row>
    <row r="64" spans="1:17" hidden="1" x14ac:dyDescent="0.2">
      <c r="A64" s="193" t="s">
        <v>101</v>
      </c>
      <c r="B64" s="193" t="s">
        <v>206</v>
      </c>
      <c r="C64" s="194" t="s">
        <v>168</v>
      </c>
      <c r="D64" s="195">
        <v>1345922.41</v>
      </c>
      <c r="E64" s="195"/>
      <c r="F64" s="195" t="e">
        <f t="shared" ref="F64:I64" si="32">F47</f>
        <v>#REF!</v>
      </c>
      <c r="G64" s="208">
        <f t="shared" si="32"/>
        <v>3513491.9867353495</v>
      </c>
      <c r="H64" s="208">
        <f t="shared" si="32"/>
        <v>3689166.5860721171</v>
      </c>
      <c r="I64" s="208">
        <f t="shared" si="32"/>
        <v>3873624.915375723</v>
      </c>
      <c r="K64" s="195">
        <f t="shared" ref="K64:M64" si="33">K47</f>
        <v>0</v>
      </c>
      <c r="L64" s="195">
        <f t="shared" si="33"/>
        <v>0</v>
      </c>
      <c r="M64" s="195">
        <f t="shared" si="33"/>
        <v>0</v>
      </c>
      <c r="O64" s="195">
        <f t="shared" ref="O64:Q64" si="34">O47</f>
        <v>3513491.9867353495</v>
      </c>
      <c r="P64" s="195">
        <f t="shared" si="34"/>
        <v>3689166.5860721171</v>
      </c>
      <c r="Q64" s="195">
        <f t="shared" si="34"/>
        <v>3873624.915375723</v>
      </c>
    </row>
    <row r="65" spans="1:18" hidden="1" x14ac:dyDescent="0.2">
      <c r="A65" s="193" t="s">
        <v>101</v>
      </c>
      <c r="B65" s="193" t="s">
        <v>206</v>
      </c>
      <c r="C65" s="194" t="s">
        <v>169</v>
      </c>
      <c r="D65" s="195">
        <v>1359789.78</v>
      </c>
      <c r="E65" s="195"/>
      <c r="F65" s="195" t="e">
        <f t="shared" ref="F65:I65" si="35">F48</f>
        <v>#REF!</v>
      </c>
      <c r="G65" s="208">
        <f t="shared" si="35"/>
        <v>3549692.3598104166</v>
      </c>
      <c r="H65" s="208">
        <f t="shared" si="35"/>
        <v>3727176.9778009378</v>
      </c>
      <c r="I65" s="208">
        <f t="shared" si="35"/>
        <v>3913535.8266909849</v>
      </c>
      <c r="K65" s="195">
        <f t="shared" ref="K65:M65" si="36">K48</f>
        <v>0</v>
      </c>
      <c r="L65" s="195">
        <f t="shared" si="36"/>
        <v>0</v>
      </c>
      <c r="M65" s="195">
        <f t="shared" si="36"/>
        <v>0</v>
      </c>
      <c r="O65" s="195">
        <f t="shared" ref="O65:Q65" si="37">O48</f>
        <v>3549692.3598104166</v>
      </c>
      <c r="P65" s="195">
        <f t="shared" si="37"/>
        <v>3727176.9778009378</v>
      </c>
      <c r="Q65" s="195">
        <f t="shared" si="37"/>
        <v>3913535.8266909849</v>
      </c>
    </row>
    <row r="66" spans="1:18" hidden="1" x14ac:dyDescent="0.2">
      <c r="A66" s="193" t="s">
        <v>101</v>
      </c>
      <c r="B66" s="193" t="s">
        <v>206</v>
      </c>
      <c r="C66" s="194" t="s">
        <v>170</v>
      </c>
      <c r="D66" s="195">
        <v>1455300.79</v>
      </c>
      <c r="E66" s="195"/>
      <c r="F66" s="195" t="e">
        <f t="shared" ref="F66:I66" si="38">F49</f>
        <v>#REF!</v>
      </c>
      <c r="G66" s="208">
        <f t="shared" si="38"/>
        <v>3799021.1218450721</v>
      </c>
      <c r="H66" s="208">
        <f t="shared" si="38"/>
        <v>3988972.1779373265</v>
      </c>
      <c r="I66" s="208">
        <f t="shared" si="38"/>
        <v>4188420.7868341929</v>
      </c>
      <c r="K66" s="195">
        <f t="shared" ref="K66:M66" si="39">K49</f>
        <v>0</v>
      </c>
      <c r="L66" s="195">
        <f t="shared" si="39"/>
        <v>0</v>
      </c>
      <c r="M66" s="195">
        <f t="shared" si="39"/>
        <v>0</v>
      </c>
      <c r="O66" s="195">
        <f t="shared" ref="O66:Q66" si="40">O49</f>
        <v>3799021.1218450721</v>
      </c>
      <c r="P66" s="195">
        <f t="shared" si="40"/>
        <v>3988972.1779373265</v>
      </c>
      <c r="Q66" s="195">
        <f t="shared" si="40"/>
        <v>4188420.7868341929</v>
      </c>
    </row>
    <row r="67" spans="1:18" hidden="1" x14ac:dyDescent="0.2">
      <c r="A67" s="193" t="s">
        <v>101</v>
      </c>
      <c r="B67" s="193" t="s">
        <v>206</v>
      </c>
      <c r="C67" s="194" t="s">
        <v>171</v>
      </c>
      <c r="D67" s="195">
        <v>1424578.2500000002</v>
      </c>
      <c r="E67" s="195"/>
      <c r="F67" s="195" t="e">
        <f t="shared" ref="F67:I67" si="41">F50</f>
        <v>#REF!</v>
      </c>
      <c r="G67" s="208">
        <f t="shared" si="41"/>
        <v>3718820.80918206</v>
      </c>
      <c r="H67" s="208">
        <f t="shared" si="41"/>
        <v>3904761.8496411634</v>
      </c>
      <c r="I67" s="208">
        <f t="shared" si="41"/>
        <v>4099999.9421232217</v>
      </c>
      <c r="K67" s="195">
        <f t="shared" ref="K67:M67" si="42">K50</f>
        <v>0</v>
      </c>
      <c r="L67" s="195">
        <f t="shared" si="42"/>
        <v>0</v>
      </c>
      <c r="M67" s="195">
        <f t="shared" si="42"/>
        <v>0</v>
      </c>
      <c r="O67" s="195">
        <f t="shared" ref="O67:Q67" si="43">O50</f>
        <v>3718820.80918206</v>
      </c>
      <c r="P67" s="195">
        <f t="shared" si="43"/>
        <v>3904761.8496411634</v>
      </c>
      <c r="Q67" s="195">
        <f t="shared" si="43"/>
        <v>4099999.9421232217</v>
      </c>
    </row>
    <row r="68" spans="1:18" hidden="1" x14ac:dyDescent="0.2">
      <c r="A68" s="193" t="s">
        <v>101</v>
      </c>
      <c r="B68" s="193" t="s">
        <v>206</v>
      </c>
      <c r="C68" s="194" t="s">
        <v>172</v>
      </c>
      <c r="D68" s="195">
        <v>1357461.55</v>
      </c>
      <c r="E68" s="195"/>
      <c r="F68" s="195" t="e">
        <f t="shared" ref="F68:I68" si="44">F51</f>
        <v>#REF!</v>
      </c>
      <c r="G68" s="208">
        <f t="shared" si="44"/>
        <v>3543614.5819329559</v>
      </c>
      <c r="H68" s="208">
        <f t="shared" si="44"/>
        <v>3720795.3110296046</v>
      </c>
      <c r="I68" s="208">
        <f t="shared" si="44"/>
        <v>3906835.0765810846</v>
      </c>
      <c r="K68" s="195">
        <f t="shared" ref="K68:M68" si="45">K51</f>
        <v>0</v>
      </c>
      <c r="L68" s="195">
        <f t="shared" si="45"/>
        <v>0</v>
      </c>
      <c r="M68" s="195">
        <f t="shared" si="45"/>
        <v>0</v>
      </c>
      <c r="O68" s="195">
        <f t="shared" ref="O68:Q68" si="46">O51</f>
        <v>3543614.5819329559</v>
      </c>
      <c r="P68" s="195">
        <f t="shared" si="46"/>
        <v>3720795.3110296046</v>
      </c>
      <c r="Q68" s="195">
        <f t="shared" si="46"/>
        <v>3906835.0765810846</v>
      </c>
    </row>
    <row r="69" spans="1:18" hidden="1" x14ac:dyDescent="0.2">
      <c r="A69" s="193" t="s">
        <v>101</v>
      </c>
      <c r="B69" s="193" t="s">
        <v>206</v>
      </c>
      <c r="C69" s="194" t="s">
        <v>173</v>
      </c>
      <c r="D69" s="195">
        <v>1195371.06</v>
      </c>
      <c r="E69" s="195"/>
      <c r="F69" s="195" t="e">
        <f t="shared" ref="F69:I69" si="47">F52</f>
        <v>#REF!</v>
      </c>
      <c r="G69" s="208">
        <f t="shared" si="47"/>
        <v>3120481.9901062055</v>
      </c>
      <c r="H69" s="208">
        <f t="shared" si="47"/>
        <v>3276506.0896115168</v>
      </c>
      <c r="I69" s="208">
        <f t="shared" si="47"/>
        <v>3440331.3940920918</v>
      </c>
      <c r="K69" s="195">
        <f t="shared" ref="K69:M69" si="48">K52</f>
        <v>0</v>
      </c>
      <c r="L69" s="195">
        <f t="shared" si="48"/>
        <v>0</v>
      </c>
      <c r="M69" s="195">
        <f t="shared" si="48"/>
        <v>0</v>
      </c>
      <c r="O69" s="195">
        <f t="shared" ref="O69:Q69" si="49">O52</f>
        <v>3120481.9901062055</v>
      </c>
      <c r="P69" s="195">
        <f t="shared" si="49"/>
        <v>3276506.0896115168</v>
      </c>
      <c r="Q69" s="195">
        <f t="shared" si="49"/>
        <v>3440331.3940920918</v>
      </c>
    </row>
    <row r="70" spans="1:18" hidden="1" x14ac:dyDescent="0.2">
      <c r="A70" s="193" t="s">
        <v>101</v>
      </c>
      <c r="B70" s="193" t="s">
        <v>206</v>
      </c>
      <c r="C70" s="194" t="s">
        <v>174</v>
      </c>
      <c r="D70" s="195">
        <v>1254926.53</v>
      </c>
      <c r="E70" s="195"/>
      <c r="F70" s="195" t="e">
        <f t="shared" ref="F70:I70" si="50">F53</f>
        <v>#REF!</v>
      </c>
      <c r="G70" s="208">
        <f t="shared" si="50"/>
        <v>3275949.8425296284</v>
      </c>
      <c r="H70" s="208">
        <f t="shared" si="50"/>
        <v>3439747.3346561105</v>
      </c>
      <c r="I70" s="208">
        <f t="shared" si="50"/>
        <v>3611734.701388916</v>
      </c>
      <c r="K70" s="195">
        <f t="shared" ref="K70:M70" si="51">K53</f>
        <v>0</v>
      </c>
      <c r="L70" s="195">
        <f t="shared" si="51"/>
        <v>0</v>
      </c>
      <c r="M70" s="195">
        <f t="shared" si="51"/>
        <v>0</v>
      </c>
      <c r="O70" s="195">
        <f t="shared" ref="O70:Q70" si="52">O53</f>
        <v>3275949.8425296284</v>
      </c>
      <c r="P70" s="195">
        <f t="shared" si="52"/>
        <v>3439747.3346561105</v>
      </c>
      <c r="Q70" s="195">
        <f t="shared" si="52"/>
        <v>3611734.701388916</v>
      </c>
    </row>
    <row r="71" spans="1:18" hidden="1" x14ac:dyDescent="0.2">
      <c r="A71" s="193" t="s">
        <v>101</v>
      </c>
      <c r="B71" s="193" t="s">
        <v>206</v>
      </c>
      <c r="C71" s="194" t="s">
        <v>175</v>
      </c>
      <c r="D71" s="195">
        <v>1385671.28</v>
      </c>
      <c r="E71" s="195"/>
      <c r="F71" s="195" t="e">
        <f t="shared" ref="F71:I71" si="53">F54</f>
        <v>#REF!</v>
      </c>
      <c r="G71" s="208">
        <f t="shared" si="53"/>
        <v>3617255.2759035449</v>
      </c>
      <c r="H71" s="208">
        <f t="shared" si="53"/>
        <v>3798118.0396987228</v>
      </c>
      <c r="I71" s="208">
        <f t="shared" si="53"/>
        <v>3988023.9416836589</v>
      </c>
      <c r="K71" s="195">
        <f t="shared" ref="K71:M71" si="54">K54</f>
        <v>0</v>
      </c>
      <c r="L71" s="195">
        <f t="shared" si="54"/>
        <v>0</v>
      </c>
      <c r="M71" s="195">
        <f t="shared" si="54"/>
        <v>0</v>
      </c>
      <c r="O71" s="195">
        <f t="shared" ref="O71:Q71" si="55">O54</f>
        <v>3617255.2759035449</v>
      </c>
      <c r="P71" s="195">
        <f t="shared" si="55"/>
        <v>3798118.0396987228</v>
      </c>
      <c r="Q71" s="195">
        <f t="shared" si="55"/>
        <v>3988023.9416836589</v>
      </c>
    </row>
    <row r="72" spans="1:18" hidden="1" x14ac:dyDescent="0.2">
      <c r="A72" s="193" t="s">
        <v>101</v>
      </c>
      <c r="B72" s="193" t="s">
        <v>206</v>
      </c>
      <c r="C72" s="194" t="s">
        <v>176</v>
      </c>
      <c r="D72" s="195">
        <v>1357421.7699999998</v>
      </c>
      <c r="E72" s="195"/>
      <c r="F72" s="195" t="e">
        <f t="shared" ref="F72:I72" si="56">F55</f>
        <v>#REF!</v>
      </c>
      <c r="G72" s="208">
        <f t="shared" si="56"/>
        <v>3543510.7373798112</v>
      </c>
      <c r="H72" s="208">
        <f t="shared" si="56"/>
        <v>3720686.2742488021</v>
      </c>
      <c r="I72" s="208">
        <f t="shared" si="56"/>
        <v>3906720.5879612421</v>
      </c>
      <c r="K72" s="195">
        <f t="shared" ref="K72:M72" si="57">K55</f>
        <v>0</v>
      </c>
      <c r="L72" s="195">
        <f t="shared" si="57"/>
        <v>0</v>
      </c>
      <c r="M72" s="195">
        <f t="shared" si="57"/>
        <v>0</v>
      </c>
      <c r="O72" s="195">
        <f t="shared" ref="O72:Q72" si="58">O55</f>
        <v>3543510.7373798112</v>
      </c>
      <c r="P72" s="195">
        <f t="shared" si="58"/>
        <v>3720686.2742488021</v>
      </c>
      <c r="Q72" s="195">
        <f t="shared" si="58"/>
        <v>3906720.5879612421</v>
      </c>
    </row>
    <row r="73" spans="1:18" hidden="1" x14ac:dyDescent="0.2">
      <c r="A73" s="193" t="s">
        <v>101</v>
      </c>
      <c r="B73" s="193" t="s">
        <v>206</v>
      </c>
      <c r="C73" s="194" t="s">
        <v>177</v>
      </c>
      <c r="D73" s="195">
        <v>1473223.48</v>
      </c>
      <c r="E73" s="195"/>
      <c r="F73" s="195" t="e">
        <f>F56</f>
        <v>#REF!</v>
      </c>
      <c r="G73" s="208">
        <f>G56</f>
        <v>3845807.7918847972</v>
      </c>
      <c r="H73" s="208">
        <f>H56</f>
        <v>4038098.1814790382</v>
      </c>
      <c r="I73" s="208">
        <f>I56</f>
        <v>4240003.0905529894</v>
      </c>
      <c r="K73" s="195">
        <f>K56</f>
        <v>0</v>
      </c>
      <c r="L73" s="195">
        <f>L56</f>
        <v>0</v>
      </c>
      <c r="M73" s="195">
        <f>M56</f>
        <v>0</v>
      </c>
      <c r="O73" s="195">
        <f>O56</f>
        <v>3845807.7918847972</v>
      </c>
      <c r="P73" s="195">
        <f>P56</f>
        <v>4038098.1814790382</v>
      </c>
      <c r="Q73" s="195">
        <f>Q56</f>
        <v>4240003.0905529894</v>
      </c>
    </row>
    <row r="74" spans="1:18" hidden="1" x14ac:dyDescent="0.2">
      <c r="A74" s="193" t="s">
        <v>101</v>
      </c>
      <c r="B74" s="193" t="s">
        <v>206</v>
      </c>
      <c r="C74" s="205" t="s">
        <v>183</v>
      </c>
      <c r="D74" s="206">
        <f>SUM(D62:D73)</f>
        <v>16405584.220000001</v>
      </c>
      <c r="E74" s="206"/>
      <c r="F74" s="206" t="e">
        <f>SUM(F62:F73)</f>
        <v>#REF!</v>
      </c>
      <c r="G74" s="206" t="e">
        <f>SUM(G62:G73)</f>
        <v>#REF!</v>
      </c>
      <c r="H74" s="206">
        <f>SUM(H62:H73)</f>
        <v>44921496.651394978</v>
      </c>
      <c r="I74" s="206">
        <f>SUM(I62:I73)</f>
        <v>47167571.483964726</v>
      </c>
      <c r="K74" s="206" t="e">
        <f>SUM(K62:K73)</f>
        <v>#REF!</v>
      </c>
      <c r="L74" s="206">
        <f>SUM(L62:L73)</f>
        <v>0</v>
      </c>
      <c r="M74" s="206">
        <f>SUM(M62:M73)</f>
        <v>0</v>
      </c>
      <c r="O74" s="206">
        <f>SUM(O62:O73)</f>
        <v>38921941.148063928</v>
      </c>
      <c r="P74" s="206">
        <f>SUM(P62:P73)</f>
        <v>44921496.651394978</v>
      </c>
      <c r="Q74" s="206">
        <f>SUM(Q62:Q73)</f>
        <v>47167571.483964726</v>
      </c>
    </row>
    <row r="75" spans="1:18" hidden="1" x14ac:dyDescent="0.2">
      <c r="A75" s="193" t="s">
        <v>101</v>
      </c>
      <c r="B75" s="193" t="s">
        <v>206</v>
      </c>
      <c r="C75" s="203"/>
      <c r="D75" s="203"/>
      <c r="E75" s="203"/>
      <c r="F75" s="203"/>
      <c r="G75" s="203"/>
      <c r="H75" s="203"/>
      <c r="I75" s="203"/>
      <c r="J75" s="203"/>
      <c r="K75" s="196"/>
      <c r="L75" s="196"/>
      <c r="M75" s="196"/>
    </row>
    <row r="76" spans="1:18" hidden="1" x14ac:dyDescent="0.2">
      <c r="A76" s="193" t="s">
        <v>101</v>
      </c>
      <c r="B76" s="193" t="s">
        <v>206</v>
      </c>
      <c r="C76" s="526" t="s">
        <v>193</v>
      </c>
      <c r="D76" s="526"/>
      <c r="E76" s="526"/>
      <c r="F76" s="526"/>
      <c r="G76" s="229" t="e">
        <f>K76+O76</f>
        <v>#REF!</v>
      </c>
      <c r="H76" s="229">
        <f t="shared" ref="H76:H77" si="59">L76+P76</f>
        <v>17616217</v>
      </c>
      <c r="I76" s="229">
        <f t="shared" ref="I76:I77" si="60">M76+Q76</f>
        <v>17616217</v>
      </c>
      <c r="J76" s="230"/>
      <c r="K76" s="231" t="e">
        <f>F57+K77</f>
        <v>#REF!</v>
      </c>
      <c r="L76" s="231">
        <v>0</v>
      </c>
      <c r="M76" s="231">
        <v>0</v>
      </c>
      <c r="N76" s="232"/>
      <c r="O76" s="231">
        <f>17616217-1662872-136600</f>
        <v>15816745</v>
      </c>
      <c r="P76" s="231">
        <v>17616217</v>
      </c>
      <c r="Q76" s="231">
        <v>17616217</v>
      </c>
      <c r="R76" s="236" t="e">
        <f>136600+K76+O76-P76</f>
        <v>#REF!</v>
      </c>
    </row>
    <row r="77" spans="1:18" hidden="1" x14ac:dyDescent="0.2">
      <c r="A77" s="193" t="s">
        <v>101</v>
      </c>
      <c r="B77" s="193" t="s">
        <v>206</v>
      </c>
      <c r="C77" s="526" t="s">
        <v>222</v>
      </c>
      <c r="D77" s="526"/>
      <c r="E77" s="526"/>
      <c r="F77" s="526"/>
      <c r="G77" s="212">
        <f>K77+O77</f>
        <v>0</v>
      </c>
      <c r="H77" s="212">
        <f t="shared" si="59"/>
        <v>0</v>
      </c>
      <c r="I77" s="212">
        <f t="shared" si="60"/>
        <v>0</v>
      </c>
      <c r="J77" s="213"/>
      <c r="K77" s="214">
        <v>0</v>
      </c>
      <c r="L77" s="214">
        <v>0</v>
      </c>
      <c r="M77" s="214">
        <v>0</v>
      </c>
      <c r="N77" s="197"/>
      <c r="O77" s="232">
        <v>0</v>
      </c>
      <c r="P77" s="197">
        <v>0</v>
      </c>
      <c r="Q77" s="197">
        <v>0</v>
      </c>
    </row>
    <row r="78" spans="1:18" hidden="1" x14ac:dyDescent="0.2">
      <c r="A78" s="193" t="s">
        <v>101</v>
      </c>
      <c r="B78" s="193" t="s">
        <v>206</v>
      </c>
      <c r="C78" s="224"/>
      <c r="D78" s="224"/>
      <c r="E78" s="224"/>
      <c r="F78" s="224"/>
      <c r="G78" s="226"/>
      <c r="H78" s="226"/>
      <c r="I78" s="226"/>
      <c r="J78" s="226"/>
      <c r="K78" s="237"/>
      <c r="L78" s="226"/>
      <c r="M78" s="226"/>
      <c r="N78" s="226"/>
      <c r="O78" s="235"/>
      <c r="P78" s="226"/>
      <c r="Q78" s="226"/>
    </row>
    <row r="79" spans="1:18" ht="14.45" hidden="1" customHeight="1" x14ac:dyDescent="0.2">
      <c r="A79" s="193" t="s">
        <v>101</v>
      </c>
      <c r="B79" s="193" t="s">
        <v>206</v>
      </c>
      <c r="C79" s="527" t="s">
        <v>194</v>
      </c>
      <c r="D79" s="527"/>
      <c r="E79" s="527"/>
      <c r="F79" s="527"/>
      <c r="G79" s="211" t="e">
        <f>G74-G76+G77</f>
        <v>#REF!</v>
      </c>
      <c r="H79" s="211">
        <f>H74-H76+H77</f>
        <v>27305279.651394978</v>
      </c>
      <c r="I79" s="211">
        <f>I74-I76+I77</f>
        <v>29551354.483964726</v>
      </c>
      <c r="J79" s="211"/>
      <c r="K79" s="211" t="e">
        <f>K74-K76+K77</f>
        <v>#REF!</v>
      </c>
      <c r="L79" s="211">
        <f>L74-L76+L77</f>
        <v>0</v>
      </c>
      <c r="M79" s="211">
        <f>M74-M76+M77</f>
        <v>0</v>
      </c>
      <c r="N79" s="211"/>
      <c r="O79" s="234">
        <f>O74-O76+O77</f>
        <v>23105196.148063928</v>
      </c>
      <c r="P79" s="211">
        <f>P74-P76+P77</f>
        <v>27305279.651394978</v>
      </c>
      <c r="Q79" s="211">
        <f>Q74-Q76+Q77</f>
        <v>29551354.483964726</v>
      </c>
    </row>
    <row r="80" spans="1:18" hidden="1" x14ac:dyDescent="0.2">
      <c r="G80" s="196"/>
    </row>
    <row r="81" spans="1:17" hidden="1" x14ac:dyDescent="0.2">
      <c r="A81" s="193" t="s">
        <v>102</v>
      </c>
      <c r="C81" s="204" t="s">
        <v>102</v>
      </c>
    </row>
    <row r="82" spans="1:17" hidden="1" x14ac:dyDescent="0.2">
      <c r="A82" s="193" t="s">
        <v>102</v>
      </c>
      <c r="B82" s="193" t="s">
        <v>205</v>
      </c>
      <c r="C82" s="528" t="s">
        <v>180</v>
      </c>
      <c r="D82" s="528"/>
      <c r="E82" s="200"/>
      <c r="G82" s="529" t="s">
        <v>190</v>
      </c>
      <c r="H82" s="529"/>
      <c r="I82" s="529"/>
      <c r="K82" s="530" t="s">
        <v>191</v>
      </c>
      <c r="L82" s="530"/>
      <c r="M82" s="530"/>
      <c r="O82" s="530" t="s">
        <v>192</v>
      </c>
      <c r="P82" s="530"/>
      <c r="Q82" s="530"/>
    </row>
    <row r="83" spans="1:17" s="33" customFormat="1" hidden="1" x14ac:dyDescent="0.2">
      <c r="A83" s="193" t="s">
        <v>102</v>
      </c>
      <c r="B83" s="193" t="s">
        <v>205</v>
      </c>
      <c r="C83" s="34"/>
      <c r="D83" s="199" t="s">
        <v>178</v>
      </c>
      <c r="E83" s="199"/>
      <c r="F83" s="199" t="s">
        <v>86</v>
      </c>
      <c r="G83" s="207" t="s">
        <v>41</v>
      </c>
      <c r="H83" s="207" t="s">
        <v>44</v>
      </c>
      <c r="I83" s="207" t="s">
        <v>72</v>
      </c>
      <c r="K83" s="199" t="s">
        <v>41</v>
      </c>
      <c r="L83" s="199" t="s">
        <v>44</v>
      </c>
      <c r="M83" s="199" t="s">
        <v>72</v>
      </c>
      <c r="O83" s="199" t="s">
        <v>41</v>
      </c>
      <c r="P83" s="199" t="s">
        <v>44</v>
      </c>
      <c r="Q83" s="199" t="s">
        <v>72</v>
      </c>
    </row>
    <row r="84" spans="1:17" hidden="1" x14ac:dyDescent="0.2">
      <c r="A84" s="193" t="s">
        <v>102</v>
      </c>
      <c r="B84" s="193" t="s">
        <v>205</v>
      </c>
      <c r="C84" s="194" t="s">
        <v>166</v>
      </c>
      <c r="D84" s="195">
        <v>1300261.1800000002</v>
      </c>
      <c r="E84" s="195">
        <f>D84*100/$D$20</f>
        <v>7.8982270853128522</v>
      </c>
      <c r="F84" s="195" t="e">
        <f>#REF!*Sheet5!E84/100</f>
        <v>#REF!</v>
      </c>
      <c r="G84" s="208" t="e">
        <f>'1.1.'!$E$20*Sheet5!E84/100</f>
        <v>#REF!</v>
      </c>
      <c r="H84" s="208" t="e">
        <f>'1.1.'!$E$37*Sheet5!E84/100</f>
        <v>#REF!</v>
      </c>
      <c r="I84" s="208" t="e">
        <f>'1.1.'!$E$54*Sheet5!E84/100</f>
        <v>#REF!</v>
      </c>
      <c r="K84" s="195" t="e">
        <f>'1.1.'!$E$18*Sheet5!E84/100</f>
        <v>#REF!</v>
      </c>
      <c r="L84" s="195" t="e">
        <f>'1.1.'!$E$35*Sheet5!E84/100</f>
        <v>#REF!</v>
      </c>
      <c r="M84" s="195" t="e">
        <f>'1.1.'!$E$52*Sheet5!E84/100</f>
        <v>#REF!</v>
      </c>
      <c r="O84" s="195" t="e">
        <f>G84-K84</f>
        <v>#REF!</v>
      </c>
      <c r="P84" s="195" t="e">
        <f t="shared" ref="P84:P95" si="61">H84-L84</f>
        <v>#REF!</v>
      </c>
      <c r="Q84" s="195" t="e">
        <f t="shared" ref="Q84:Q95" si="62">I84-M84</f>
        <v>#REF!</v>
      </c>
    </row>
    <row r="85" spans="1:17" hidden="1" x14ac:dyDescent="0.2">
      <c r="A85" s="193" t="s">
        <v>102</v>
      </c>
      <c r="B85" s="193" t="s">
        <v>205</v>
      </c>
      <c r="C85" s="194" t="s">
        <v>167</v>
      </c>
      <c r="D85" s="195">
        <v>1345922.41</v>
      </c>
      <c r="E85" s="195">
        <f t="shared" ref="E85:E95" si="63">D85*100/$D$20</f>
        <v>8.1755888716077401</v>
      </c>
      <c r="F85" s="195" t="e">
        <f>#REF!*Sheet5!E85/100</f>
        <v>#REF!</v>
      </c>
      <c r="G85" s="208" t="e">
        <f>'1.1.'!$E$20*Sheet5!E85/100</f>
        <v>#REF!</v>
      </c>
      <c r="H85" s="208" t="e">
        <f>'1.1.'!$E$37*Sheet5!E85/100</f>
        <v>#REF!</v>
      </c>
      <c r="I85" s="208" t="e">
        <f>'1.1.'!$E$54*Sheet5!E85/100</f>
        <v>#REF!</v>
      </c>
      <c r="K85" s="195" t="e">
        <f>'1.1.'!$E$18*Sheet5!E85/100</f>
        <v>#REF!</v>
      </c>
      <c r="L85" s="195" t="e">
        <f>'1.1.'!$E$35*Sheet5!E85/100</f>
        <v>#REF!</v>
      </c>
      <c r="M85" s="195" t="e">
        <f>'1.1.'!$E$52*Sheet5!E85/100</f>
        <v>#REF!</v>
      </c>
      <c r="O85" s="195" t="e">
        <f t="shared" ref="O85:O95" si="64">G85-K85</f>
        <v>#REF!</v>
      </c>
      <c r="P85" s="195" t="e">
        <f t="shared" si="61"/>
        <v>#REF!</v>
      </c>
      <c r="Q85" s="195" t="e">
        <f t="shared" si="62"/>
        <v>#REF!</v>
      </c>
    </row>
    <row r="86" spans="1:17" hidden="1" x14ac:dyDescent="0.2">
      <c r="A86" s="193" t="s">
        <v>102</v>
      </c>
      <c r="B86" s="193" t="s">
        <v>205</v>
      </c>
      <c r="C86" s="194" t="s">
        <v>168</v>
      </c>
      <c r="D86" s="195">
        <v>1359789.78</v>
      </c>
      <c r="E86" s="195">
        <f t="shared" si="63"/>
        <v>8.2598239768471764</v>
      </c>
      <c r="F86" s="195" t="e">
        <f>#REF!*Sheet5!E86/100</f>
        <v>#REF!</v>
      </c>
      <c r="G86" s="208" t="e">
        <f>'1.1.'!$E$20*Sheet5!E86/100</f>
        <v>#REF!</v>
      </c>
      <c r="H86" s="208" t="e">
        <f>'1.1.'!$E$37*Sheet5!E86/100</f>
        <v>#REF!</v>
      </c>
      <c r="I86" s="208" t="e">
        <f>'1.1.'!$E$54*Sheet5!E86/100</f>
        <v>#REF!</v>
      </c>
      <c r="K86" s="195" t="e">
        <f>'1.1.'!$E$18*Sheet5!E86/100</f>
        <v>#REF!</v>
      </c>
      <c r="L86" s="195" t="e">
        <f>'1.1.'!$E$35*Sheet5!E86/100</f>
        <v>#REF!</v>
      </c>
      <c r="M86" s="195" t="e">
        <f>'1.1.'!$E$52*Sheet5!E86/100</f>
        <v>#REF!</v>
      </c>
      <c r="O86" s="195" t="e">
        <f t="shared" si="64"/>
        <v>#REF!</v>
      </c>
      <c r="P86" s="195" t="e">
        <f t="shared" si="61"/>
        <v>#REF!</v>
      </c>
      <c r="Q86" s="195" t="e">
        <f t="shared" si="62"/>
        <v>#REF!</v>
      </c>
    </row>
    <row r="87" spans="1:17" hidden="1" x14ac:dyDescent="0.2">
      <c r="A87" s="193" t="s">
        <v>102</v>
      </c>
      <c r="B87" s="193" t="s">
        <v>205</v>
      </c>
      <c r="C87" s="194" t="s">
        <v>169</v>
      </c>
      <c r="D87" s="195">
        <v>1455300.79</v>
      </c>
      <c r="E87" s="195">
        <f t="shared" si="63"/>
        <v>8.8399902216992974</v>
      </c>
      <c r="F87" s="195" t="e">
        <f>#REF!*Sheet5!E87/100</f>
        <v>#REF!</v>
      </c>
      <c r="G87" s="208" t="e">
        <f>'1.1.'!$E$20*Sheet5!E87/100</f>
        <v>#REF!</v>
      </c>
      <c r="H87" s="208" t="e">
        <f>'1.1.'!$E$37*Sheet5!E87/100</f>
        <v>#REF!</v>
      </c>
      <c r="I87" s="208" t="e">
        <f>'1.1.'!$E$54*Sheet5!E87/100</f>
        <v>#REF!</v>
      </c>
      <c r="K87" s="195" t="e">
        <f>'1.1.'!$E$18*Sheet5!E87/100</f>
        <v>#REF!</v>
      </c>
      <c r="L87" s="195" t="e">
        <f>'1.1.'!$E$35*Sheet5!E87/100</f>
        <v>#REF!</v>
      </c>
      <c r="M87" s="195" t="e">
        <f>'1.1.'!$E$52*Sheet5!E87/100</f>
        <v>#REF!</v>
      </c>
      <c r="O87" s="195" t="e">
        <f t="shared" si="64"/>
        <v>#REF!</v>
      </c>
      <c r="P87" s="195" t="e">
        <f t="shared" si="61"/>
        <v>#REF!</v>
      </c>
      <c r="Q87" s="195" t="e">
        <f t="shared" si="62"/>
        <v>#REF!</v>
      </c>
    </row>
    <row r="88" spans="1:17" hidden="1" x14ac:dyDescent="0.2">
      <c r="A88" s="193" t="s">
        <v>102</v>
      </c>
      <c r="B88" s="193" t="s">
        <v>205</v>
      </c>
      <c r="C88" s="194" t="s">
        <v>170</v>
      </c>
      <c r="D88" s="195">
        <v>1424578.2500000002</v>
      </c>
      <c r="E88" s="195">
        <f t="shared" si="63"/>
        <v>8.6533711014102455</v>
      </c>
      <c r="F88" s="195" t="e">
        <f>#REF!*Sheet5!E88/100</f>
        <v>#REF!</v>
      </c>
      <c r="G88" s="208" t="e">
        <f>'1.1.'!$E$20*Sheet5!E88/100</f>
        <v>#REF!</v>
      </c>
      <c r="H88" s="208" t="e">
        <f>'1.1.'!$E$37*Sheet5!E88/100</f>
        <v>#REF!</v>
      </c>
      <c r="I88" s="208" t="e">
        <f>'1.1.'!$E$54*Sheet5!E88/100</f>
        <v>#REF!</v>
      </c>
      <c r="K88" s="195" t="e">
        <f>'1.1.'!$E$18*Sheet5!E88/100</f>
        <v>#REF!</v>
      </c>
      <c r="L88" s="195" t="e">
        <f>'1.1.'!$E$35*Sheet5!E88/100</f>
        <v>#REF!</v>
      </c>
      <c r="M88" s="195" t="e">
        <f>'1.1.'!$E$52*Sheet5!E88/100</f>
        <v>#REF!</v>
      </c>
      <c r="O88" s="195" t="e">
        <f t="shared" si="64"/>
        <v>#REF!</v>
      </c>
      <c r="P88" s="195" t="e">
        <f t="shared" si="61"/>
        <v>#REF!</v>
      </c>
      <c r="Q88" s="195" t="e">
        <f t="shared" si="62"/>
        <v>#REF!</v>
      </c>
    </row>
    <row r="89" spans="1:17" hidden="1" x14ac:dyDescent="0.2">
      <c r="A89" s="193" t="s">
        <v>102</v>
      </c>
      <c r="B89" s="193" t="s">
        <v>205</v>
      </c>
      <c r="C89" s="194" t="s">
        <v>171</v>
      </c>
      <c r="D89" s="195">
        <v>1357461.55</v>
      </c>
      <c r="E89" s="195">
        <f t="shared" si="63"/>
        <v>8.245681518755152</v>
      </c>
      <c r="F89" s="195" t="e">
        <f>#REF!*Sheet5!E89/100</f>
        <v>#REF!</v>
      </c>
      <c r="G89" s="208" t="e">
        <f>'1.1.'!$E$20*Sheet5!E89/100</f>
        <v>#REF!</v>
      </c>
      <c r="H89" s="208" t="e">
        <f>'1.1.'!$E$37*Sheet5!E89/100</f>
        <v>#REF!</v>
      </c>
      <c r="I89" s="208" t="e">
        <f>'1.1.'!$E$54*Sheet5!E89/100</f>
        <v>#REF!</v>
      </c>
      <c r="K89" s="195" t="e">
        <f>'1.1.'!$E$18*Sheet5!E89/100</f>
        <v>#REF!</v>
      </c>
      <c r="L89" s="195" t="e">
        <f>'1.1.'!$E$35*Sheet5!E89/100</f>
        <v>#REF!</v>
      </c>
      <c r="M89" s="195" t="e">
        <f>'1.1.'!$E$52*Sheet5!E89/100</f>
        <v>#REF!</v>
      </c>
      <c r="O89" s="195" t="e">
        <f t="shared" si="64"/>
        <v>#REF!</v>
      </c>
      <c r="P89" s="195" t="e">
        <f t="shared" si="61"/>
        <v>#REF!</v>
      </c>
      <c r="Q89" s="195" t="e">
        <f t="shared" si="62"/>
        <v>#REF!</v>
      </c>
    </row>
    <row r="90" spans="1:17" hidden="1" x14ac:dyDescent="0.2">
      <c r="A90" s="193" t="s">
        <v>102</v>
      </c>
      <c r="B90" s="193" t="s">
        <v>205</v>
      </c>
      <c r="C90" s="194" t="s">
        <v>172</v>
      </c>
      <c r="D90" s="195">
        <v>1195371.06</v>
      </c>
      <c r="E90" s="195">
        <f t="shared" si="63"/>
        <v>7.2610889475998457</v>
      </c>
      <c r="F90" s="195" t="e">
        <f>#REF!*Sheet5!E90/100</f>
        <v>#REF!</v>
      </c>
      <c r="G90" s="208" t="e">
        <f>'1.1.'!$E$20*Sheet5!E90/100</f>
        <v>#REF!</v>
      </c>
      <c r="H90" s="208" t="e">
        <f>'1.1.'!$E$37*Sheet5!E90/100</f>
        <v>#REF!</v>
      </c>
      <c r="I90" s="208" t="e">
        <f>'1.1.'!$E$54*Sheet5!E90/100</f>
        <v>#REF!</v>
      </c>
      <c r="K90" s="195" t="e">
        <f>'1.1.'!$E$18*Sheet5!E90/100</f>
        <v>#REF!</v>
      </c>
      <c r="L90" s="195" t="e">
        <f>'1.1.'!$E$35*Sheet5!E90/100</f>
        <v>#REF!</v>
      </c>
      <c r="M90" s="195" t="e">
        <f>'1.1.'!$E$52*Sheet5!E90/100</f>
        <v>#REF!</v>
      </c>
      <c r="O90" s="195" t="e">
        <f t="shared" si="64"/>
        <v>#REF!</v>
      </c>
      <c r="P90" s="195" t="e">
        <f t="shared" si="61"/>
        <v>#REF!</v>
      </c>
      <c r="Q90" s="195" t="e">
        <f t="shared" si="62"/>
        <v>#REF!</v>
      </c>
    </row>
    <row r="91" spans="1:17" hidden="1" x14ac:dyDescent="0.2">
      <c r="A91" s="193" t="s">
        <v>102</v>
      </c>
      <c r="B91" s="193" t="s">
        <v>205</v>
      </c>
      <c r="C91" s="194" t="s">
        <v>173</v>
      </c>
      <c r="D91" s="195">
        <v>1254926.53</v>
      </c>
      <c r="E91" s="195">
        <f t="shared" si="63"/>
        <v>7.6228490566208169</v>
      </c>
      <c r="F91" s="195" t="e">
        <f>#REF!*Sheet5!E91/100</f>
        <v>#REF!</v>
      </c>
      <c r="G91" s="208" t="e">
        <f>'1.1.'!$E$20*Sheet5!E91/100</f>
        <v>#REF!</v>
      </c>
      <c r="H91" s="208" t="e">
        <f>'1.1.'!$E$37*Sheet5!E91/100</f>
        <v>#REF!</v>
      </c>
      <c r="I91" s="208" t="e">
        <f>'1.1.'!$E$54*Sheet5!E91/100</f>
        <v>#REF!</v>
      </c>
      <c r="K91" s="195" t="e">
        <f>'1.1.'!$E$18*Sheet5!E91/100</f>
        <v>#REF!</v>
      </c>
      <c r="L91" s="195" t="e">
        <f>'1.1.'!$E$35*Sheet5!E91/100</f>
        <v>#REF!</v>
      </c>
      <c r="M91" s="195" t="e">
        <f>'1.1.'!$E$52*Sheet5!E91/100</f>
        <v>#REF!</v>
      </c>
      <c r="O91" s="195" t="e">
        <f t="shared" si="64"/>
        <v>#REF!</v>
      </c>
      <c r="P91" s="195" t="e">
        <f t="shared" si="61"/>
        <v>#REF!</v>
      </c>
      <c r="Q91" s="195" t="e">
        <f t="shared" si="62"/>
        <v>#REF!</v>
      </c>
    </row>
    <row r="92" spans="1:17" hidden="1" x14ac:dyDescent="0.2">
      <c r="A92" s="193" t="s">
        <v>102</v>
      </c>
      <c r="B92" s="193" t="s">
        <v>205</v>
      </c>
      <c r="C92" s="194" t="s">
        <v>174</v>
      </c>
      <c r="D92" s="195">
        <v>1385671.28</v>
      </c>
      <c r="E92" s="195">
        <f t="shared" si="63"/>
        <v>8.4170369794752524</v>
      </c>
      <c r="F92" s="195" t="e">
        <f>#REF!*Sheet5!E92/100</f>
        <v>#REF!</v>
      </c>
      <c r="G92" s="208" t="e">
        <f>'1.1.'!$E$20*Sheet5!E92/100</f>
        <v>#REF!</v>
      </c>
      <c r="H92" s="208" t="e">
        <f>'1.1.'!$E$37*Sheet5!E92/100</f>
        <v>#REF!</v>
      </c>
      <c r="I92" s="208" t="e">
        <f>'1.1.'!$E$54*Sheet5!E92/100</f>
        <v>#REF!</v>
      </c>
      <c r="J92" s="196"/>
      <c r="K92" s="195" t="e">
        <f>'1.1.'!$E$18*Sheet5!E92/100</f>
        <v>#REF!</v>
      </c>
      <c r="L92" s="195" t="e">
        <f>'1.1.'!$E$35*Sheet5!E92/100</f>
        <v>#REF!</v>
      </c>
      <c r="M92" s="195" t="e">
        <f>'1.1.'!$E$52*Sheet5!E92/100</f>
        <v>#REF!</v>
      </c>
      <c r="O92" s="195" t="e">
        <f t="shared" si="64"/>
        <v>#REF!</v>
      </c>
      <c r="P92" s="195" t="e">
        <f t="shared" si="61"/>
        <v>#REF!</v>
      </c>
      <c r="Q92" s="195" t="e">
        <f t="shared" si="62"/>
        <v>#REF!</v>
      </c>
    </row>
    <row r="93" spans="1:17" hidden="1" x14ac:dyDescent="0.2">
      <c r="A93" s="193" t="s">
        <v>102</v>
      </c>
      <c r="B93" s="193" t="s">
        <v>205</v>
      </c>
      <c r="C93" s="194" t="s">
        <v>175</v>
      </c>
      <c r="D93" s="195">
        <v>1357421.7699999998</v>
      </c>
      <c r="E93" s="195">
        <f t="shared" si="63"/>
        <v>8.2454398815531107</v>
      </c>
      <c r="F93" s="195" t="e">
        <f>#REF!*Sheet5!E93/100</f>
        <v>#REF!</v>
      </c>
      <c r="G93" s="208" t="e">
        <f>'1.1.'!$E$20*Sheet5!E93/100</f>
        <v>#REF!</v>
      </c>
      <c r="H93" s="208" t="e">
        <f>'1.1.'!$E$37*Sheet5!E93/100</f>
        <v>#REF!</v>
      </c>
      <c r="I93" s="208" t="e">
        <f>'1.1.'!$E$54*Sheet5!E93/100</f>
        <v>#REF!</v>
      </c>
      <c r="J93" s="196"/>
      <c r="K93" s="195" t="e">
        <f>'1.1.'!$E$18*Sheet5!E93/100</f>
        <v>#REF!</v>
      </c>
      <c r="L93" s="195" t="e">
        <f>'1.1.'!$E$35*Sheet5!E93/100</f>
        <v>#REF!</v>
      </c>
      <c r="M93" s="195" t="e">
        <f>'1.1.'!$E$52*Sheet5!E93/100</f>
        <v>#REF!</v>
      </c>
      <c r="O93" s="195" t="e">
        <f t="shared" si="64"/>
        <v>#REF!</v>
      </c>
      <c r="P93" s="195" t="e">
        <f t="shared" si="61"/>
        <v>#REF!</v>
      </c>
      <c r="Q93" s="195" t="e">
        <f t="shared" si="62"/>
        <v>#REF!</v>
      </c>
    </row>
    <row r="94" spans="1:17" hidden="1" x14ac:dyDescent="0.2">
      <c r="A94" s="193" t="s">
        <v>102</v>
      </c>
      <c r="B94" s="193" t="s">
        <v>205</v>
      </c>
      <c r="C94" s="194" t="s">
        <v>176</v>
      </c>
      <c r="D94" s="195">
        <v>1473223.48</v>
      </c>
      <c r="E94" s="195">
        <f t="shared" si="63"/>
        <v>8.9488587150274341</v>
      </c>
      <c r="F94" s="195" t="e">
        <f>#REF!*Sheet5!E94/100</f>
        <v>#REF!</v>
      </c>
      <c r="G94" s="208" t="e">
        <f>'1.1.'!$E$20*Sheet5!E94/100</f>
        <v>#REF!</v>
      </c>
      <c r="H94" s="208" t="e">
        <f>'1.1.'!$E$37*Sheet5!E94/100</f>
        <v>#REF!</v>
      </c>
      <c r="I94" s="208" t="e">
        <f>'1.1.'!$E$54*Sheet5!E94/100</f>
        <v>#REF!</v>
      </c>
      <c r="K94" s="195" t="e">
        <f>'1.1.'!$E$18*Sheet5!E94/100</f>
        <v>#REF!</v>
      </c>
      <c r="L94" s="195" t="e">
        <f>'1.1.'!$E$35*Sheet5!E94/100</f>
        <v>#REF!</v>
      </c>
      <c r="M94" s="195" t="e">
        <f>'1.1.'!$E$52*Sheet5!E94/100</f>
        <v>#REF!</v>
      </c>
      <c r="O94" s="195" t="e">
        <f t="shared" si="64"/>
        <v>#REF!</v>
      </c>
      <c r="P94" s="195" t="e">
        <f t="shared" si="61"/>
        <v>#REF!</v>
      </c>
      <c r="Q94" s="195" t="e">
        <f t="shared" si="62"/>
        <v>#REF!</v>
      </c>
    </row>
    <row r="95" spans="1:17" hidden="1" x14ac:dyDescent="0.2">
      <c r="A95" s="193" t="s">
        <v>102</v>
      </c>
      <c r="B95" s="193" t="s">
        <v>205</v>
      </c>
      <c r="C95" s="194" t="s">
        <v>204</v>
      </c>
      <c r="D95" s="195">
        <v>1552768.75</v>
      </c>
      <c r="E95" s="195">
        <f t="shared" si="63"/>
        <v>9.4320436440910882</v>
      </c>
      <c r="F95" s="195" t="e">
        <f>#REF!*Sheet5!E95/100</f>
        <v>#REF!</v>
      </c>
      <c r="G95" s="208" t="e">
        <f>'1.1.'!$E$20*Sheet5!E95/100</f>
        <v>#REF!</v>
      </c>
      <c r="H95" s="208" t="e">
        <f>'1.1.'!$E$37*Sheet5!E95/100</f>
        <v>#REF!</v>
      </c>
      <c r="I95" s="208" t="e">
        <f>'1.1.'!$E$54*Sheet5!E95/100</f>
        <v>#REF!</v>
      </c>
      <c r="K95" s="195" t="e">
        <f>'1.1.'!$E$18*Sheet5!E95/100</f>
        <v>#REF!</v>
      </c>
      <c r="L95" s="195" t="e">
        <f>'1.1.'!$E$35*Sheet5!E95/100</f>
        <v>#REF!</v>
      </c>
      <c r="M95" s="195" t="e">
        <f>'1.1.'!$E$52*Sheet5!E95/100</f>
        <v>#REF!</v>
      </c>
      <c r="O95" s="195" t="e">
        <f t="shared" si="64"/>
        <v>#REF!</v>
      </c>
      <c r="P95" s="195" t="e">
        <f t="shared" si="61"/>
        <v>#REF!</v>
      </c>
      <c r="Q95" s="195" t="e">
        <f t="shared" si="62"/>
        <v>#REF!</v>
      </c>
    </row>
    <row r="96" spans="1:17" s="197" customFormat="1" hidden="1" x14ac:dyDescent="0.2">
      <c r="A96" s="193" t="s">
        <v>102</v>
      </c>
      <c r="B96" s="193" t="s">
        <v>205</v>
      </c>
      <c r="C96" s="205" t="s">
        <v>182</v>
      </c>
      <c r="D96" s="206">
        <f t="shared" ref="D96:I96" si="65">SUM(D84:D95)</f>
        <v>16462696.829999998</v>
      </c>
      <c r="E96" s="206">
        <f t="shared" si="65"/>
        <v>100.00000000000003</v>
      </c>
      <c r="F96" s="206" t="e">
        <f t="shared" si="65"/>
        <v>#REF!</v>
      </c>
      <c r="G96" s="206" t="e">
        <f t="shared" si="65"/>
        <v>#REF!</v>
      </c>
      <c r="H96" s="206" t="e">
        <f t="shared" si="65"/>
        <v>#REF!</v>
      </c>
      <c r="I96" s="206" t="e">
        <f t="shared" si="65"/>
        <v>#REF!</v>
      </c>
      <c r="K96" s="206" t="e">
        <f>SUM(K84:K95)</f>
        <v>#REF!</v>
      </c>
      <c r="L96" s="206" t="e">
        <f>SUM(L84:L95)</f>
        <v>#REF!</v>
      </c>
      <c r="M96" s="206" t="e">
        <f>SUM(M84:M95)</f>
        <v>#REF!</v>
      </c>
      <c r="O96" s="206" t="e">
        <f>SUM(O84:O95)</f>
        <v>#REF!</v>
      </c>
      <c r="P96" s="206" t="e">
        <f>SUM(P84:P95)</f>
        <v>#REF!</v>
      </c>
      <c r="Q96" s="206" t="e">
        <f>SUM(Q84:Q95)</f>
        <v>#REF!</v>
      </c>
    </row>
    <row r="97" spans="1:17" hidden="1" x14ac:dyDescent="0.2">
      <c r="A97" s="193" t="s">
        <v>102</v>
      </c>
      <c r="F97" s="202"/>
      <c r="G97" s="209" t="e">
        <f>G96-'1.1.'!E17</f>
        <v>#REF!</v>
      </c>
      <c r="H97" s="209" t="e">
        <f>H96-'1.1.'!E34</f>
        <v>#REF!</v>
      </c>
      <c r="I97" s="209" t="e">
        <f>I96-'1.1.'!E51</f>
        <v>#REF!</v>
      </c>
      <c r="K97" s="202" t="e">
        <f>K96-'1.1.'!E18</f>
        <v>#REF!</v>
      </c>
      <c r="L97" s="202" t="e">
        <f>L96-'1.1.'!E35</f>
        <v>#REF!</v>
      </c>
      <c r="M97" s="202" t="e">
        <f>M96-'1.1.'!E52</f>
        <v>#REF!</v>
      </c>
      <c r="O97" s="202" t="e">
        <f>O96-'1.1.'!E19</f>
        <v>#REF!</v>
      </c>
      <c r="P97" s="202" t="e">
        <f>P96-'1.1.'!E36</f>
        <v>#REF!</v>
      </c>
      <c r="Q97" s="202" t="e">
        <f>Q96-'1.1.'!E53</f>
        <v>#REF!</v>
      </c>
    </row>
    <row r="98" spans="1:17" hidden="1" x14ac:dyDescent="0.2">
      <c r="A98" s="193" t="s">
        <v>102</v>
      </c>
      <c r="B98" s="193" t="s">
        <v>206</v>
      </c>
      <c r="C98" s="528" t="s">
        <v>179</v>
      </c>
      <c r="D98" s="528"/>
      <c r="E98" s="201"/>
      <c r="G98" s="529" t="str">
        <f>G82</f>
        <v>KOPĀ 1.risinājums C</v>
      </c>
      <c r="H98" s="529"/>
      <c r="I98" s="529"/>
      <c r="K98" s="530" t="str">
        <f>K82</f>
        <v>KOPĀ valsts budžets 1.risinājums C</v>
      </c>
      <c r="L98" s="530"/>
      <c r="M98" s="530"/>
      <c r="O98" s="530" t="str">
        <f>O82</f>
        <v>KOPĀ pašvaldību budžets 1.risinājums C</v>
      </c>
      <c r="P98" s="530"/>
      <c r="Q98" s="530"/>
    </row>
    <row r="99" spans="1:17" hidden="1" x14ac:dyDescent="0.2">
      <c r="A99" s="193" t="s">
        <v>102</v>
      </c>
      <c r="B99" s="193" t="s">
        <v>206</v>
      </c>
      <c r="C99" s="34"/>
      <c r="D99" s="198">
        <v>2019</v>
      </c>
      <c r="E99" s="198"/>
      <c r="F99" s="199" t="str">
        <f>F83</f>
        <v>2020.gads</v>
      </c>
      <c r="G99" s="207" t="str">
        <f>G83</f>
        <v>2021.gads</v>
      </c>
      <c r="H99" s="207" t="str">
        <f>H83</f>
        <v>2022.gads</v>
      </c>
      <c r="I99" s="207" t="str">
        <f>I83</f>
        <v>2023.gads</v>
      </c>
      <c r="K99" s="199" t="str">
        <f>K83</f>
        <v>2021.gads</v>
      </c>
      <c r="L99" s="199" t="str">
        <f>L83</f>
        <v>2022.gads</v>
      </c>
      <c r="M99" s="199" t="str">
        <f>M83</f>
        <v>2023.gads</v>
      </c>
      <c r="O99" s="199" t="str">
        <f>O83</f>
        <v>2021.gads</v>
      </c>
      <c r="P99" s="199" t="str">
        <f>P83</f>
        <v>2022.gads</v>
      </c>
      <c r="Q99" s="199" t="str">
        <f>Q83</f>
        <v>2023.gads</v>
      </c>
    </row>
    <row r="100" spans="1:17" hidden="1" x14ac:dyDescent="0.2">
      <c r="A100" s="193" t="s">
        <v>102</v>
      </c>
      <c r="B100" s="193" t="s">
        <v>206</v>
      </c>
      <c r="C100" s="194" t="s">
        <v>166</v>
      </c>
      <c r="D100" s="195">
        <v>1495656.14</v>
      </c>
      <c r="E100" s="195"/>
      <c r="F100" s="195">
        <f>D95</f>
        <v>1552768.75</v>
      </c>
      <c r="G100" s="208" t="e">
        <f>F95</f>
        <v>#REF!</v>
      </c>
      <c r="H100" s="208" t="e">
        <f>G95</f>
        <v>#REF!</v>
      </c>
      <c r="I100" s="208" t="e">
        <f>H95</f>
        <v>#REF!</v>
      </c>
      <c r="K100" s="195" t="e">
        <f>F95</f>
        <v>#REF!</v>
      </c>
      <c r="L100" s="195" t="e">
        <f>K95</f>
        <v>#REF!</v>
      </c>
      <c r="M100" s="195" t="e">
        <f>L95</f>
        <v>#REF!</v>
      </c>
      <c r="O100" s="195">
        <v>0</v>
      </c>
      <c r="P100" s="195" t="e">
        <f>O95</f>
        <v>#REF!</v>
      </c>
      <c r="Q100" s="195" t="e">
        <f>P95</f>
        <v>#REF!</v>
      </c>
    </row>
    <row r="101" spans="1:17" hidden="1" x14ac:dyDescent="0.2">
      <c r="A101" s="193" t="s">
        <v>102</v>
      </c>
      <c r="B101" s="193" t="s">
        <v>206</v>
      </c>
      <c r="C101" s="194" t="s">
        <v>167</v>
      </c>
      <c r="D101" s="195">
        <v>1300261.1800000002</v>
      </c>
      <c r="E101" s="195"/>
      <c r="F101" s="195" t="e">
        <f>F84</f>
        <v>#REF!</v>
      </c>
      <c r="G101" s="208" t="e">
        <f>G84</f>
        <v>#REF!</v>
      </c>
      <c r="H101" s="208" t="e">
        <f>H84</f>
        <v>#REF!</v>
      </c>
      <c r="I101" s="208" t="e">
        <f>I84</f>
        <v>#REF!</v>
      </c>
      <c r="K101" s="195" t="e">
        <f>K84</f>
        <v>#REF!</v>
      </c>
      <c r="L101" s="195" t="e">
        <f>L84</f>
        <v>#REF!</v>
      </c>
      <c r="M101" s="195" t="e">
        <f>M84</f>
        <v>#REF!</v>
      </c>
      <c r="O101" s="195" t="e">
        <f>O84</f>
        <v>#REF!</v>
      </c>
      <c r="P101" s="195" t="e">
        <f>P84</f>
        <v>#REF!</v>
      </c>
      <c r="Q101" s="195" t="e">
        <f>Q84</f>
        <v>#REF!</v>
      </c>
    </row>
    <row r="102" spans="1:17" hidden="1" x14ac:dyDescent="0.2">
      <c r="A102" s="193" t="s">
        <v>102</v>
      </c>
      <c r="B102" s="193" t="s">
        <v>206</v>
      </c>
      <c r="C102" s="194" t="s">
        <v>168</v>
      </c>
      <c r="D102" s="195">
        <v>1345922.41</v>
      </c>
      <c r="E102" s="195"/>
      <c r="F102" s="195" t="e">
        <f t="shared" ref="F102:I102" si="66">F85</f>
        <v>#REF!</v>
      </c>
      <c r="G102" s="208" t="e">
        <f t="shared" si="66"/>
        <v>#REF!</v>
      </c>
      <c r="H102" s="208" t="e">
        <f t="shared" si="66"/>
        <v>#REF!</v>
      </c>
      <c r="I102" s="208" t="e">
        <f t="shared" si="66"/>
        <v>#REF!</v>
      </c>
      <c r="K102" s="195" t="e">
        <f t="shared" ref="K102:M102" si="67">K85</f>
        <v>#REF!</v>
      </c>
      <c r="L102" s="195" t="e">
        <f t="shared" si="67"/>
        <v>#REF!</v>
      </c>
      <c r="M102" s="195" t="e">
        <f t="shared" si="67"/>
        <v>#REF!</v>
      </c>
      <c r="O102" s="195" t="e">
        <f t="shared" ref="O102:Q102" si="68">O85</f>
        <v>#REF!</v>
      </c>
      <c r="P102" s="195" t="e">
        <f t="shared" si="68"/>
        <v>#REF!</v>
      </c>
      <c r="Q102" s="195" t="e">
        <f t="shared" si="68"/>
        <v>#REF!</v>
      </c>
    </row>
    <row r="103" spans="1:17" hidden="1" x14ac:dyDescent="0.2">
      <c r="A103" s="193" t="s">
        <v>102</v>
      </c>
      <c r="B103" s="193" t="s">
        <v>206</v>
      </c>
      <c r="C103" s="194" t="s">
        <v>169</v>
      </c>
      <c r="D103" s="195">
        <v>1359789.78</v>
      </c>
      <c r="E103" s="195"/>
      <c r="F103" s="195" t="e">
        <f t="shared" ref="F103:I103" si="69">F86</f>
        <v>#REF!</v>
      </c>
      <c r="G103" s="208" t="e">
        <f t="shared" si="69"/>
        <v>#REF!</v>
      </c>
      <c r="H103" s="208" t="e">
        <f t="shared" si="69"/>
        <v>#REF!</v>
      </c>
      <c r="I103" s="208" t="e">
        <f t="shared" si="69"/>
        <v>#REF!</v>
      </c>
      <c r="K103" s="195" t="e">
        <f t="shared" ref="K103:M103" si="70">K86</f>
        <v>#REF!</v>
      </c>
      <c r="L103" s="195" t="e">
        <f t="shared" si="70"/>
        <v>#REF!</v>
      </c>
      <c r="M103" s="195" t="e">
        <f t="shared" si="70"/>
        <v>#REF!</v>
      </c>
      <c r="O103" s="195" t="e">
        <f t="shared" ref="O103:Q103" si="71">O86</f>
        <v>#REF!</v>
      </c>
      <c r="P103" s="195" t="e">
        <f t="shared" si="71"/>
        <v>#REF!</v>
      </c>
      <c r="Q103" s="195" t="e">
        <f t="shared" si="71"/>
        <v>#REF!</v>
      </c>
    </row>
    <row r="104" spans="1:17" hidden="1" x14ac:dyDescent="0.2">
      <c r="A104" s="193" t="s">
        <v>102</v>
      </c>
      <c r="B104" s="193" t="s">
        <v>206</v>
      </c>
      <c r="C104" s="194" t="s">
        <v>170</v>
      </c>
      <c r="D104" s="195">
        <v>1455300.79</v>
      </c>
      <c r="E104" s="195"/>
      <c r="F104" s="195" t="e">
        <f t="shared" ref="F104:I104" si="72">F87</f>
        <v>#REF!</v>
      </c>
      <c r="G104" s="208" t="e">
        <f t="shared" si="72"/>
        <v>#REF!</v>
      </c>
      <c r="H104" s="208" t="e">
        <f t="shared" si="72"/>
        <v>#REF!</v>
      </c>
      <c r="I104" s="208" t="e">
        <f t="shared" si="72"/>
        <v>#REF!</v>
      </c>
      <c r="K104" s="195" t="e">
        <f t="shared" ref="K104:M104" si="73">K87</f>
        <v>#REF!</v>
      </c>
      <c r="L104" s="195" t="e">
        <f t="shared" si="73"/>
        <v>#REF!</v>
      </c>
      <c r="M104" s="195" t="e">
        <f t="shared" si="73"/>
        <v>#REF!</v>
      </c>
      <c r="O104" s="195" t="e">
        <f t="shared" ref="O104:Q104" si="74">O87</f>
        <v>#REF!</v>
      </c>
      <c r="P104" s="195" t="e">
        <f t="shared" si="74"/>
        <v>#REF!</v>
      </c>
      <c r="Q104" s="195" t="e">
        <f t="shared" si="74"/>
        <v>#REF!</v>
      </c>
    </row>
    <row r="105" spans="1:17" hidden="1" x14ac:dyDescent="0.2">
      <c r="A105" s="193" t="s">
        <v>102</v>
      </c>
      <c r="B105" s="193" t="s">
        <v>206</v>
      </c>
      <c r="C105" s="194" t="s">
        <v>171</v>
      </c>
      <c r="D105" s="195">
        <v>1424578.2500000002</v>
      </c>
      <c r="E105" s="195"/>
      <c r="F105" s="195" t="e">
        <f t="shared" ref="F105:I105" si="75">F88</f>
        <v>#REF!</v>
      </c>
      <c r="G105" s="208" t="e">
        <f t="shared" si="75"/>
        <v>#REF!</v>
      </c>
      <c r="H105" s="208" t="e">
        <f t="shared" si="75"/>
        <v>#REF!</v>
      </c>
      <c r="I105" s="208" t="e">
        <f t="shared" si="75"/>
        <v>#REF!</v>
      </c>
      <c r="K105" s="195" t="e">
        <f t="shared" ref="K105:M105" si="76">K88</f>
        <v>#REF!</v>
      </c>
      <c r="L105" s="195" t="e">
        <f t="shared" si="76"/>
        <v>#REF!</v>
      </c>
      <c r="M105" s="195" t="e">
        <f t="shared" si="76"/>
        <v>#REF!</v>
      </c>
      <c r="O105" s="195" t="e">
        <f t="shared" ref="O105:Q105" si="77">O88</f>
        <v>#REF!</v>
      </c>
      <c r="P105" s="195" t="e">
        <f t="shared" si="77"/>
        <v>#REF!</v>
      </c>
      <c r="Q105" s="195" t="e">
        <f t="shared" si="77"/>
        <v>#REF!</v>
      </c>
    </row>
    <row r="106" spans="1:17" hidden="1" x14ac:dyDescent="0.2">
      <c r="A106" s="193" t="s">
        <v>102</v>
      </c>
      <c r="B106" s="193" t="s">
        <v>206</v>
      </c>
      <c r="C106" s="194" t="s">
        <v>172</v>
      </c>
      <c r="D106" s="195">
        <v>1357461.55</v>
      </c>
      <c r="E106" s="195"/>
      <c r="F106" s="195" t="e">
        <f t="shared" ref="F106:I106" si="78">F89</f>
        <v>#REF!</v>
      </c>
      <c r="G106" s="208" t="e">
        <f t="shared" si="78"/>
        <v>#REF!</v>
      </c>
      <c r="H106" s="208" t="e">
        <f t="shared" si="78"/>
        <v>#REF!</v>
      </c>
      <c r="I106" s="208" t="e">
        <f t="shared" si="78"/>
        <v>#REF!</v>
      </c>
      <c r="K106" s="195" t="e">
        <f t="shared" ref="K106:M106" si="79">K89</f>
        <v>#REF!</v>
      </c>
      <c r="L106" s="195" t="e">
        <f t="shared" si="79"/>
        <v>#REF!</v>
      </c>
      <c r="M106" s="195" t="e">
        <f t="shared" si="79"/>
        <v>#REF!</v>
      </c>
      <c r="O106" s="195" t="e">
        <f t="shared" ref="O106:Q106" si="80">O89</f>
        <v>#REF!</v>
      </c>
      <c r="P106" s="195" t="e">
        <f t="shared" si="80"/>
        <v>#REF!</v>
      </c>
      <c r="Q106" s="195" t="e">
        <f t="shared" si="80"/>
        <v>#REF!</v>
      </c>
    </row>
    <row r="107" spans="1:17" hidden="1" x14ac:dyDescent="0.2">
      <c r="A107" s="193" t="s">
        <v>102</v>
      </c>
      <c r="B107" s="193" t="s">
        <v>206</v>
      </c>
      <c r="C107" s="194" t="s">
        <v>173</v>
      </c>
      <c r="D107" s="195">
        <v>1195371.06</v>
      </c>
      <c r="E107" s="195"/>
      <c r="F107" s="195" t="e">
        <f t="shared" ref="F107:I107" si="81">F90</f>
        <v>#REF!</v>
      </c>
      <c r="G107" s="208" t="e">
        <f t="shared" si="81"/>
        <v>#REF!</v>
      </c>
      <c r="H107" s="208" t="e">
        <f t="shared" si="81"/>
        <v>#REF!</v>
      </c>
      <c r="I107" s="208" t="e">
        <f t="shared" si="81"/>
        <v>#REF!</v>
      </c>
      <c r="K107" s="195" t="e">
        <f t="shared" ref="K107:M107" si="82">K90</f>
        <v>#REF!</v>
      </c>
      <c r="L107" s="195" t="e">
        <f t="shared" si="82"/>
        <v>#REF!</v>
      </c>
      <c r="M107" s="195" t="e">
        <f t="shared" si="82"/>
        <v>#REF!</v>
      </c>
      <c r="O107" s="195" t="e">
        <f t="shared" ref="O107:Q107" si="83">O90</f>
        <v>#REF!</v>
      </c>
      <c r="P107" s="195" t="e">
        <f t="shared" si="83"/>
        <v>#REF!</v>
      </c>
      <c r="Q107" s="195" t="e">
        <f t="shared" si="83"/>
        <v>#REF!</v>
      </c>
    </row>
    <row r="108" spans="1:17" hidden="1" x14ac:dyDescent="0.2">
      <c r="A108" s="193" t="s">
        <v>102</v>
      </c>
      <c r="B108" s="193" t="s">
        <v>206</v>
      </c>
      <c r="C108" s="194" t="s">
        <v>174</v>
      </c>
      <c r="D108" s="195">
        <v>1254926.53</v>
      </c>
      <c r="E108" s="195"/>
      <c r="F108" s="195" t="e">
        <f t="shared" ref="F108:I108" si="84">F91</f>
        <v>#REF!</v>
      </c>
      <c r="G108" s="208" t="e">
        <f t="shared" si="84"/>
        <v>#REF!</v>
      </c>
      <c r="H108" s="208" t="e">
        <f t="shared" si="84"/>
        <v>#REF!</v>
      </c>
      <c r="I108" s="208" t="e">
        <f t="shared" si="84"/>
        <v>#REF!</v>
      </c>
      <c r="K108" s="195" t="e">
        <f t="shared" ref="K108:M108" si="85">K91</f>
        <v>#REF!</v>
      </c>
      <c r="L108" s="195" t="e">
        <f t="shared" si="85"/>
        <v>#REF!</v>
      </c>
      <c r="M108" s="195" t="e">
        <f t="shared" si="85"/>
        <v>#REF!</v>
      </c>
      <c r="O108" s="195" t="e">
        <f t="shared" ref="O108:Q108" si="86">O91</f>
        <v>#REF!</v>
      </c>
      <c r="P108" s="195" t="e">
        <f t="shared" si="86"/>
        <v>#REF!</v>
      </c>
      <c r="Q108" s="195" t="e">
        <f t="shared" si="86"/>
        <v>#REF!</v>
      </c>
    </row>
    <row r="109" spans="1:17" hidden="1" x14ac:dyDescent="0.2">
      <c r="A109" s="193" t="s">
        <v>102</v>
      </c>
      <c r="B109" s="193" t="s">
        <v>206</v>
      </c>
      <c r="C109" s="194" t="s">
        <v>175</v>
      </c>
      <c r="D109" s="195">
        <v>1385671.28</v>
      </c>
      <c r="E109" s="195"/>
      <c r="F109" s="195" t="e">
        <f t="shared" ref="F109:I109" si="87">F92</f>
        <v>#REF!</v>
      </c>
      <c r="G109" s="208" t="e">
        <f t="shared" si="87"/>
        <v>#REF!</v>
      </c>
      <c r="H109" s="208" t="e">
        <f t="shared" si="87"/>
        <v>#REF!</v>
      </c>
      <c r="I109" s="208" t="e">
        <f t="shared" si="87"/>
        <v>#REF!</v>
      </c>
      <c r="K109" s="195" t="e">
        <f t="shared" ref="K109:M109" si="88">K92</f>
        <v>#REF!</v>
      </c>
      <c r="L109" s="195" t="e">
        <f t="shared" si="88"/>
        <v>#REF!</v>
      </c>
      <c r="M109" s="195" t="e">
        <f t="shared" si="88"/>
        <v>#REF!</v>
      </c>
      <c r="O109" s="195" t="e">
        <f t="shared" ref="O109:Q109" si="89">O92</f>
        <v>#REF!</v>
      </c>
      <c r="P109" s="195" t="e">
        <f t="shared" si="89"/>
        <v>#REF!</v>
      </c>
      <c r="Q109" s="195" t="e">
        <f t="shared" si="89"/>
        <v>#REF!</v>
      </c>
    </row>
    <row r="110" spans="1:17" hidden="1" x14ac:dyDescent="0.2">
      <c r="A110" s="193" t="s">
        <v>102</v>
      </c>
      <c r="B110" s="193" t="s">
        <v>206</v>
      </c>
      <c r="C110" s="194" t="s">
        <v>176</v>
      </c>
      <c r="D110" s="195">
        <v>1357421.7699999998</v>
      </c>
      <c r="E110" s="195"/>
      <c r="F110" s="195" t="e">
        <f t="shared" ref="F110:I110" si="90">F93</f>
        <v>#REF!</v>
      </c>
      <c r="G110" s="208" t="e">
        <f t="shared" si="90"/>
        <v>#REF!</v>
      </c>
      <c r="H110" s="208" t="e">
        <f t="shared" si="90"/>
        <v>#REF!</v>
      </c>
      <c r="I110" s="208" t="e">
        <f t="shared" si="90"/>
        <v>#REF!</v>
      </c>
      <c r="K110" s="195" t="e">
        <f t="shared" ref="K110:M110" si="91">K93</f>
        <v>#REF!</v>
      </c>
      <c r="L110" s="195" t="e">
        <f t="shared" si="91"/>
        <v>#REF!</v>
      </c>
      <c r="M110" s="195" t="e">
        <f t="shared" si="91"/>
        <v>#REF!</v>
      </c>
      <c r="O110" s="195" t="e">
        <f t="shared" ref="O110:Q110" si="92">O93</f>
        <v>#REF!</v>
      </c>
      <c r="P110" s="195" t="e">
        <f t="shared" si="92"/>
        <v>#REF!</v>
      </c>
      <c r="Q110" s="195" t="e">
        <f t="shared" si="92"/>
        <v>#REF!</v>
      </c>
    </row>
    <row r="111" spans="1:17" hidden="1" x14ac:dyDescent="0.2">
      <c r="A111" s="193" t="s">
        <v>102</v>
      </c>
      <c r="B111" s="193" t="s">
        <v>206</v>
      </c>
      <c r="C111" s="194" t="s">
        <v>177</v>
      </c>
      <c r="D111" s="195">
        <v>1473223.48</v>
      </c>
      <c r="E111" s="195"/>
      <c r="F111" s="195" t="e">
        <f>F94</f>
        <v>#REF!</v>
      </c>
      <c r="G111" s="208" t="e">
        <f>G94</f>
        <v>#REF!</v>
      </c>
      <c r="H111" s="208" t="e">
        <f>H94</f>
        <v>#REF!</v>
      </c>
      <c r="I111" s="208" t="e">
        <f>I94</f>
        <v>#REF!</v>
      </c>
      <c r="K111" s="195" t="e">
        <f>K94</f>
        <v>#REF!</v>
      </c>
      <c r="L111" s="195" t="e">
        <f>L94</f>
        <v>#REF!</v>
      </c>
      <c r="M111" s="195" t="e">
        <f>M94</f>
        <v>#REF!</v>
      </c>
      <c r="O111" s="195" t="e">
        <f>O94</f>
        <v>#REF!</v>
      </c>
      <c r="P111" s="195" t="e">
        <f>P94</f>
        <v>#REF!</v>
      </c>
      <c r="Q111" s="195" t="e">
        <f>Q94</f>
        <v>#REF!</v>
      </c>
    </row>
    <row r="112" spans="1:17" hidden="1" x14ac:dyDescent="0.2">
      <c r="A112" s="193" t="s">
        <v>102</v>
      </c>
      <c r="B112" s="193" t="s">
        <v>206</v>
      </c>
      <c r="C112" s="205" t="s">
        <v>183</v>
      </c>
      <c r="D112" s="206">
        <f>SUM(D100:D111)</f>
        <v>16405584.220000001</v>
      </c>
      <c r="E112" s="206"/>
      <c r="F112" s="206" t="e">
        <f>SUM(F100:F111)</f>
        <v>#REF!</v>
      </c>
      <c r="G112" s="206" t="e">
        <f>SUM(G100:G111)</f>
        <v>#REF!</v>
      </c>
      <c r="H112" s="206" t="e">
        <f>SUM(H100:H111)</f>
        <v>#REF!</v>
      </c>
      <c r="I112" s="206" t="e">
        <f>SUM(I100:I111)</f>
        <v>#REF!</v>
      </c>
      <c r="K112" s="206" t="e">
        <f>SUM(K100:K111)</f>
        <v>#REF!</v>
      </c>
      <c r="L112" s="206" t="e">
        <f>SUM(L100:L111)</f>
        <v>#REF!</v>
      </c>
      <c r="M112" s="206" t="e">
        <f>SUM(M100:M111)</f>
        <v>#REF!</v>
      </c>
      <c r="O112" s="206" t="e">
        <f>SUM(O100:O111)</f>
        <v>#REF!</v>
      </c>
      <c r="P112" s="206" t="e">
        <f>SUM(P100:P111)</f>
        <v>#REF!</v>
      </c>
      <c r="Q112" s="206" t="e">
        <f>SUM(Q100:Q111)</f>
        <v>#REF!</v>
      </c>
    </row>
    <row r="113" spans="1:17" hidden="1" x14ac:dyDescent="0.2">
      <c r="A113" s="193" t="s">
        <v>102</v>
      </c>
      <c r="B113" s="193" t="s">
        <v>206</v>
      </c>
      <c r="C113" s="203"/>
      <c r="D113" s="203"/>
      <c r="E113" s="203"/>
      <c r="F113" s="203"/>
      <c r="G113" s="203"/>
      <c r="H113" s="203"/>
      <c r="I113" s="203"/>
      <c r="J113" s="203"/>
      <c r="K113" s="196"/>
      <c r="L113" s="196"/>
      <c r="M113" s="196"/>
    </row>
    <row r="114" spans="1:17" hidden="1" x14ac:dyDescent="0.2">
      <c r="A114" s="193" t="s">
        <v>102</v>
      </c>
      <c r="B114" s="193" t="s">
        <v>206</v>
      </c>
      <c r="C114" s="526" t="s">
        <v>193</v>
      </c>
      <c r="D114" s="526"/>
      <c r="E114" s="526"/>
      <c r="F114" s="526"/>
      <c r="G114" s="212">
        <f>K114+O114</f>
        <v>17616217</v>
      </c>
      <c r="H114" s="212">
        <f t="shared" ref="H114:H115" si="93">L114+P114</f>
        <v>17616217</v>
      </c>
      <c r="I114" s="212">
        <f t="shared" ref="I114:I115" si="94">M114+Q114</f>
        <v>17616217</v>
      </c>
      <c r="J114" s="213"/>
      <c r="K114" s="214">
        <v>17616217</v>
      </c>
      <c r="L114" s="214">
        <v>17616217</v>
      </c>
      <c r="M114" s="214">
        <v>17616217</v>
      </c>
      <c r="N114" s="197"/>
      <c r="O114" s="197">
        <v>0</v>
      </c>
      <c r="P114" s="197">
        <v>0</v>
      </c>
      <c r="Q114" s="197">
        <v>0</v>
      </c>
    </row>
    <row r="115" spans="1:17" hidden="1" x14ac:dyDescent="0.2">
      <c r="A115" s="193" t="s">
        <v>102</v>
      </c>
      <c r="B115" s="193" t="s">
        <v>206</v>
      </c>
      <c r="C115" s="526" t="s">
        <v>222</v>
      </c>
      <c r="D115" s="526"/>
      <c r="E115" s="526"/>
      <c r="F115" s="526"/>
      <c r="G115" s="212">
        <f>K115+O115</f>
        <v>0</v>
      </c>
      <c r="H115" s="212">
        <f t="shared" si="93"/>
        <v>0</v>
      </c>
      <c r="I115" s="212">
        <f t="shared" si="94"/>
        <v>0</v>
      </c>
      <c r="J115" s="213"/>
      <c r="K115" s="214">
        <v>0</v>
      </c>
      <c r="L115" s="214">
        <v>0</v>
      </c>
      <c r="M115" s="214">
        <v>0</v>
      </c>
      <c r="N115" s="197"/>
      <c r="O115" s="197">
        <v>0</v>
      </c>
      <c r="P115" s="197">
        <v>0</v>
      </c>
      <c r="Q115" s="197">
        <v>0</v>
      </c>
    </row>
    <row r="116" spans="1:17" hidden="1" x14ac:dyDescent="0.2">
      <c r="A116" s="193" t="s">
        <v>102</v>
      </c>
      <c r="B116" s="193" t="s">
        <v>206</v>
      </c>
      <c r="C116" s="224"/>
      <c r="D116" s="224"/>
      <c r="E116" s="224"/>
      <c r="F116" s="224"/>
      <c r="G116" s="226"/>
      <c r="H116" s="226"/>
      <c r="I116" s="226"/>
      <c r="J116" s="226"/>
      <c r="K116" s="226"/>
      <c r="L116" s="226"/>
      <c r="M116" s="226"/>
      <c r="N116" s="226"/>
      <c r="O116" s="226"/>
      <c r="P116" s="226"/>
      <c r="Q116" s="226"/>
    </row>
    <row r="117" spans="1:17" ht="14.45" hidden="1" customHeight="1" x14ac:dyDescent="0.2">
      <c r="A117" s="193" t="s">
        <v>102</v>
      </c>
      <c r="B117" s="193" t="s">
        <v>206</v>
      </c>
      <c r="C117" s="527" t="s">
        <v>194</v>
      </c>
      <c r="D117" s="527"/>
      <c r="E117" s="527"/>
      <c r="F117" s="527"/>
      <c r="G117" s="211" t="e">
        <f>G112-G114+G115</f>
        <v>#REF!</v>
      </c>
      <c r="H117" s="211" t="e">
        <f>H112-H114+H115</f>
        <v>#REF!</v>
      </c>
      <c r="I117" s="211" t="e">
        <f>I112-I114+I115</f>
        <v>#REF!</v>
      </c>
      <c r="J117" s="211"/>
      <c r="K117" s="211" t="e">
        <f>K112-K114+K115</f>
        <v>#REF!</v>
      </c>
      <c r="L117" s="211" t="e">
        <f>L112-L114+L115</f>
        <v>#REF!</v>
      </c>
      <c r="M117" s="211" t="e">
        <f>M112-M114+M115</f>
        <v>#REF!</v>
      </c>
      <c r="N117" s="211"/>
      <c r="O117" s="211" t="e">
        <f>O112-O114+O115</f>
        <v>#REF!</v>
      </c>
      <c r="P117" s="211" t="e">
        <f>P112-P114+P115</f>
        <v>#REF!</v>
      </c>
      <c r="Q117" s="211" t="e">
        <f>Q112-Q114+Q115</f>
        <v>#REF!</v>
      </c>
    </row>
    <row r="118" spans="1:17" hidden="1" x14ac:dyDescent="0.2"/>
    <row r="119" spans="1:17" hidden="1" x14ac:dyDescent="0.2">
      <c r="A119" s="193" t="s">
        <v>90</v>
      </c>
      <c r="C119" s="204" t="s">
        <v>90</v>
      </c>
    </row>
    <row r="120" spans="1:17" hidden="1" x14ac:dyDescent="0.2">
      <c r="A120" s="193" t="s">
        <v>90</v>
      </c>
      <c r="B120" s="193" t="s">
        <v>205</v>
      </c>
      <c r="C120" s="528" t="s">
        <v>180</v>
      </c>
      <c r="D120" s="528"/>
      <c r="E120" s="200"/>
      <c r="G120" s="529" t="s">
        <v>195</v>
      </c>
      <c r="H120" s="529"/>
      <c r="I120" s="529"/>
      <c r="K120" s="530" t="s">
        <v>196</v>
      </c>
      <c r="L120" s="530"/>
      <c r="M120" s="530"/>
      <c r="O120" s="530" t="s">
        <v>197</v>
      </c>
      <c r="P120" s="530"/>
      <c r="Q120" s="530"/>
    </row>
    <row r="121" spans="1:17" s="33" customFormat="1" hidden="1" x14ac:dyDescent="0.2">
      <c r="A121" s="193" t="s">
        <v>90</v>
      </c>
      <c r="B121" s="193" t="s">
        <v>205</v>
      </c>
      <c r="C121" s="34"/>
      <c r="D121" s="199" t="s">
        <v>178</v>
      </c>
      <c r="E121" s="199"/>
      <c r="F121" s="199" t="s">
        <v>86</v>
      </c>
      <c r="G121" s="207" t="s">
        <v>41</v>
      </c>
      <c r="H121" s="207" t="s">
        <v>44</v>
      </c>
      <c r="I121" s="207" t="s">
        <v>72</v>
      </c>
      <c r="K121" s="199" t="s">
        <v>41</v>
      </c>
      <c r="L121" s="199" t="s">
        <v>44</v>
      </c>
      <c r="M121" s="199" t="s">
        <v>72</v>
      </c>
      <c r="O121" s="199" t="s">
        <v>41</v>
      </c>
      <c r="P121" s="199" t="s">
        <v>44</v>
      </c>
      <c r="Q121" s="199" t="s">
        <v>72</v>
      </c>
    </row>
    <row r="122" spans="1:17" hidden="1" x14ac:dyDescent="0.2">
      <c r="A122" s="193" t="s">
        <v>90</v>
      </c>
      <c r="B122" s="193" t="s">
        <v>205</v>
      </c>
      <c r="C122" s="194" t="s">
        <v>166</v>
      </c>
      <c r="D122" s="195">
        <v>1300261.1800000002</v>
      </c>
      <c r="E122" s="195">
        <f>D122*100/$D$20</f>
        <v>7.8982270853128522</v>
      </c>
      <c r="F122" s="195" t="e">
        <f>#REF!*Sheet5!E122/100</f>
        <v>#REF!</v>
      </c>
      <c r="G122" s="208" t="e">
        <f>'1.1.'!$F$20*Sheet5!E122/100</f>
        <v>#REF!</v>
      </c>
      <c r="H122" s="208" t="e">
        <f>'1.1.'!$F$37*Sheet5!E122/100</f>
        <v>#REF!</v>
      </c>
      <c r="I122" s="208" t="e">
        <f>'1.1.'!$F$54*Sheet5!E122/100</f>
        <v>#REF!</v>
      </c>
      <c r="K122" s="195" t="e">
        <f>'1.1.'!$F$18*Sheet5!E122/100</f>
        <v>#REF!</v>
      </c>
      <c r="L122" s="195" t="e">
        <f>'1.1.'!$F$35*Sheet5!E122/100</f>
        <v>#REF!</v>
      </c>
      <c r="M122" s="195" t="e">
        <f>'1.1.'!$F$52*Sheet5!E122/100</f>
        <v>#REF!</v>
      </c>
      <c r="O122" s="195" t="e">
        <f>G122-K122</f>
        <v>#REF!</v>
      </c>
      <c r="P122" s="195" t="e">
        <f t="shared" ref="P122:P133" si="95">H122-L122</f>
        <v>#REF!</v>
      </c>
      <c r="Q122" s="195" t="e">
        <f t="shared" ref="Q122:Q133" si="96">I122-M122</f>
        <v>#REF!</v>
      </c>
    </row>
    <row r="123" spans="1:17" hidden="1" x14ac:dyDescent="0.2">
      <c r="A123" s="193" t="s">
        <v>90</v>
      </c>
      <c r="B123" s="193" t="s">
        <v>205</v>
      </c>
      <c r="C123" s="194" t="s">
        <v>167</v>
      </c>
      <c r="D123" s="195">
        <v>1345922.41</v>
      </c>
      <c r="E123" s="195">
        <f t="shared" ref="E123:E133" si="97">D123*100/$D$20</f>
        <v>8.1755888716077401</v>
      </c>
      <c r="F123" s="195" t="e">
        <f>#REF!*Sheet5!E123/100</f>
        <v>#REF!</v>
      </c>
      <c r="G123" s="208" t="e">
        <f>'1.1.'!$F$20*Sheet5!E123/100</f>
        <v>#REF!</v>
      </c>
      <c r="H123" s="208" t="e">
        <f>'1.1.'!$F$37*Sheet5!E123/100</f>
        <v>#REF!</v>
      </c>
      <c r="I123" s="208" t="e">
        <f>'1.1.'!$F$54*Sheet5!E123/100</f>
        <v>#REF!</v>
      </c>
      <c r="K123" s="195" t="e">
        <f>'1.1.'!$F$18*Sheet5!E123/100</f>
        <v>#REF!</v>
      </c>
      <c r="L123" s="195" t="e">
        <f>'1.1.'!$F$35*Sheet5!E123/100</f>
        <v>#REF!</v>
      </c>
      <c r="M123" s="195" t="e">
        <f>'1.1.'!$F$52*Sheet5!E123/100</f>
        <v>#REF!</v>
      </c>
      <c r="O123" s="195" t="e">
        <f t="shared" ref="O123:O133" si="98">G123-K123</f>
        <v>#REF!</v>
      </c>
      <c r="P123" s="195" t="e">
        <f t="shared" si="95"/>
        <v>#REF!</v>
      </c>
      <c r="Q123" s="195" t="e">
        <f t="shared" si="96"/>
        <v>#REF!</v>
      </c>
    </row>
    <row r="124" spans="1:17" hidden="1" x14ac:dyDescent="0.2">
      <c r="A124" s="193" t="s">
        <v>90</v>
      </c>
      <c r="B124" s="193" t="s">
        <v>205</v>
      </c>
      <c r="C124" s="194" t="s">
        <v>168</v>
      </c>
      <c r="D124" s="195">
        <v>1359789.78</v>
      </c>
      <c r="E124" s="195">
        <f t="shared" si="97"/>
        <v>8.2598239768471764</v>
      </c>
      <c r="F124" s="195" t="e">
        <f>#REF!*Sheet5!E124/100</f>
        <v>#REF!</v>
      </c>
      <c r="G124" s="208" t="e">
        <f>'1.1.'!$F$20*Sheet5!E124/100</f>
        <v>#REF!</v>
      </c>
      <c r="H124" s="208" t="e">
        <f>'1.1.'!$F$37*Sheet5!E124/100</f>
        <v>#REF!</v>
      </c>
      <c r="I124" s="208" t="e">
        <f>'1.1.'!$F$54*Sheet5!E124/100</f>
        <v>#REF!</v>
      </c>
      <c r="K124" s="195" t="e">
        <f>'1.1.'!$F$18*Sheet5!E124/100</f>
        <v>#REF!</v>
      </c>
      <c r="L124" s="195" t="e">
        <f>'1.1.'!$F$35*Sheet5!E124/100</f>
        <v>#REF!</v>
      </c>
      <c r="M124" s="195" t="e">
        <f>'1.1.'!$F$52*Sheet5!E124/100</f>
        <v>#REF!</v>
      </c>
      <c r="O124" s="195" t="e">
        <f t="shared" si="98"/>
        <v>#REF!</v>
      </c>
      <c r="P124" s="195" t="e">
        <f t="shared" si="95"/>
        <v>#REF!</v>
      </c>
      <c r="Q124" s="195" t="e">
        <f t="shared" si="96"/>
        <v>#REF!</v>
      </c>
    </row>
    <row r="125" spans="1:17" hidden="1" x14ac:dyDescent="0.2">
      <c r="A125" s="193" t="s">
        <v>90</v>
      </c>
      <c r="B125" s="193" t="s">
        <v>205</v>
      </c>
      <c r="C125" s="194" t="s">
        <v>169</v>
      </c>
      <c r="D125" s="195">
        <v>1455300.79</v>
      </c>
      <c r="E125" s="195">
        <f t="shared" si="97"/>
        <v>8.8399902216992974</v>
      </c>
      <c r="F125" s="195" t="e">
        <f>#REF!*Sheet5!E125/100</f>
        <v>#REF!</v>
      </c>
      <c r="G125" s="208" t="e">
        <f>'1.1.'!$F$20*Sheet5!E125/100</f>
        <v>#REF!</v>
      </c>
      <c r="H125" s="208" t="e">
        <f>'1.1.'!$F$37*Sheet5!E125/100</f>
        <v>#REF!</v>
      </c>
      <c r="I125" s="208" t="e">
        <f>'1.1.'!$F$54*Sheet5!E125/100</f>
        <v>#REF!</v>
      </c>
      <c r="K125" s="195" t="e">
        <f>'1.1.'!$F$18*Sheet5!E125/100</f>
        <v>#REF!</v>
      </c>
      <c r="L125" s="195" t="e">
        <f>'1.1.'!$F$35*Sheet5!E125/100</f>
        <v>#REF!</v>
      </c>
      <c r="M125" s="195" t="e">
        <f>'1.1.'!$F$52*Sheet5!E125/100</f>
        <v>#REF!</v>
      </c>
      <c r="O125" s="195" t="e">
        <f t="shared" si="98"/>
        <v>#REF!</v>
      </c>
      <c r="P125" s="195" t="e">
        <f t="shared" si="95"/>
        <v>#REF!</v>
      </c>
      <c r="Q125" s="195" t="e">
        <f t="shared" si="96"/>
        <v>#REF!</v>
      </c>
    </row>
    <row r="126" spans="1:17" hidden="1" x14ac:dyDescent="0.2">
      <c r="A126" s="193" t="s">
        <v>90</v>
      </c>
      <c r="B126" s="193" t="s">
        <v>205</v>
      </c>
      <c r="C126" s="194" t="s">
        <v>170</v>
      </c>
      <c r="D126" s="195">
        <v>1424578.2500000002</v>
      </c>
      <c r="E126" s="195">
        <f t="shared" si="97"/>
        <v>8.6533711014102455</v>
      </c>
      <c r="F126" s="195" t="e">
        <f>#REF!*Sheet5!E126/100</f>
        <v>#REF!</v>
      </c>
      <c r="G126" s="208" t="e">
        <f>'1.1.'!$F$20*Sheet5!E126/100</f>
        <v>#REF!</v>
      </c>
      <c r="H126" s="208" t="e">
        <f>'1.1.'!$F$37*Sheet5!E126/100</f>
        <v>#REF!</v>
      </c>
      <c r="I126" s="208" t="e">
        <f>'1.1.'!$F$54*Sheet5!E126/100</f>
        <v>#REF!</v>
      </c>
      <c r="K126" s="195" t="e">
        <f>'1.1.'!$F$18*Sheet5!E126/100</f>
        <v>#REF!</v>
      </c>
      <c r="L126" s="195" t="e">
        <f>'1.1.'!$F$35*Sheet5!E126/100</f>
        <v>#REF!</v>
      </c>
      <c r="M126" s="195" t="e">
        <f>'1.1.'!$F$52*Sheet5!E126/100</f>
        <v>#REF!</v>
      </c>
      <c r="O126" s="195" t="e">
        <f t="shared" si="98"/>
        <v>#REF!</v>
      </c>
      <c r="P126" s="195" t="e">
        <f t="shared" si="95"/>
        <v>#REF!</v>
      </c>
      <c r="Q126" s="195" t="e">
        <f t="shared" si="96"/>
        <v>#REF!</v>
      </c>
    </row>
    <row r="127" spans="1:17" hidden="1" x14ac:dyDescent="0.2">
      <c r="A127" s="193" t="s">
        <v>90</v>
      </c>
      <c r="B127" s="193" t="s">
        <v>205</v>
      </c>
      <c r="C127" s="194" t="s">
        <v>171</v>
      </c>
      <c r="D127" s="195">
        <v>1357461.55</v>
      </c>
      <c r="E127" s="195">
        <f t="shared" si="97"/>
        <v>8.245681518755152</v>
      </c>
      <c r="F127" s="195" t="e">
        <f>#REF!*Sheet5!E127/100</f>
        <v>#REF!</v>
      </c>
      <c r="G127" s="208" t="e">
        <f>'1.1.'!$F$20*Sheet5!E127/100</f>
        <v>#REF!</v>
      </c>
      <c r="H127" s="208" t="e">
        <f>'1.1.'!$F$37*Sheet5!E127/100</f>
        <v>#REF!</v>
      </c>
      <c r="I127" s="208" t="e">
        <f>'1.1.'!$F$54*Sheet5!E127/100</f>
        <v>#REF!</v>
      </c>
      <c r="K127" s="195" t="e">
        <f>'1.1.'!$F$18*Sheet5!E127/100</f>
        <v>#REF!</v>
      </c>
      <c r="L127" s="195" t="e">
        <f>'1.1.'!$F$35*Sheet5!E127/100</f>
        <v>#REF!</v>
      </c>
      <c r="M127" s="195" t="e">
        <f>'1.1.'!$F$52*Sheet5!E127/100</f>
        <v>#REF!</v>
      </c>
      <c r="O127" s="195" t="e">
        <f t="shared" si="98"/>
        <v>#REF!</v>
      </c>
      <c r="P127" s="195" t="e">
        <f t="shared" si="95"/>
        <v>#REF!</v>
      </c>
      <c r="Q127" s="195" t="e">
        <f t="shared" si="96"/>
        <v>#REF!</v>
      </c>
    </row>
    <row r="128" spans="1:17" hidden="1" x14ac:dyDescent="0.2">
      <c r="A128" s="193" t="s">
        <v>90</v>
      </c>
      <c r="B128" s="193" t="s">
        <v>205</v>
      </c>
      <c r="C128" s="194" t="s">
        <v>172</v>
      </c>
      <c r="D128" s="195">
        <v>1195371.06</v>
      </c>
      <c r="E128" s="195">
        <f t="shared" si="97"/>
        <v>7.2610889475998457</v>
      </c>
      <c r="F128" s="195" t="e">
        <f>#REF!*Sheet5!E128/100</f>
        <v>#REF!</v>
      </c>
      <c r="G128" s="208" t="e">
        <f>'1.1.'!$F$20*Sheet5!E128/100</f>
        <v>#REF!</v>
      </c>
      <c r="H128" s="208" t="e">
        <f>'1.1.'!$F$37*Sheet5!E128/100</f>
        <v>#REF!</v>
      </c>
      <c r="I128" s="208" t="e">
        <f>'1.1.'!$F$54*Sheet5!E128/100</f>
        <v>#REF!</v>
      </c>
      <c r="K128" s="195" t="e">
        <f>'1.1.'!$F$18*Sheet5!E128/100</f>
        <v>#REF!</v>
      </c>
      <c r="L128" s="195" t="e">
        <f>'1.1.'!$F$35*Sheet5!E128/100</f>
        <v>#REF!</v>
      </c>
      <c r="M128" s="195" t="e">
        <f>'1.1.'!$F$52*Sheet5!E128/100</f>
        <v>#REF!</v>
      </c>
      <c r="O128" s="195" t="e">
        <f t="shared" si="98"/>
        <v>#REF!</v>
      </c>
      <c r="P128" s="195" t="e">
        <f t="shared" si="95"/>
        <v>#REF!</v>
      </c>
      <c r="Q128" s="195" t="e">
        <f t="shared" si="96"/>
        <v>#REF!</v>
      </c>
    </row>
    <row r="129" spans="1:17" hidden="1" x14ac:dyDescent="0.2">
      <c r="A129" s="193" t="s">
        <v>90</v>
      </c>
      <c r="B129" s="193" t="s">
        <v>205</v>
      </c>
      <c r="C129" s="194" t="s">
        <v>173</v>
      </c>
      <c r="D129" s="195">
        <v>1254926.53</v>
      </c>
      <c r="E129" s="195">
        <f t="shared" si="97"/>
        <v>7.6228490566208169</v>
      </c>
      <c r="F129" s="195" t="e">
        <f>#REF!*Sheet5!E129/100</f>
        <v>#REF!</v>
      </c>
      <c r="G129" s="208" t="e">
        <f>'1.1.'!$F$20*Sheet5!E129/100</f>
        <v>#REF!</v>
      </c>
      <c r="H129" s="208" t="e">
        <f>'1.1.'!$F$37*Sheet5!E129/100</f>
        <v>#REF!</v>
      </c>
      <c r="I129" s="208" t="e">
        <f>'1.1.'!$F$54*Sheet5!E129/100</f>
        <v>#REF!</v>
      </c>
      <c r="K129" s="195" t="e">
        <f>'1.1.'!$F$18*Sheet5!E129/100</f>
        <v>#REF!</v>
      </c>
      <c r="L129" s="195" t="e">
        <f>'1.1.'!$F$35*Sheet5!E129/100</f>
        <v>#REF!</v>
      </c>
      <c r="M129" s="195" t="e">
        <f>'1.1.'!$F$52*Sheet5!E129/100</f>
        <v>#REF!</v>
      </c>
      <c r="O129" s="195" t="e">
        <f>G129-K129</f>
        <v>#REF!</v>
      </c>
      <c r="P129" s="195" t="e">
        <f t="shared" si="95"/>
        <v>#REF!</v>
      </c>
      <c r="Q129" s="195" t="e">
        <f t="shared" si="96"/>
        <v>#REF!</v>
      </c>
    </row>
    <row r="130" spans="1:17" hidden="1" x14ac:dyDescent="0.2">
      <c r="A130" s="193" t="s">
        <v>90</v>
      </c>
      <c r="B130" s="193" t="s">
        <v>205</v>
      </c>
      <c r="C130" s="194" t="s">
        <v>174</v>
      </c>
      <c r="D130" s="195">
        <v>1385671.28</v>
      </c>
      <c r="E130" s="195">
        <f t="shared" si="97"/>
        <v>8.4170369794752524</v>
      </c>
      <c r="F130" s="195" t="e">
        <f>#REF!*Sheet5!E130/100</f>
        <v>#REF!</v>
      </c>
      <c r="G130" s="208" t="e">
        <f>'1.1.'!$F$20*Sheet5!E130/100</f>
        <v>#REF!</v>
      </c>
      <c r="H130" s="208" t="e">
        <f>'1.1.'!$F$37*Sheet5!E130/100</f>
        <v>#REF!</v>
      </c>
      <c r="I130" s="208" t="e">
        <f>'1.1.'!$F$54*Sheet5!E130/100</f>
        <v>#REF!</v>
      </c>
      <c r="J130" s="196"/>
      <c r="K130" s="195" t="e">
        <f>'1.1.'!$F$18*Sheet5!E130/100</f>
        <v>#REF!</v>
      </c>
      <c r="L130" s="195" t="e">
        <f>'1.1.'!$F$35*Sheet5!E130/100</f>
        <v>#REF!</v>
      </c>
      <c r="M130" s="195" t="e">
        <f>'1.1.'!$F$52*Sheet5!E130/100</f>
        <v>#REF!</v>
      </c>
      <c r="O130" s="195" t="e">
        <f t="shared" si="98"/>
        <v>#REF!</v>
      </c>
      <c r="P130" s="195" t="e">
        <f t="shared" si="95"/>
        <v>#REF!</v>
      </c>
      <c r="Q130" s="195" t="e">
        <f t="shared" si="96"/>
        <v>#REF!</v>
      </c>
    </row>
    <row r="131" spans="1:17" hidden="1" x14ac:dyDescent="0.2">
      <c r="A131" s="193" t="s">
        <v>90</v>
      </c>
      <c r="B131" s="193" t="s">
        <v>205</v>
      </c>
      <c r="C131" s="194" t="s">
        <v>175</v>
      </c>
      <c r="D131" s="195">
        <v>1357421.7699999998</v>
      </c>
      <c r="E131" s="195">
        <f t="shared" si="97"/>
        <v>8.2454398815531107</v>
      </c>
      <c r="F131" s="195" t="e">
        <f>#REF!*Sheet5!E131/100</f>
        <v>#REF!</v>
      </c>
      <c r="G131" s="208" t="e">
        <f>'1.1.'!$F$20*Sheet5!E131/100</f>
        <v>#REF!</v>
      </c>
      <c r="H131" s="208" t="e">
        <f>'1.1.'!$F$37*Sheet5!E131/100</f>
        <v>#REF!</v>
      </c>
      <c r="I131" s="208" t="e">
        <f>'1.1.'!$F$54*Sheet5!E131/100</f>
        <v>#REF!</v>
      </c>
      <c r="J131" s="196"/>
      <c r="K131" s="195" t="e">
        <f>'1.1.'!$F$18*Sheet5!E131/100</f>
        <v>#REF!</v>
      </c>
      <c r="L131" s="195" t="e">
        <f>'1.1.'!$F$35*Sheet5!E131/100</f>
        <v>#REF!</v>
      </c>
      <c r="M131" s="195" t="e">
        <f>'1.1.'!$F$52*Sheet5!E131/100</f>
        <v>#REF!</v>
      </c>
      <c r="O131" s="195" t="e">
        <f t="shared" si="98"/>
        <v>#REF!</v>
      </c>
      <c r="P131" s="195" t="e">
        <f t="shared" si="95"/>
        <v>#REF!</v>
      </c>
      <c r="Q131" s="195" t="e">
        <f t="shared" si="96"/>
        <v>#REF!</v>
      </c>
    </row>
    <row r="132" spans="1:17" hidden="1" x14ac:dyDescent="0.2">
      <c r="A132" s="193" t="s">
        <v>90</v>
      </c>
      <c r="B132" s="193" t="s">
        <v>205</v>
      </c>
      <c r="C132" s="194" t="s">
        <v>176</v>
      </c>
      <c r="D132" s="195">
        <v>1473223.48</v>
      </c>
      <c r="E132" s="195">
        <f t="shared" si="97"/>
        <v>8.9488587150274341</v>
      </c>
      <c r="F132" s="195" t="e">
        <f>#REF!*Sheet5!E132/100</f>
        <v>#REF!</v>
      </c>
      <c r="G132" s="208" t="e">
        <f>'1.1.'!$F$20*Sheet5!E132/100</f>
        <v>#REF!</v>
      </c>
      <c r="H132" s="208" t="e">
        <f>'1.1.'!$F$37*Sheet5!E132/100</f>
        <v>#REF!</v>
      </c>
      <c r="I132" s="208" t="e">
        <f>'1.1.'!$F$54*Sheet5!E132/100</f>
        <v>#REF!</v>
      </c>
      <c r="K132" s="195" t="e">
        <f>'1.1.'!$F$18*Sheet5!E132/100</f>
        <v>#REF!</v>
      </c>
      <c r="L132" s="195" t="e">
        <f>'1.1.'!$F$35*Sheet5!E132/100</f>
        <v>#REF!</v>
      </c>
      <c r="M132" s="195" t="e">
        <f>'1.1.'!$F$52*Sheet5!E132/100</f>
        <v>#REF!</v>
      </c>
      <c r="O132" s="195" t="e">
        <f t="shared" si="98"/>
        <v>#REF!</v>
      </c>
      <c r="P132" s="195" t="e">
        <f t="shared" si="95"/>
        <v>#REF!</v>
      </c>
      <c r="Q132" s="195" t="e">
        <f t="shared" si="96"/>
        <v>#REF!</v>
      </c>
    </row>
    <row r="133" spans="1:17" hidden="1" x14ac:dyDescent="0.2">
      <c r="A133" s="193" t="s">
        <v>90</v>
      </c>
      <c r="B133" s="193" t="s">
        <v>205</v>
      </c>
      <c r="C133" s="194" t="s">
        <v>204</v>
      </c>
      <c r="D133" s="195">
        <v>1552768.75</v>
      </c>
      <c r="E133" s="195">
        <f t="shared" si="97"/>
        <v>9.4320436440910882</v>
      </c>
      <c r="F133" s="195" t="e">
        <f>#REF!*Sheet5!E133/100</f>
        <v>#REF!</v>
      </c>
      <c r="G133" s="208" t="e">
        <f>'1.1.'!$F$20*Sheet5!E133/100</f>
        <v>#REF!</v>
      </c>
      <c r="H133" s="208" t="e">
        <f>'1.1.'!$F$37*Sheet5!E133/100</f>
        <v>#REF!</v>
      </c>
      <c r="I133" s="208" t="e">
        <f>'1.1.'!$F$54*Sheet5!E133/100</f>
        <v>#REF!</v>
      </c>
      <c r="K133" s="195" t="e">
        <f>'1.1.'!$F$18*Sheet5!E133/100</f>
        <v>#REF!</v>
      </c>
      <c r="L133" s="195" t="e">
        <f>'1.1.'!$F$35*Sheet5!E133/100</f>
        <v>#REF!</v>
      </c>
      <c r="M133" s="195" t="e">
        <f>'1.1.'!$F$52*Sheet5!E133/100</f>
        <v>#REF!</v>
      </c>
      <c r="O133" s="195" t="e">
        <f t="shared" si="98"/>
        <v>#REF!</v>
      </c>
      <c r="P133" s="195" t="e">
        <f t="shared" si="95"/>
        <v>#REF!</v>
      </c>
      <c r="Q133" s="195" t="e">
        <f t="shared" si="96"/>
        <v>#REF!</v>
      </c>
    </row>
    <row r="134" spans="1:17" s="197" customFormat="1" hidden="1" x14ac:dyDescent="0.2">
      <c r="A134" s="193" t="s">
        <v>90</v>
      </c>
      <c r="B134" s="193" t="s">
        <v>205</v>
      </c>
      <c r="C134" s="205" t="s">
        <v>182</v>
      </c>
      <c r="D134" s="206">
        <f t="shared" ref="D134:I134" si="99">SUM(D122:D133)</f>
        <v>16462696.829999998</v>
      </c>
      <c r="E134" s="206">
        <f t="shared" si="99"/>
        <v>100.00000000000003</v>
      </c>
      <c r="F134" s="206" t="e">
        <f t="shared" si="99"/>
        <v>#REF!</v>
      </c>
      <c r="G134" s="206" t="e">
        <f t="shared" si="99"/>
        <v>#REF!</v>
      </c>
      <c r="H134" s="206" t="e">
        <f t="shared" si="99"/>
        <v>#REF!</v>
      </c>
      <c r="I134" s="206" t="e">
        <f t="shared" si="99"/>
        <v>#REF!</v>
      </c>
      <c r="K134" s="206" t="e">
        <f>SUM(K122:K133)</f>
        <v>#REF!</v>
      </c>
      <c r="L134" s="206" t="e">
        <f>SUM(L122:L133)</f>
        <v>#REF!</v>
      </c>
      <c r="M134" s="206" t="e">
        <f>SUM(M122:M133)</f>
        <v>#REF!</v>
      </c>
      <c r="O134" s="206" t="e">
        <f>SUM(O122:O133)</f>
        <v>#REF!</v>
      </c>
      <c r="P134" s="206" t="e">
        <f>SUM(P122:P133)</f>
        <v>#REF!</v>
      </c>
      <c r="Q134" s="206" t="e">
        <f>SUM(Q122:Q133)</f>
        <v>#REF!</v>
      </c>
    </row>
    <row r="135" spans="1:17" hidden="1" x14ac:dyDescent="0.2">
      <c r="A135" s="193" t="s">
        <v>90</v>
      </c>
      <c r="F135" s="202"/>
      <c r="G135" s="209" t="e">
        <f>G134-'1.1.'!F17</f>
        <v>#REF!</v>
      </c>
      <c r="H135" s="209" t="e">
        <f>H134-'1.1.'!F34</f>
        <v>#REF!</v>
      </c>
      <c r="I135" s="209" t="e">
        <f>I134-'1.1.'!F51</f>
        <v>#REF!</v>
      </c>
      <c r="K135" s="202" t="e">
        <f>K134-'1.1.'!F18</f>
        <v>#REF!</v>
      </c>
      <c r="L135" s="202" t="e">
        <f>L134-'1.1.'!F35</f>
        <v>#REF!</v>
      </c>
      <c r="M135" s="202" t="e">
        <f>M134-'1.1.'!F52</f>
        <v>#REF!</v>
      </c>
      <c r="O135" s="202" t="e">
        <f>O134-'1.1.'!F19</f>
        <v>#REF!</v>
      </c>
      <c r="P135" s="202" t="e">
        <f>P134-'1.1.'!F36</f>
        <v>#REF!</v>
      </c>
      <c r="Q135" s="202" t="e">
        <f>Q134-'1.1.'!F53</f>
        <v>#REF!</v>
      </c>
    </row>
    <row r="136" spans="1:17" hidden="1" x14ac:dyDescent="0.2">
      <c r="A136" s="193" t="s">
        <v>90</v>
      </c>
      <c r="B136" s="193" t="s">
        <v>206</v>
      </c>
      <c r="C136" s="528" t="s">
        <v>179</v>
      </c>
      <c r="D136" s="528"/>
      <c r="E136" s="201"/>
      <c r="G136" s="529" t="str">
        <f>G120</f>
        <v xml:space="preserve">KOPĀ 2.risinājums </v>
      </c>
      <c r="H136" s="529"/>
      <c r="I136" s="529"/>
      <c r="K136" s="530" t="str">
        <f>K120</f>
        <v>KOPĀ valsts budžets 2.risinājums</v>
      </c>
      <c r="L136" s="530"/>
      <c r="M136" s="530"/>
      <c r="O136" s="530" t="str">
        <f>O120</f>
        <v>KOPĀ pašvaldību budžets 2.risinājums</v>
      </c>
      <c r="P136" s="530"/>
      <c r="Q136" s="530"/>
    </row>
    <row r="137" spans="1:17" hidden="1" x14ac:dyDescent="0.2">
      <c r="A137" s="193" t="s">
        <v>90</v>
      </c>
      <c r="B137" s="193" t="s">
        <v>206</v>
      </c>
      <c r="C137" s="34"/>
      <c r="D137" s="198">
        <v>2019</v>
      </c>
      <c r="E137" s="198"/>
      <c r="F137" s="199" t="str">
        <f>F121</f>
        <v>2020.gads</v>
      </c>
      <c r="G137" s="207" t="str">
        <f>G121</f>
        <v>2021.gads</v>
      </c>
      <c r="H137" s="207" t="str">
        <f>H121</f>
        <v>2022.gads</v>
      </c>
      <c r="I137" s="207" t="str">
        <f>I121</f>
        <v>2023.gads</v>
      </c>
      <c r="K137" s="199" t="str">
        <f>K121</f>
        <v>2021.gads</v>
      </c>
      <c r="L137" s="199" t="str">
        <f>L121</f>
        <v>2022.gads</v>
      </c>
      <c r="M137" s="199" t="str">
        <f>M121</f>
        <v>2023.gads</v>
      </c>
      <c r="O137" s="199" t="str">
        <f>O121</f>
        <v>2021.gads</v>
      </c>
      <c r="P137" s="199" t="str">
        <f>P121</f>
        <v>2022.gads</v>
      </c>
      <c r="Q137" s="199" t="str">
        <f>Q121</f>
        <v>2023.gads</v>
      </c>
    </row>
    <row r="138" spans="1:17" hidden="1" x14ac:dyDescent="0.2">
      <c r="A138" s="193" t="s">
        <v>90</v>
      </c>
      <c r="B138" s="193" t="s">
        <v>206</v>
      </c>
      <c r="C138" s="194" t="s">
        <v>166</v>
      </c>
      <c r="D138" s="195">
        <v>1495656.14</v>
      </c>
      <c r="E138" s="195"/>
      <c r="F138" s="195">
        <f>D133</f>
        <v>1552768.75</v>
      </c>
      <c r="G138" s="208" t="e">
        <f>F133</f>
        <v>#REF!</v>
      </c>
      <c r="H138" s="208" t="e">
        <f>G133</f>
        <v>#REF!</v>
      </c>
      <c r="I138" s="208" t="e">
        <f>H133</f>
        <v>#REF!</v>
      </c>
      <c r="K138" s="195" t="e">
        <f>F133</f>
        <v>#REF!</v>
      </c>
      <c r="L138" s="195" t="e">
        <f>K133</f>
        <v>#REF!</v>
      </c>
      <c r="M138" s="195" t="e">
        <f>L133</f>
        <v>#REF!</v>
      </c>
      <c r="O138" s="195">
        <v>0</v>
      </c>
      <c r="P138" s="195" t="e">
        <f>O133</f>
        <v>#REF!</v>
      </c>
      <c r="Q138" s="195" t="e">
        <f>P133</f>
        <v>#REF!</v>
      </c>
    </row>
    <row r="139" spans="1:17" hidden="1" x14ac:dyDescent="0.2">
      <c r="A139" s="193" t="s">
        <v>90</v>
      </c>
      <c r="B139" s="193" t="s">
        <v>206</v>
      </c>
      <c r="C139" s="194" t="s">
        <v>167</v>
      </c>
      <c r="D139" s="195">
        <v>1300261.1800000002</v>
      </c>
      <c r="E139" s="195"/>
      <c r="F139" s="195" t="e">
        <f>F122</f>
        <v>#REF!</v>
      </c>
      <c r="G139" s="208" t="e">
        <f>G122</f>
        <v>#REF!</v>
      </c>
      <c r="H139" s="208" t="e">
        <f>H122</f>
        <v>#REF!</v>
      </c>
      <c r="I139" s="208" t="e">
        <f>I122</f>
        <v>#REF!</v>
      </c>
      <c r="K139" s="195" t="e">
        <f>K122</f>
        <v>#REF!</v>
      </c>
      <c r="L139" s="195" t="e">
        <f>L122</f>
        <v>#REF!</v>
      </c>
      <c r="M139" s="195" t="e">
        <f>M122</f>
        <v>#REF!</v>
      </c>
      <c r="O139" s="195" t="e">
        <f>O122</f>
        <v>#REF!</v>
      </c>
      <c r="P139" s="195" t="e">
        <f>P122</f>
        <v>#REF!</v>
      </c>
      <c r="Q139" s="195" t="e">
        <f>Q122</f>
        <v>#REF!</v>
      </c>
    </row>
    <row r="140" spans="1:17" hidden="1" x14ac:dyDescent="0.2">
      <c r="A140" s="193" t="s">
        <v>90</v>
      </c>
      <c r="B140" s="193" t="s">
        <v>206</v>
      </c>
      <c r="C140" s="194" t="s">
        <v>168</v>
      </c>
      <c r="D140" s="195">
        <v>1345922.41</v>
      </c>
      <c r="E140" s="195"/>
      <c r="F140" s="195" t="e">
        <f t="shared" ref="F140:I140" si="100">F123</f>
        <v>#REF!</v>
      </c>
      <c r="G140" s="208" t="e">
        <f t="shared" si="100"/>
        <v>#REF!</v>
      </c>
      <c r="H140" s="208" t="e">
        <f t="shared" si="100"/>
        <v>#REF!</v>
      </c>
      <c r="I140" s="208" t="e">
        <f t="shared" si="100"/>
        <v>#REF!</v>
      </c>
      <c r="K140" s="195" t="e">
        <f t="shared" ref="K140:M140" si="101">K123</f>
        <v>#REF!</v>
      </c>
      <c r="L140" s="195" t="e">
        <f t="shared" si="101"/>
        <v>#REF!</v>
      </c>
      <c r="M140" s="195" t="e">
        <f t="shared" si="101"/>
        <v>#REF!</v>
      </c>
      <c r="O140" s="195" t="e">
        <f t="shared" ref="O140:Q140" si="102">O123</f>
        <v>#REF!</v>
      </c>
      <c r="P140" s="195" t="e">
        <f t="shared" si="102"/>
        <v>#REF!</v>
      </c>
      <c r="Q140" s="195" t="e">
        <f t="shared" si="102"/>
        <v>#REF!</v>
      </c>
    </row>
    <row r="141" spans="1:17" hidden="1" x14ac:dyDescent="0.2">
      <c r="A141" s="193" t="s">
        <v>90</v>
      </c>
      <c r="B141" s="193" t="s">
        <v>206</v>
      </c>
      <c r="C141" s="194" t="s">
        <v>169</v>
      </c>
      <c r="D141" s="195">
        <v>1359789.78</v>
      </c>
      <c r="E141" s="195"/>
      <c r="F141" s="195" t="e">
        <f t="shared" ref="F141:I141" si="103">F124</f>
        <v>#REF!</v>
      </c>
      <c r="G141" s="208" t="e">
        <f t="shared" si="103"/>
        <v>#REF!</v>
      </c>
      <c r="H141" s="208" t="e">
        <f t="shared" si="103"/>
        <v>#REF!</v>
      </c>
      <c r="I141" s="208" t="e">
        <f t="shared" si="103"/>
        <v>#REF!</v>
      </c>
      <c r="K141" s="195" t="e">
        <f t="shared" ref="K141:M141" si="104">K124</f>
        <v>#REF!</v>
      </c>
      <c r="L141" s="195" t="e">
        <f t="shared" si="104"/>
        <v>#REF!</v>
      </c>
      <c r="M141" s="195" t="e">
        <f t="shared" si="104"/>
        <v>#REF!</v>
      </c>
      <c r="O141" s="195" t="e">
        <f t="shared" ref="O141:Q141" si="105">O124</f>
        <v>#REF!</v>
      </c>
      <c r="P141" s="195" t="e">
        <f t="shared" si="105"/>
        <v>#REF!</v>
      </c>
      <c r="Q141" s="195" t="e">
        <f t="shared" si="105"/>
        <v>#REF!</v>
      </c>
    </row>
    <row r="142" spans="1:17" hidden="1" x14ac:dyDescent="0.2">
      <c r="A142" s="193" t="s">
        <v>90</v>
      </c>
      <c r="B142" s="193" t="s">
        <v>206</v>
      </c>
      <c r="C142" s="194" t="s">
        <v>170</v>
      </c>
      <c r="D142" s="195">
        <v>1455300.79</v>
      </c>
      <c r="E142" s="195"/>
      <c r="F142" s="195" t="e">
        <f t="shared" ref="F142:I142" si="106">F125</f>
        <v>#REF!</v>
      </c>
      <c r="G142" s="208" t="e">
        <f t="shared" si="106"/>
        <v>#REF!</v>
      </c>
      <c r="H142" s="208" t="e">
        <f t="shared" si="106"/>
        <v>#REF!</v>
      </c>
      <c r="I142" s="208" t="e">
        <f t="shared" si="106"/>
        <v>#REF!</v>
      </c>
      <c r="K142" s="195" t="e">
        <f t="shared" ref="K142:M142" si="107">K125</f>
        <v>#REF!</v>
      </c>
      <c r="L142" s="195" t="e">
        <f t="shared" si="107"/>
        <v>#REF!</v>
      </c>
      <c r="M142" s="195" t="e">
        <f t="shared" si="107"/>
        <v>#REF!</v>
      </c>
      <c r="O142" s="195" t="e">
        <f t="shared" ref="O142:Q142" si="108">O125</f>
        <v>#REF!</v>
      </c>
      <c r="P142" s="195" t="e">
        <f t="shared" si="108"/>
        <v>#REF!</v>
      </c>
      <c r="Q142" s="195" t="e">
        <f t="shared" si="108"/>
        <v>#REF!</v>
      </c>
    </row>
    <row r="143" spans="1:17" hidden="1" x14ac:dyDescent="0.2">
      <c r="A143" s="193" t="s">
        <v>90</v>
      </c>
      <c r="B143" s="193" t="s">
        <v>206</v>
      </c>
      <c r="C143" s="194" t="s">
        <v>171</v>
      </c>
      <c r="D143" s="195">
        <v>1424578.2500000002</v>
      </c>
      <c r="E143" s="195"/>
      <c r="F143" s="195" t="e">
        <f t="shared" ref="F143:I143" si="109">F126</f>
        <v>#REF!</v>
      </c>
      <c r="G143" s="208" t="e">
        <f t="shared" si="109"/>
        <v>#REF!</v>
      </c>
      <c r="H143" s="208" t="e">
        <f t="shared" si="109"/>
        <v>#REF!</v>
      </c>
      <c r="I143" s="208" t="e">
        <f t="shared" si="109"/>
        <v>#REF!</v>
      </c>
      <c r="K143" s="195" t="e">
        <f t="shared" ref="K143:M143" si="110">K126</f>
        <v>#REF!</v>
      </c>
      <c r="L143" s="195" t="e">
        <f t="shared" si="110"/>
        <v>#REF!</v>
      </c>
      <c r="M143" s="195" t="e">
        <f t="shared" si="110"/>
        <v>#REF!</v>
      </c>
      <c r="O143" s="195" t="e">
        <f t="shared" ref="O143:Q143" si="111">O126</f>
        <v>#REF!</v>
      </c>
      <c r="P143" s="195" t="e">
        <f t="shared" si="111"/>
        <v>#REF!</v>
      </c>
      <c r="Q143" s="195" t="e">
        <f t="shared" si="111"/>
        <v>#REF!</v>
      </c>
    </row>
    <row r="144" spans="1:17" hidden="1" x14ac:dyDescent="0.2">
      <c r="A144" s="193" t="s">
        <v>90</v>
      </c>
      <c r="B144" s="193" t="s">
        <v>206</v>
      </c>
      <c r="C144" s="194" t="s">
        <v>172</v>
      </c>
      <c r="D144" s="195">
        <v>1357461.55</v>
      </c>
      <c r="E144" s="195"/>
      <c r="F144" s="195" t="e">
        <f t="shared" ref="F144:I144" si="112">F127</f>
        <v>#REF!</v>
      </c>
      <c r="G144" s="208" t="e">
        <f>G127</f>
        <v>#REF!</v>
      </c>
      <c r="H144" s="208" t="e">
        <f t="shared" si="112"/>
        <v>#REF!</v>
      </c>
      <c r="I144" s="208" t="e">
        <f t="shared" si="112"/>
        <v>#REF!</v>
      </c>
      <c r="K144" s="195" t="e">
        <f t="shared" ref="K144:M144" si="113">K127</f>
        <v>#REF!</v>
      </c>
      <c r="L144" s="195" t="e">
        <f t="shared" si="113"/>
        <v>#REF!</v>
      </c>
      <c r="M144" s="195" t="e">
        <f t="shared" si="113"/>
        <v>#REF!</v>
      </c>
      <c r="O144" s="195" t="e">
        <f t="shared" ref="O144:Q144" si="114">O127</f>
        <v>#REF!</v>
      </c>
      <c r="P144" s="195" t="e">
        <f t="shared" si="114"/>
        <v>#REF!</v>
      </c>
      <c r="Q144" s="195" t="e">
        <f t="shared" si="114"/>
        <v>#REF!</v>
      </c>
    </row>
    <row r="145" spans="1:17" hidden="1" x14ac:dyDescent="0.2">
      <c r="A145" s="193" t="s">
        <v>90</v>
      </c>
      <c r="B145" s="193" t="s">
        <v>206</v>
      </c>
      <c r="C145" s="194" t="s">
        <v>173</v>
      </c>
      <c r="D145" s="195">
        <v>1195371.06</v>
      </c>
      <c r="E145" s="195"/>
      <c r="F145" s="195" t="e">
        <f t="shared" ref="F145:I145" si="115">F128</f>
        <v>#REF!</v>
      </c>
      <c r="G145" s="208" t="e">
        <f t="shared" si="115"/>
        <v>#REF!</v>
      </c>
      <c r="H145" s="208" t="e">
        <f t="shared" si="115"/>
        <v>#REF!</v>
      </c>
      <c r="I145" s="208" t="e">
        <f t="shared" si="115"/>
        <v>#REF!</v>
      </c>
      <c r="K145" s="195" t="e">
        <f t="shared" ref="K145:M145" si="116">K128</f>
        <v>#REF!</v>
      </c>
      <c r="L145" s="195" t="e">
        <f t="shared" si="116"/>
        <v>#REF!</v>
      </c>
      <c r="M145" s="195" t="e">
        <f t="shared" si="116"/>
        <v>#REF!</v>
      </c>
      <c r="O145" s="195" t="e">
        <f t="shared" ref="O145:Q145" si="117">O128</f>
        <v>#REF!</v>
      </c>
      <c r="P145" s="195" t="e">
        <f t="shared" si="117"/>
        <v>#REF!</v>
      </c>
      <c r="Q145" s="195" t="e">
        <f t="shared" si="117"/>
        <v>#REF!</v>
      </c>
    </row>
    <row r="146" spans="1:17" hidden="1" x14ac:dyDescent="0.2">
      <c r="A146" s="193" t="s">
        <v>90</v>
      </c>
      <c r="B146" s="193" t="s">
        <v>206</v>
      </c>
      <c r="C146" s="194" t="s">
        <v>174</v>
      </c>
      <c r="D146" s="195">
        <v>1254926.53</v>
      </c>
      <c r="E146" s="195"/>
      <c r="F146" s="195" t="e">
        <f t="shared" ref="F146:I146" si="118">F129</f>
        <v>#REF!</v>
      </c>
      <c r="G146" s="208" t="e">
        <f t="shared" si="118"/>
        <v>#REF!</v>
      </c>
      <c r="H146" s="208" t="e">
        <f t="shared" si="118"/>
        <v>#REF!</v>
      </c>
      <c r="I146" s="208" t="e">
        <f t="shared" si="118"/>
        <v>#REF!</v>
      </c>
      <c r="K146" s="195" t="e">
        <f t="shared" ref="K146:M146" si="119">K129</f>
        <v>#REF!</v>
      </c>
      <c r="L146" s="195" t="e">
        <f t="shared" si="119"/>
        <v>#REF!</v>
      </c>
      <c r="M146" s="195" t="e">
        <f t="shared" si="119"/>
        <v>#REF!</v>
      </c>
      <c r="O146" s="195" t="e">
        <f t="shared" ref="O146:Q146" si="120">O129</f>
        <v>#REF!</v>
      </c>
      <c r="P146" s="195" t="e">
        <f t="shared" si="120"/>
        <v>#REF!</v>
      </c>
      <c r="Q146" s="195" t="e">
        <f t="shared" si="120"/>
        <v>#REF!</v>
      </c>
    </row>
    <row r="147" spans="1:17" hidden="1" x14ac:dyDescent="0.2">
      <c r="A147" s="193" t="s">
        <v>90</v>
      </c>
      <c r="B147" s="193" t="s">
        <v>206</v>
      </c>
      <c r="C147" s="194" t="s">
        <v>175</v>
      </c>
      <c r="D147" s="195">
        <v>1385671.28</v>
      </c>
      <c r="E147" s="195"/>
      <c r="F147" s="195" t="e">
        <f t="shared" ref="F147:I147" si="121">F130</f>
        <v>#REF!</v>
      </c>
      <c r="G147" s="208" t="e">
        <f t="shared" si="121"/>
        <v>#REF!</v>
      </c>
      <c r="H147" s="208" t="e">
        <f t="shared" si="121"/>
        <v>#REF!</v>
      </c>
      <c r="I147" s="208" t="e">
        <f t="shared" si="121"/>
        <v>#REF!</v>
      </c>
      <c r="K147" s="195" t="e">
        <f t="shared" ref="K147:M147" si="122">K130</f>
        <v>#REF!</v>
      </c>
      <c r="L147" s="195" t="e">
        <f t="shared" si="122"/>
        <v>#REF!</v>
      </c>
      <c r="M147" s="195" t="e">
        <f t="shared" si="122"/>
        <v>#REF!</v>
      </c>
      <c r="O147" s="195" t="e">
        <f t="shared" ref="O147:Q147" si="123">O130</f>
        <v>#REF!</v>
      </c>
      <c r="P147" s="195" t="e">
        <f t="shared" si="123"/>
        <v>#REF!</v>
      </c>
      <c r="Q147" s="195" t="e">
        <f t="shared" si="123"/>
        <v>#REF!</v>
      </c>
    </row>
    <row r="148" spans="1:17" hidden="1" x14ac:dyDescent="0.2">
      <c r="A148" s="193" t="s">
        <v>90</v>
      </c>
      <c r="B148" s="193" t="s">
        <v>206</v>
      </c>
      <c r="C148" s="194" t="s">
        <v>176</v>
      </c>
      <c r="D148" s="195">
        <v>1357421.7699999998</v>
      </c>
      <c r="E148" s="195"/>
      <c r="F148" s="195" t="e">
        <f t="shared" ref="F148:I148" si="124">F131</f>
        <v>#REF!</v>
      </c>
      <c r="G148" s="208" t="e">
        <f t="shared" si="124"/>
        <v>#REF!</v>
      </c>
      <c r="H148" s="208" t="e">
        <f t="shared" si="124"/>
        <v>#REF!</v>
      </c>
      <c r="I148" s="208" t="e">
        <f t="shared" si="124"/>
        <v>#REF!</v>
      </c>
      <c r="K148" s="195" t="e">
        <f t="shared" ref="K148:M148" si="125">K131</f>
        <v>#REF!</v>
      </c>
      <c r="L148" s="195" t="e">
        <f t="shared" si="125"/>
        <v>#REF!</v>
      </c>
      <c r="M148" s="195" t="e">
        <f t="shared" si="125"/>
        <v>#REF!</v>
      </c>
      <c r="O148" s="195" t="e">
        <f t="shared" ref="O148:Q148" si="126">O131</f>
        <v>#REF!</v>
      </c>
      <c r="P148" s="195" t="e">
        <f t="shared" si="126"/>
        <v>#REF!</v>
      </c>
      <c r="Q148" s="195" t="e">
        <f t="shared" si="126"/>
        <v>#REF!</v>
      </c>
    </row>
    <row r="149" spans="1:17" hidden="1" x14ac:dyDescent="0.2">
      <c r="A149" s="193" t="s">
        <v>90</v>
      </c>
      <c r="B149" s="193" t="s">
        <v>206</v>
      </c>
      <c r="C149" s="194" t="s">
        <v>177</v>
      </c>
      <c r="D149" s="195">
        <v>1473223.48</v>
      </c>
      <c r="E149" s="195"/>
      <c r="F149" s="195" t="e">
        <f>F132</f>
        <v>#REF!</v>
      </c>
      <c r="G149" s="208" t="e">
        <f>G132</f>
        <v>#REF!</v>
      </c>
      <c r="H149" s="208" t="e">
        <f>H132</f>
        <v>#REF!</v>
      </c>
      <c r="I149" s="208" t="e">
        <f>I132</f>
        <v>#REF!</v>
      </c>
      <c r="K149" s="195" t="e">
        <f>K132</f>
        <v>#REF!</v>
      </c>
      <c r="L149" s="195" t="e">
        <f>L132</f>
        <v>#REF!</v>
      </c>
      <c r="M149" s="195" t="e">
        <f>M132</f>
        <v>#REF!</v>
      </c>
      <c r="O149" s="195" t="e">
        <f>O132</f>
        <v>#REF!</v>
      </c>
      <c r="P149" s="195" t="e">
        <f>P132</f>
        <v>#REF!</v>
      </c>
      <c r="Q149" s="195" t="e">
        <f>Q132</f>
        <v>#REF!</v>
      </c>
    </row>
    <row r="150" spans="1:17" hidden="1" x14ac:dyDescent="0.2">
      <c r="A150" s="193" t="s">
        <v>90</v>
      </c>
      <c r="B150" s="193" t="s">
        <v>206</v>
      </c>
      <c r="C150" s="205" t="s">
        <v>183</v>
      </c>
      <c r="D150" s="206">
        <f>SUM(D138:D149)</f>
        <v>16405584.220000001</v>
      </c>
      <c r="E150" s="206"/>
      <c r="F150" s="206" t="e">
        <f>SUM(F138:F149)</f>
        <v>#REF!</v>
      </c>
      <c r="G150" s="206" t="e">
        <f>SUM(G138:G149)</f>
        <v>#REF!</v>
      </c>
      <c r="H150" s="206" t="e">
        <f>SUM(H138:H149)</f>
        <v>#REF!</v>
      </c>
      <c r="I150" s="206" t="e">
        <f>SUM(I138:I149)</f>
        <v>#REF!</v>
      </c>
      <c r="K150" s="206" t="e">
        <f>SUM(K138:K149)</f>
        <v>#REF!</v>
      </c>
      <c r="L150" s="206" t="e">
        <f>SUM(L138:L149)</f>
        <v>#REF!</v>
      </c>
      <c r="M150" s="206" t="e">
        <f>SUM(M138:M149)</f>
        <v>#REF!</v>
      </c>
      <c r="O150" s="206" t="e">
        <f>SUM(O138:O149)</f>
        <v>#REF!</v>
      </c>
      <c r="P150" s="206" t="e">
        <f>SUM(P138:P149)</f>
        <v>#REF!</v>
      </c>
      <c r="Q150" s="206" t="e">
        <f>SUM(Q138:Q149)</f>
        <v>#REF!</v>
      </c>
    </row>
    <row r="151" spans="1:17" hidden="1" x14ac:dyDescent="0.2">
      <c r="A151" s="193" t="s">
        <v>90</v>
      </c>
      <c r="B151" s="193" t="s">
        <v>206</v>
      </c>
      <c r="C151" s="203"/>
      <c r="D151" s="203"/>
      <c r="E151" s="203"/>
      <c r="F151" s="203"/>
      <c r="G151" s="203"/>
      <c r="H151" s="203"/>
      <c r="I151" s="203"/>
      <c r="J151" s="203"/>
      <c r="K151" s="196"/>
      <c r="L151" s="196"/>
      <c r="M151" s="196"/>
    </row>
    <row r="152" spans="1:17" ht="15" hidden="1" x14ac:dyDescent="0.25">
      <c r="A152" s="193" t="s">
        <v>90</v>
      </c>
      <c r="B152" s="193" t="s">
        <v>206</v>
      </c>
      <c r="C152" s="526" t="s">
        <v>193</v>
      </c>
      <c r="D152" s="526"/>
      <c r="E152" s="526"/>
      <c r="F152" s="526"/>
      <c r="G152" s="212">
        <f>K152+O152</f>
        <v>19594566</v>
      </c>
      <c r="H152" s="212">
        <f t="shared" ref="H152:H153" si="127">L152+P152</f>
        <v>19672044</v>
      </c>
      <c r="I152" s="212">
        <f t="shared" ref="I152:I153" si="128">M152+Q152</f>
        <v>19672044</v>
      </c>
      <c r="J152" s="213"/>
      <c r="K152" s="177">
        <f>15836070+1780147+1978349</f>
        <v>19594566</v>
      </c>
      <c r="L152" s="214">
        <f>17616217+2055827</f>
        <v>19672044</v>
      </c>
      <c r="M152" s="214">
        <f>17616217+2055827</f>
        <v>19672044</v>
      </c>
      <c r="N152" s="197"/>
      <c r="O152" s="197">
        <v>0</v>
      </c>
      <c r="P152" s="197">
        <v>0</v>
      </c>
      <c r="Q152" s="197">
        <v>0</v>
      </c>
    </row>
    <row r="153" spans="1:17" hidden="1" x14ac:dyDescent="0.2">
      <c r="A153" s="193" t="s">
        <v>90</v>
      </c>
      <c r="B153" s="193" t="s">
        <v>206</v>
      </c>
      <c r="C153" s="526" t="s">
        <v>222</v>
      </c>
      <c r="D153" s="526"/>
      <c r="E153" s="526"/>
      <c r="F153" s="526"/>
      <c r="G153" s="212">
        <f>K153+O153</f>
        <v>207291</v>
      </c>
      <c r="H153" s="212">
        <f t="shared" si="127"/>
        <v>0</v>
      </c>
      <c r="I153" s="212">
        <f t="shared" si="128"/>
        <v>0</v>
      </c>
      <c r="J153" s="213"/>
      <c r="K153" s="214">
        <v>207291</v>
      </c>
      <c r="L153" s="214">
        <v>0</v>
      </c>
      <c r="M153" s="214">
        <v>0</v>
      </c>
      <c r="N153" s="197"/>
      <c r="O153" s="197">
        <v>0</v>
      </c>
      <c r="P153" s="197">
        <v>0</v>
      </c>
      <c r="Q153" s="197">
        <v>0</v>
      </c>
    </row>
    <row r="154" spans="1:17" ht="112.5" hidden="1" x14ac:dyDescent="0.2">
      <c r="A154" s="193" t="s">
        <v>90</v>
      </c>
      <c r="B154" s="193" t="s">
        <v>206</v>
      </c>
      <c r="C154" s="224"/>
      <c r="D154" s="224"/>
      <c r="E154" s="224"/>
      <c r="F154" s="224"/>
      <c r="G154" s="226"/>
      <c r="H154" s="226"/>
      <c r="I154" s="226"/>
      <c r="J154" s="226"/>
      <c r="K154" s="227" t="s">
        <v>224</v>
      </c>
      <c r="L154" s="226"/>
      <c r="M154" s="226"/>
      <c r="N154" s="226"/>
      <c r="O154" s="226"/>
      <c r="P154" s="226"/>
      <c r="Q154" s="226"/>
    </row>
    <row r="155" spans="1:17" ht="14.45" hidden="1" customHeight="1" x14ac:dyDescent="0.2">
      <c r="A155" s="193" t="s">
        <v>90</v>
      </c>
      <c r="B155" s="193" t="s">
        <v>206</v>
      </c>
      <c r="C155" s="527" t="s">
        <v>194</v>
      </c>
      <c r="D155" s="527"/>
      <c r="E155" s="527"/>
      <c r="F155" s="527"/>
      <c r="G155" s="211" t="e">
        <f>G150-G152+G153</f>
        <v>#REF!</v>
      </c>
      <c r="H155" s="211" t="e">
        <f>H150-H152+H153</f>
        <v>#REF!</v>
      </c>
      <c r="I155" s="211" t="e">
        <f>I150-I152+I153</f>
        <v>#REF!</v>
      </c>
      <c r="J155" s="211"/>
      <c r="K155" s="211" t="e">
        <f>K150-K152+K153</f>
        <v>#REF!</v>
      </c>
      <c r="L155" s="211" t="e">
        <f>L150-L152+L153</f>
        <v>#REF!</v>
      </c>
      <c r="M155" s="211" t="e">
        <f>M150-M152+M153</f>
        <v>#REF!</v>
      </c>
      <c r="N155" s="211"/>
      <c r="O155" s="211" t="e">
        <f>O150-O152+O153</f>
        <v>#REF!</v>
      </c>
      <c r="P155" s="211" t="e">
        <f>P150-P152+P153</f>
        <v>#REF!</v>
      </c>
      <c r="Q155" s="211" t="e">
        <f>Q150-Q152+Q153</f>
        <v>#REF!</v>
      </c>
    </row>
    <row r="156" spans="1:17" ht="14.45" hidden="1" customHeight="1" x14ac:dyDescent="0.2">
      <c r="C156" s="210"/>
      <c r="D156" s="210"/>
      <c r="E156" s="210"/>
      <c r="F156" s="210"/>
      <c r="G156" s="211"/>
      <c r="H156" s="211"/>
      <c r="I156" s="211"/>
      <c r="J156" s="211"/>
      <c r="K156" s="211"/>
      <c r="L156" s="211"/>
      <c r="M156" s="211"/>
      <c r="N156" s="211"/>
      <c r="O156" s="211"/>
      <c r="P156" s="211"/>
      <c r="Q156" s="211"/>
    </row>
    <row r="157" spans="1:17" hidden="1" x14ac:dyDescent="0.2">
      <c r="A157" s="193" t="s">
        <v>91</v>
      </c>
      <c r="C157" s="204" t="s">
        <v>91</v>
      </c>
    </row>
    <row r="158" spans="1:17" hidden="1" x14ac:dyDescent="0.2">
      <c r="A158" s="193" t="s">
        <v>91</v>
      </c>
      <c r="B158" s="193" t="s">
        <v>205</v>
      </c>
      <c r="C158" s="528" t="s">
        <v>180</v>
      </c>
      <c r="D158" s="528"/>
      <c r="E158" s="200"/>
      <c r="G158" s="529" t="s">
        <v>198</v>
      </c>
      <c r="H158" s="529"/>
      <c r="I158" s="529"/>
      <c r="K158" s="530" t="s">
        <v>199</v>
      </c>
      <c r="L158" s="530"/>
      <c r="M158" s="530"/>
      <c r="O158" s="530" t="s">
        <v>200</v>
      </c>
      <c r="P158" s="530"/>
      <c r="Q158" s="530"/>
    </row>
    <row r="159" spans="1:17" s="33" customFormat="1" hidden="1" x14ac:dyDescent="0.2">
      <c r="A159" s="193" t="s">
        <v>91</v>
      </c>
      <c r="B159" s="193" t="s">
        <v>205</v>
      </c>
      <c r="C159" s="34"/>
      <c r="D159" s="199" t="s">
        <v>178</v>
      </c>
      <c r="E159" s="199"/>
      <c r="F159" s="199" t="s">
        <v>86</v>
      </c>
      <c r="G159" s="207" t="s">
        <v>41</v>
      </c>
      <c r="H159" s="207" t="s">
        <v>44</v>
      </c>
      <c r="I159" s="207" t="s">
        <v>72</v>
      </c>
      <c r="K159" s="199" t="s">
        <v>41</v>
      </c>
      <c r="L159" s="199" t="s">
        <v>44</v>
      </c>
      <c r="M159" s="199" t="s">
        <v>72</v>
      </c>
      <c r="O159" s="199" t="s">
        <v>41</v>
      </c>
      <c r="P159" s="199" t="s">
        <v>44</v>
      </c>
      <c r="Q159" s="199" t="s">
        <v>72</v>
      </c>
    </row>
    <row r="160" spans="1:17" hidden="1" x14ac:dyDescent="0.2">
      <c r="A160" s="193" t="s">
        <v>91</v>
      </c>
      <c r="B160" s="193" t="s">
        <v>205</v>
      </c>
      <c r="C160" s="194" t="s">
        <v>166</v>
      </c>
      <c r="D160" s="195">
        <v>1300261.1800000002</v>
      </c>
      <c r="E160" s="195">
        <f>D160*100/$D$20</f>
        <v>7.8982270853128522</v>
      </c>
      <c r="F160" s="195" t="e">
        <f>#REF!*Sheet5!E160/100</f>
        <v>#REF!</v>
      </c>
      <c r="G160" s="208" t="e">
        <f>'1.1.'!$G$20*Sheet5!E160/100</f>
        <v>#REF!</v>
      </c>
      <c r="H160" s="208" t="e">
        <f>'1.1.'!$G$37*Sheet5!E160/100</f>
        <v>#REF!</v>
      </c>
      <c r="I160" s="208" t="e">
        <f>'1.1.'!$G$54*Sheet5!E160/100</f>
        <v>#REF!</v>
      </c>
      <c r="K160" s="195" t="e">
        <f>'1.1.'!$G$18*Sheet5!E160/100</f>
        <v>#REF!</v>
      </c>
      <c r="L160" s="195" t="e">
        <f>'1.1.'!$G$35*Sheet5!E160/100</f>
        <v>#REF!</v>
      </c>
      <c r="M160" s="195" t="e">
        <f>'1.1.'!$G$52*Sheet5!E160/100</f>
        <v>#REF!</v>
      </c>
      <c r="O160" s="195" t="e">
        <f>G160-K160</f>
        <v>#REF!</v>
      </c>
      <c r="P160" s="195" t="e">
        <f t="shared" ref="P160:P171" si="129">H160-L160</f>
        <v>#REF!</v>
      </c>
      <c r="Q160" s="195" t="e">
        <f t="shared" ref="Q160:Q171" si="130">I160-M160</f>
        <v>#REF!</v>
      </c>
    </row>
    <row r="161" spans="1:17" hidden="1" x14ac:dyDescent="0.2">
      <c r="A161" s="193" t="s">
        <v>91</v>
      </c>
      <c r="B161" s="193" t="s">
        <v>205</v>
      </c>
      <c r="C161" s="194" t="s">
        <v>167</v>
      </c>
      <c r="D161" s="195">
        <v>1345922.41</v>
      </c>
      <c r="E161" s="195">
        <f t="shared" ref="E161:E171" si="131">D161*100/$D$20</f>
        <v>8.1755888716077401</v>
      </c>
      <c r="F161" s="195" t="e">
        <f>#REF!*Sheet5!E161/100</f>
        <v>#REF!</v>
      </c>
      <c r="G161" s="208" t="e">
        <f>'1.1.'!$G$20*Sheet5!E161/100</f>
        <v>#REF!</v>
      </c>
      <c r="H161" s="208" t="e">
        <f>'1.1.'!$G$37*Sheet5!E161/100</f>
        <v>#REF!</v>
      </c>
      <c r="I161" s="208" t="e">
        <f>'1.1.'!$G$54*Sheet5!E161/100</f>
        <v>#REF!</v>
      </c>
      <c r="K161" s="195" t="e">
        <f>'1.1.'!$G$18*Sheet5!E161/100</f>
        <v>#REF!</v>
      </c>
      <c r="L161" s="195" t="e">
        <f>'1.1.'!$G$35*Sheet5!E161/100</f>
        <v>#REF!</v>
      </c>
      <c r="M161" s="195" t="e">
        <f>'1.1.'!$G$52*Sheet5!E161/100</f>
        <v>#REF!</v>
      </c>
      <c r="O161" s="195" t="e">
        <f t="shared" ref="O161:O166" si="132">G161-K161</f>
        <v>#REF!</v>
      </c>
      <c r="P161" s="195" t="e">
        <f t="shared" si="129"/>
        <v>#REF!</v>
      </c>
      <c r="Q161" s="195" t="e">
        <f t="shared" si="130"/>
        <v>#REF!</v>
      </c>
    </row>
    <row r="162" spans="1:17" hidden="1" x14ac:dyDescent="0.2">
      <c r="A162" s="193" t="s">
        <v>91</v>
      </c>
      <c r="B162" s="193" t="s">
        <v>205</v>
      </c>
      <c r="C162" s="194" t="s">
        <v>168</v>
      </c>
      <c r="D162" s="195">
        <v>1359789.78</v>
      </c>
      <c r="E162" s="195">
        <f t="shared" si="131"/>
        <v>8.2598239768471764</v>
      </c>
      <c r="F162" s="195" t="e">
        <f>#REF!*Sheet5!E162/100</f>
        <v>#REF!</v>
      </c>
      <c r="G162" s="208" t="e">
        <f>'1.1.'!$G$20*Sheet5!E162/100</f>
        <v>#REF!</v>
      </c>
      <c r="H162" s="208" t="e">
        <f>'1.1.'!$G$37*Sheet5!E162/100</f>
        <v>#REF!</v>
      </c>
      <c r="I162" s="208" t="e">
        <f>'1.1.'!$G$54*Sheet5!E162/100</f>
        <v>#REF!</v>
      </c>
      <c r="K162" s="195" t="e">
        <f>'1.1.'!$G$18*Sheet5!E162/100</f>
        <v>#REF!</v>
      </c>
      <c r="L162" s="195" t="e">
        <f>'1.1.'!$G$35*Sheet5!E162/100</f>
        <v>#REF!</v>
      </c>
      <c r="M162" s="195" t="e">
        <f>'1.1.'!$G$52*Sheet5!E162/100</f>
        <v>#REF!</v>
      </c>
      <c r="O162" s="195" t="e">
        <f t="shared" si="132"/>
        <v>#REF!</v>
      </c>
      <c r="P162" s="195" t="e">
        <f t="shared" si="129"/>
        <v>#REF!</v>
      </c>
      <c r="Q162" s="195" t="e">
        <f t="shared" si="130"/>
        <v>#REF!</v>
      </c>
    </row>
    <row r="163" spans="1:17" hidden="1" x14ac:dyDescent="0.2">
      <c r="A163" s="193" t="s">
        <v>91</v>
      </c>
      <c r="B163" s="193" t="s">
        <v>205</v>
      </c>
      <c r="C163" s="194" t="s">
        <v>169</v>
      </c>
      <c r="D163" s="195">
        <v>1455300.79</v>
      </c>
      <c r="E163" s="195">
        <f t="shared" si="131"/>
        <v>8.8399902216992974</v>
      </c>
      <c r="F163" s="195" t="e">
        <f>#REF!*Sheet5!E163/100</f>
        <v>#REF!</v>
      </c>
      <c r="G163" s="208" t="e">
        <f>'1.1.'!$G$20*Sheet5!E163/100</f>
        <v>#REF!</v>
      </c>
      <c r="H163" s="208" t="e">
        <f>'1.1.'!$G$37*Sheet5!E163/100</f>
        <v>#REF!</v>
      </c>
      <c r="I163" s="208" t="e">
        <f>'1.1.'!$G$54*Sheet5!E163/100</f>
        <v>#REF!</v>
      </c>
      <c r="K163" s="195" t="e">
        <f>'1.1.'!$G$18*Sheet5!E163/100</f>
        <v>#REF!</v>
      </c>
      <c r="L163" s="195" t="e">
        <f>'1.1.'!$G$35*Sheet5!E163/100</f>
        <v>#REF!</v>
      </c>
      <c r="M163" s="195" t="e">
        <f>'1.1.'!$G$52*Sheet5!E163/100</f>
        <v>#REF!</v>
      </c>
      <c r="O163" s="195" t="e">
        <f t="shared" si="132"/>
        <v>#REF!</v>
      </c>
      <c r="P163" s="195" t="e">
        <f t="shared" si="129"/>
        <v>#REF!</v>
      </c>
      <c r="Q163" s="195" t="e">
        <f t="shared" si="130"/>
        <v>#REF!</v>
      </c>
    </row>
    <row r="164" spans="1:17" hidden="1" x14ac:dyDescent="0.2">
      <c r="A164" s="193" t="s">
        <v>91</v>
      </c>
      <c r="B164" s="193" t="s">
        <v>205</v>
      </c>
      <c r="C164" s="194" t="s">
        <v>170</v>
      </c>
      <c r="D164" s="195">
        <v>1424578.2500000002</v>
      </c>
      <c r="E164" s="195">
        <f t="shared" si="131"/>
        <v>8.6533711014102455</v>
      </c>
      <c r="F164" s="195" t="e">
        <f>#REF!*Sheet5!E164/100</f>
        <v>#REF!</v>
      </c>
      <c r="G164" s="208" t="e">
        <f>'1.1.'!$G$20*Sheet5!E164/100</f>
        <v>#REF!</v>
      </c>
      <c r="H164" s="208" t="e">
        <f>'1.1.'!$G$37*Sheet5!E164/100</f>
        <v>#REF!</v>
      </c>
      <c r="I164" s="208" t="e">
        <f>'1.1.'!$G$54*Sheet5!E164/100</f>
        <v>#REF!</v>
      </c>
      <c r="K164" s="195" t="e">
        <f>'1.1.'!$G$18*Sheet5!E164/100</f>
        <v>#REF!</v>
      </c>
      <c r="L164" s="195" t="e">
        <f>'1.1.'!$G$35*Sheet5!E164/100</f>
        <v>#REF!</v>
      </c>
      <c r="M164" s="195" t="e">
        <f>'1.1.'!$G$52*Sheet5!E164/100</f>
        <v>#REF!</v>
      </c>
      <c r="O164" s="195" t="e">
        <f t="shared" si="132"/>
        <v>#REF!</v>
      </c>
      <c r="P164" s="195" t="e">
        <f t="shared" si="129"/>
        <v>#REF!</v>
      </c>
      <c r="Q164" s="195" t="e">
        <f t="shared" si="130"/>
        <v>#REF!</v>
      </c>
    </row>
    <row r="165" spans="1:17" hidden="1" x14ac:dyDescent="0.2">
      <c r="A165" s="193" t="s">
        <v>91</v>
      </c>
      <c r="B165" s="193" t="s">
        <v>205</v>
      </c>
      <c r="C165" s="194" t="s">
        <v>171</v>
      </c>
      <c r="D165" s="195">
        <v>1357461.55</v>
      </c>
      <c r="E165" s="195">
        <f t="shared" si="131"/>
        <v>8.245681518755152</v>
      </c>
      <c r="F165" s="195" t="e">
        <f>#REF!*Sheet5!E165/100</f>
        <v>#REF!</v>
      </c>
      <c r="G165" s="208" t="e">
        <f>'1.1.'!$G$20*Sheet5!E165/100</f>
        <v>#REF!</v>
      </c>
      <c r="H165" s="208" t="e">
        <f>'1.1.'!$G$37*Sheet5!E165/100</f>
        <v>#REF!</v>
      </c>
      <c r="I165" s="208" t="e">
        <f>'1.1.'!$G$54*Sheet5!E165/100</f>
        <v>#REF!</v>
      </c>
      <c r="K165" s="195" t="e">
        <f>'1.1.'!$G$18*Sheet5!E165/100</f>
        <v>#REF!</v>
      </c>
      <c r="L165" s="195" t="e">
        <f>'1.1.'!$G$35*Sheet5!E165/100</f>
        <v>#REF!</v>
      </c>
      <c r="M165" s="195" t="e">
        <f>'1.1.'!$G$52*Sheet5!E165/100</f>
        <v>#REF!</v>
      </c>
      <c r="O165" s="195" t="e">
        <f t="shared" si="132"/>
        <v>#REF!</v>
      </c>
      <c r="P165" s="195" t="e">
        <f t="shared" si="129"/>
        <v>#REF!</v>
      </c>
      <c r="Q165" s="195" t="e">
        <f t="shared" si="130"/>
        <v>#REF!</v>
      </c>
    </row>
    <row r="166" spans="1:17" hidden="1" x14ac:dyDescent="0.2">
      <c r="A166" s="193" t="s">
        <v>91</v>
      </c>
      <c r="B166" s="193" t="s">
        <v>205</v>
      </c>
      <c r="C166" s="194" t="s">
        <v>172</v>
      </c>
      <c r="D166" s="195">
        <v>1195371.06</v>
      </c>
      <c r="E166" s="195">
        <f t="shared" si="131"/>
        <v>7.2610889475998457</v>
      </c>
      <c r="F166" s="195" t="e">
        <f>#REF!*Sheet5!E166/100</f>
        <v>#REF!</v>
      </c>
      <c r="G166" s="208" t="e">
        <f>'1.1.'!$G$20*Sheet5!E166/100</f>
        <v>#REF!</v>
      </c>
      <c r="H166" s="208" t="e">
        <f>'1.1.'!$G$37*Sheet5!E166/100</f>
        <v>#REF!</v>
      </c>
      <c r="I166" s="208" t="e">
        <f>'1.1.'!$G$54*Sheet5!E166/100</f>
        <v>#REF!</v>
      </c>
      <c r="K166" s="195" t="e">
        <f>'1.1.'!$G$18*Sheet5!E166/100</f>
        <v>#REF!</v>
      </c>
      <c r="L166" s="195" t="e">
        <f>'1.1.'!$G$35*Sheet5!E166/100</f>
        <v>#REF!</v>
      </c>
      <c r="M166" s="195" t="e">
        <f>'1.1.'!$G$52*Sheet5!E166/100</f>
        <v>#REF!</v>
      </c>
      <c r="O166" s="195" t="e">
        <f t="shared" si="132"/>
        <v>#REF!</v>
      </c>
      <c r="P166" s="195" t="e">
        <f t="shared" si="129"/>
        <v>#REF!</v>
      </c>
      <c r="Q166" s="195" t="e">
        <f t="shared" si="130"/>
        <v>#REF!</v>
      </c>
    </row>
    <row r="167" spans="1:17" hidden="1" x14ac:dyDescent="0.2">
      <c r="A167" s="193" t="s">
        <v>91</v>
      </c>
      <c r="B167" s="193" t="s">
        <v>205</v>
      </c>
      <c r="C167" s="194" t="s">
        <v>173</v>
      </c>
      <c r="D167" s="195">
        <v>1254926.53</v>
      </c>
      <c r="E167" s="195">
        <f t="shared" si="131"/>
        <v>7.6228490566208169</v>
      </c>
      <c r="F167" s="195" t="e">
        <f>#REF!*Sheet5!E167/100</f>
        <v>#REF!</v>
      </c>
      <c r="G167" s="208" t="e">
        <f>'1.1.'!$G$20*Sheet5!E167/100</f>
        <v>#REF!</v>
      </c>
      <c r="H167" s="208" t="e">
        <f>'1.1.'!$G$37*Sheet5!E167/100</f>
        <v>#REF!</v>
      </c>
      <c r="I167" s="208" t="e">
        <f>'1.1.'!$G$54*Sheet5!E167/100</f>
        <v>#REF!</v>
      </c>
      <c r="K167" s="195" t="e">
        <f>'1.1.'!$G$18*Sheet5!E167/100</f>
        <v>#REF!</v>
      </c>
      <c r="L167" s="195" t="e">
        <f>'1.1.'!$G$35*Sheet5!E167/100</f>
        <v>#REF!</v>
      </c>
      <c r="M167" s="195" t="e">
        <f>'1.1.'!$G$52*Sheet5!E167/100</f>
        <v>#REF!</v>
      </c>
      <c r="O167" s="195" t="e">
        <f>G167-K167</f>
        <v>#REF!</v>
      </c>
      <c r="P167" s="195" t="e">
        <f t="shared" si="129"/>
        <v>#REF!</v>
      </c>
      <c r="Q167" s="195" t="e">
        <f t="shared" si="130"/>
        <v>#REF!</v>
      </c>
    </row>
    <row r="168" spans="1:17" hidden="1" x14ac:dyDescent="0.2">
      <c r="A168" s="193" t="s">
        <v>91</v>
      </c>
      <c r="B168" s="193" t="s">
        <v>205</v>
      </c>
      <c r="C168" s="194" t="s">
        <v>174</v>
      </c>
      <c r="D168" s="195">
        <v>1385671.28</v>
      </c>
      <c r="E168" s="195">
        <f t="shared" si="131"/>
        <v>8.4170369794752524</v>
      </c>
      <c r="F168" s="195" t="e">
        <f>#REF!*Sheet5!E168/100</f>
        <v>#REF!</v>
      </c>
      <c r="G168" s="208" t="e">
        <f>'1.1.'!$G$20*Sheet5!E168/100</f>
        <v>#REF!</v>
      </c>
      <c r="H168" s="208" t="e">
        <f>'1.1.'!$G$37*Sheet5!E168/100</f>
        <v>#REF!</v>
      </c>
      <c r="I168" s="208" t="e">
        <f>'1.1.'!$G$54*Sheet5!E168/100</f>
        <v>#REF!</v>
      </c>
      <c r="J168" s="196"/>
      <c r="K168" s="195" t="e">
        <f>'1.1.'!$G$18*Sheet5!E168/100</f>
        <v>#REF!</v>
      </c>
      <c r="L168" s="195" t="e">
        <f>'1.1.'!$G$35*Sheet5!E168/100</f>
        <v>#REF!</v>
      </c>
      <c r="M168" s="195" t="e">
        <f>'1.1.'!$G$52*Sheet5!E168/100</f>
        <v>#REF!</v>
      </c>
      <c r="O168" s="195" t="e">
        <f t="shared" ref="O168:O171" si="133">G168-K168</f>
        <v>#REF!</v>
      </c>
      <c r="P168" s="195" t="e">
        <f t="shared" si="129"/>
        <v>#REF!</v>
      </c>
      <c r="Q168" s="195" t="e">
        <f t="shared" si="130"/>
        <v>#REF!</v>
      </c>
    </row>
    <row r="169" spans="1:17" hidden="1" x14ac:dyDescent="0.2">
      <c r="A169" s="193" t="s">
        <v>91</v>
      </c>
      <c r="B169" s="193" t="s">
        <v>205</v>
      </c>
      <c r="C169" s="194" t="s">
        <v>175</v>
      </c>
      <c r="D169" s="195">
        <v>1357421.7699999998</v>
      </c>
      <c r="E169" s="195">
        <f t="shared" si="131"/>
        <v>8.2454398815531107</v>
      </c>
      <c r="F169" s="195" t="e">
        <f>#REF!*Sheet5!E169/100</f>
        <v>#REF!</v>
      </c>
      <c r="G169" s="208" t="e">
        <f>'1.1.'!$G$20*Sheet5!E169/100</f>
        <v>#REF!</v>
      </c>
      <c r="H169" s="208" t="e">
        <f>'1.1.'!$G$37*Sheet5!E169/100</f>
        <v>#REF!</v>
      </c>
      <c r="I169" s="208" t="e">
        <f>'1.1.'!$G$54*Sheet5!E169/100</f>
        <v>#REF!</v>
      </c>
      <c r="J169" s="196"/>
      <c r="K169" s="195" t="e">
        <f>'1.1.'!$G$18*Sheet5!E169/100</f>
        <v>#REF!</v>
      </c>
      <c r="L169" s="195" t="e">
        <f>'1.1.'!$G$35*Sheet5!E169/100</f>
        <v>#REF!</v>
      </c>
      <c r="M169" s="195" t="e">
        <f>'1.1.'!$G$52*Sheet5!E169/100</f>
        <v>#REF!</v>
      </c>
      <c r="O169" s="195" t="e">
        <f t="shared" si="133"/>
        <v>#REF!</v>
      </c>
      <c r="P169" s="195" t="e">
        <f t="shared" si="129"/>
        <v>#REF!</v>
      </c>
      <c r="Q169" s="195" t="e">
        <f t="shared" si="130"/>
        <v>#REF!</v>
      </c>
    </row>
    <row r="170" spans="1:17" hidden="1" x14ac:dyDescent="0.2">
      <c r="A170" s="193" t="s">
        <v>91</v>
      </c>
      <c r="B170" s="193" t="s">
        <v>205</v>
      </c>
      <c r="C170" s="194" t="s">
        <v>176</v>
      </c>
      <c r="D170" s="195">
        <v>1473223.48</v>
      </c>
      <c r="E170" s="195">
        <f t="shared" si="131"/>
        <v>8.9488587150274341</v>
      </c>
      <c r="F170" s="195" t="e">
        <f>#REF!*Sheet5!E170/100</f>
        <v>#REF!</v>
      </c>
      <c r="G170" s="208" t="e">
        <f>'1.1.'!$G$20*Sheet5!E170/100</f>
        <v>#REF!</v>
      </c>
      <c r="H170" s="208" t="e">
        <f>'1.1.'!$G$37*Sheet5!E170/100</f>
        <v>#REF!</v>
      </c>
      <c r="I170" s="208" t="e">
        <f>'1.1.'!$G$54*Sheet5!E170/100</f>
        <v>#REF!</v>
      </c>
      <c r="K170" s="195" t="e">
        <f>'1.1.'!$G$18*Sheet5!E170/100</f>
        <v>#REF!</v>
      </c>
      <c r="L170" s="195" t="e">
        <f>'1.1.'!$G$35*Sheet5!E170/100</f>
        <v>#REF!</v>
      </c>
      <c r="M170" s="195" t="e">
        <f>'1.1.'!$G$52*Sheet5!E170/100</f>
        <v>#REF!</v>
      </c>
      <c r="O170" s="195" t="e">
        <f t="shared" si="133"/>
        <v>#REF!</v>
      </c>
      <c r="P170" s="195" t="e">
        <f t="shared" si="129"/>
        <v>#REF!</v>
      </c>
      <c r="Q170" s="195" t="e">
        <f t="shared" si="130"/>
        <v>#REF!</v>
      </c>
    </row>
    <row r="171" spans="1:17" hidden="1" x14ac:dyDescent="0.2">
      <c r="A171" s="193" t="s">
        <v>91</v>
      </c>
      <c r="B171" s="193" t="s">
        <v>205</v>
      </c>
      <c r="C171" s="194" t="s">
        <v>204</v>
      </c>
      <c r="D171" s="195">
        <v>1552768.75</v>
      </c>
      <c r="E171" s="195">
        <f t="shared" si="131"/>
        <v>9.4320436440910882</v>
      </c>
      <c r="F171" s="195" t="e">
        <f>#REF!*Sheet5!E171/100</f>
        <v>#REF!</v>
      </c>
      <c r="G171" s="208" t="e">
        <f>'1.1.'!$G$20*Sheet5!E171/100</f>
        <v>#REF!</v>
      </c>
      <c r="H171" s="208" t="e">
        <f>'1.1.'!$G$37*Sheet5!E171/100</f>
        <v>#REF!</v>
      </c>
      <c r="I171" s="208" t="e">
        <f>'1.1.'!$G$54*Sheet5!E171/100</f>
        <v>#REF!</v>
      </c>
      <c r="K171" s="195" t="e">
        <f>'1.1.'!$G$18*Sheet5!E171/100</f>
        <v>#REF!</v>
      </c>
      <c r="L171" s="195" t="e">
        <f>'1.1.'!$G$35*Sheet5!E171/100</f>
        <v>#REF!</v>
      </c>
      <c r="M171" s="195" t="e">
        <f>'1.1.'!$G$52*Sheet5!E171/100</f>
        <v>#REF!</v>
      </c>
      <c r="O171" s="195" t="e">
        <f t="shared" si="133"/>
        <v>#REF!</v>
      </c>
      <c r="P171" s="195" t="e">
        <f t="shared" si="129"/>
        <v>#REF!</v>
      </c>
      <c r="Q171" s="195" t="e">
        <f t="shared" si="130"/>
        <v>#REF!</v>
      </c>
    </row>
    <row r="172" spans="1:17" s="197" customFormat="1" hidden="1" x14ac:dyDescent="0.2">
      <c r="A172" s="193" t="s">
        <v>91</v>
      </c>
      <c r="B172" s="193" t="s">
        <v>205</v>
      </c>
      <c r="C172" s="205" t="s">
        <v>182</v>
      </c>
      <c r="D172" s="206">
        <f t="shared" ref="D172:I172" si="134">SUM(D160:D171)</f>
        <v>16462696.829999998</v>
      </c>
      <c r="E172" s="206">
        <f t="shared" si="134"/>
        <v>100.00000000000003</v>
      </c>
      <c r="F172" s="206" t="e">
        <f t="shared" si="134"/>
        <v>#REF!</v>
      </c>
      <c r="G172" s="206" t="e">
        <f t="shared" si="134"/>
        <v>#REF!</v>
      </c>
      <c r="H172" s="206" t="e">
        <f t="shared" si="134"/>
        <v>#REF!</v>
      </c>
      <c r="I172" s="206" t="e">
        <f t="shared" si="134"/>
        <v>#REF!</v>
      </c>
      <c r="K172" s="206" t="e">
        <f>SUM(K160:K171)</f>
        <v>#REF!</v>
      </c>
      <c r="L172" s="206" t="e">
        <f>SUM(L160:L171)</f>
        <v>#REF!</v>
      </c>
      <c r="M172" s="206" t="e">
        <f>SUM(M160:M171)</f>
        <v>#REF!</v>
      </c>
      <c r="O172" s="206" t="e">
        <f>SUM(O160:O171)</f>
        <v>#REF!</v>
      </c>
      <c r="P172" s="206" t="e">
        <f>SUM(P160:P171)</f>
        <v>#REF!</v>
      </c>
      <c r="Q172" s="206" t="e">
        <f>SUM(Q160:Q171)</f>
        <v>#REF!</v>
      </c>
    </row>
    <row r="173" spans="1:17" hidden="1" x14ac:dyDescent="0.2">
      <c r="A173" s="193" t="s">
        <v>91</v>
      </c>
      <c r="F173" s="202"/>
      <c r="G173" s="209" t="e">
        <f>G172-'1.1.'!G17</f>
        <v>#REF!</v>
      </c>
      <c r="H173" s="209" t="e">
        <f>H172-'1.1.'!G34</f>
        <v>#REF!</v>
      </c>
      <c r="I173" s="209" t="e">
        <f>I172-'1.1.'!G51</f>
        <v>#REF!</v>
      </c>
      <c r="K173" s="202" t="e">
        <f>K172-G172</f>
        <v>#REF!</v>
      </c>
      <c r="L173" s="202" t="e">
        <f t="shared" ref="L173:M173" si="135">L172-H172</f>
        <v>#REF!</v>
      </c>
      <c r="M173" s="202" t="e">
        <f t="shared" si="135"/>
        <v>#REF!</v>
      </c>
      <c r="O173" s="202" t="e">
        <f>O172-0</f>
        <v>#REF!</v>
      </c>
      <c r="P173" s="202" t="e">
        <f t="shared" ref="P173:Q173" si="136">P172-0</f>
        <v>#REF!</v>
      </c>
      <c r="Q173" s="202" t="e">
        <f t="shared" si="136"/>
        <v>#REF!</v>
      </c>
    </row>
    <row r="174" spans="1:17" hidden="1" x14ac:dyDescent="0.2">
      <c r="A174" s="193" t="s">
        <v>91</v>
      </c>
      <c r="B174" s="193" t="s">
        <v>206</v>
      </c>
      <c r="C174" s="528" t="s">
        <v>179</v>
      </c>
      <c r="D174" s="528"/>
      <c r="E174" s="201"/>
      <c r="G174" s="529" t="str">
        <f>G158</f>
        <v xml:space="preserve">KOPĀ 3.risinājums </v>
      </c>
      <c r="H174" s="529"/>
      <c r="I174" s="529"/>
      <c r="K174" s="530" t="str">
        <f>K158</f>
        <v>KOPĀ valsts budžets 3.risinājums</v>
      </c>
      <c r="L174" s="530"/>
      <c r="M174" s="530"/>
      <c r="O174" s="530" t="str">
        <f>O158</f>
        <v>KOPĀ pašvaldību budžets 3.risinājums</v>
      </c>
      <c r="P174" s="530"/>
      <c r="Q174" s="530"/>
    </row>
    <row r="175" spans="1:17" hidden="1" x14ac:dyDescent="0.2">
      <c r="A175" s="193" t="s">
        <v>91</v>
      </c>
      <c r="B175" s="193" t="s">
        <v>206</v>
      </c>
      <c r="C175" s="34"/>
      <c r="D175" s="198">
        <v>2019</v>
      </c>
      <c r="E175" s="198"/>
      <c r="F175" s="199" t="str">
        <f>F159</f>
        <v>2020.gads</v>
      </c>
      <c r="G175" s="207" t="str">
        <f>G159</f>
        <v>2021.gads</v>
      </c>
      <c r="H175" s="207" t="str">
        <f>H159</f>
        <v>2022.gads</v>
      </c>
      <c r="I175" s="207" t="str">
        <f>I159</f>
        <v>2023.gads</v>
      </c>
      <c r="K175" s="199" t="str">
        <f>K159</f>
        <v>2021.gads</v>
      </c>
      <c r="L175" s="199" t="str">
        <f>L159</f>
        <v>2022.gads</v>
      </c>
      <c r="M175" s="199" t="str">
        <f>M159</f>
        <v>2023.gads</v>
      </c>
      <c r="O175" s="199" t="str">
        <f>O159</f>
        <v>2021.gads</v>
      </c>
      <c r="P175" s="199" t="str">
        <f>P159</f>
        <v>2022.gads</v>
      </c>
      <c r="Q175" s="199" t="str">
        <f>Q159</f>
        <v>2023.gads</v>
      </c>
    </row>
    <row r="176" spans="1:17" hidden="1" x14ac:dyDescent="0.2">
      <c r="A176" s="193" t="s">
        <v>91</v>
      </c>
      <c r="B176" s="193" t="s">
        <v>206</v>
      </c>
      <c r="C176" s="194" t="s">
        <v>166</v>
      </c>
      <c r="D176" s="195">
        <v>1495656.14</v>
      </c>
      <c r="E176" s="195"/>
      <c r="F176" s="195">
        <f>D171</f>
        <v>1552768.75</v>
      </c>
      <c r="G176" s="208" t="e">
        <f>F171</f>
        <v>#REF!</v>
      </c>
      <c r="H176" s="208" t="e">
        <f>G171</f>
        <v>#REF!</v>
      </c>
      <c r="I176" s="208" t="e">
        <f>H171</f>
        <v>#REF!</v>
      </c>
      <c r="K176" s="195" t="e">
        <f>F171</f>
        <v>#REF!</v>
      </c>
      <c r="L176" s="195" t="e">
        <f>K171</f>
        <v>#REF!</v>
      </c>
      <c r="M176" s="195" t="e">
        <f>L171</f>
        <v>#REF!</v>
      </c>
      <c r="O176" s="195">
        <v>0</v>
      </c>
      <c r="P176" s="195" t="e">
        <f>O171</f>
        <v>#REF!</v>
      </c>
      <c r="Q176" s="195" t="e">
        <f>P171</f>
        <v>#REF!</v>
      </c>
    </row>
    <row r="177" spans="1:17" hidden="1" x14ac:dyDescent="0.2">
      <c r="A177" s="193" t="s">
        <v>91</v>
      </c>
      <c r="B177" s="193" t="s">
        <v>206</v>
      </c>
      <c r="C177" s="194" t="s">
        <v>167</v>
      </c>
      <c r="D177" s="195">
        <v>1300261.1800000002</v>
      </c>
      <c r="E177" s="195"/>
      <c r="F177" s="195" t="e">
        <f>F160</f>
        <v>#REF!</v>
      </c>
      <c r="G177" s="208" t="e">
        <f>G160</f>
        <v>#REF!</v>
      </c>
      <c r="H177" s="208" t="e">
        <f>H160</f>
        <v>#REF!</v>
      </c>
      <c r="I177" s="208" t="e">
        <f>I160</f>
        <v>#REF!</v>
      </c>
      <c r="K177" s="195" t="e">
        <f>K160</f>
        <v>#REF!</v>
      </c>
      <c r="L177" s="195" t="e">
        <f>L160</f>
        <v>#REF!</v>
      </c>
      <c r="M177" s="195" t="e">
        <f>M160</f>
        <v>#REF!</v>
      </c>
      <c r="O177" s="195" t="e">
        <f>O160</f>
        <v>#REF!</v>
      </c>
      <c r="P177" s="195" t="e">
        <f>P160</f>
        <v>#REF!</v>
      </c>
      <c r="Q177" s="195" t="e">
        <f>Q160</f>
        <v>#REF!</v>
      </c>
    </row>
    <row r="178" spans="1:17" hidden="1" x14ac:dyDescent="0.2">
      <c r="A178" s="193" t="s">
        <v>91</v>
      </c>
      <c r="B178" s="193" t="s">
        <v>206</v>
      </c>
      <c r="C178" s="194" t="s">
        <v>168</v>
      </c>
      <c r="D178" s="195">
        <v>1345922.41</v>
      </c>
      <c r="E178" s="195"/>
      <c r="F178" s="195" t="e">
        <f t="shared" ref="F178:I178" si="137">F161</f>
        <v>#REF!</v>
      </c>
      <c r="G178" s="208" t="e">
        <f t="shared" si="137"/>
        <v>#REF!</v>
      </c>
      <c r="H178" s="208" t="e">
        <f t="shared" si="137"/>
        <v>#REF!</v>
      </c>
      <c r="I178" s="208" t="e">
        <f t="shared" si="137"/>
        <v>#REF!</v>
      </c>
      <c r="K178" s="195" t="e">
        <f t="shared" ref="K178:M178" si="138">K161</f>
        <v>#REF!</v>
      </c>
      <c r="L178" s="195" t="e">
        <f t="shared" si="138"/>
        <v>#REF!</v>
      </c>
      <c r="M178" s="195" t="e">
        <f t="shared" si="138"/>
        <v>#REF!</v>
      </c>
      <c r="O178" s="195" t="e">
        <f t="shared" ref="O178:Q178" si="139">O161</f>
        <v>#REF!</v>
      </c>
      <c r="P178" s="195" t="e">
        <f t="shared" si="139"/>
        <v>#REF!</v>
      </c>
      <c r="Q178" s="195" t="e">
        <f t="shared" si="139"/>
        <v>#REF!</v>
      </c>
    </row>
    <row r="179" spans="1:17" hidden="1" x14ac:dyDescent="0.2">
      <c r="A179" s="193" t="s">
        <v>91</v>
      </c>
      <c r="B179" s="193" t="s">
        <v>206</v>
      </c>
      <c r="C179" s="194" t="s">
        <v>169</v>
      </c>
      <c r="D179" s="195">
        <v>1359789.78</v>
      </c>
      <c r="E179" s="195"/>
      <c r="F179" s="195" t="e">
        <f t="shared" ref="F179:I179" si="140">F162</f>
        <v>#REF!</v>
      </c>
      <c r="G179" s="208" t="e">
        <f t="shared" si="140"/>
        <v>#REF!</v>
      </c>
      <c r="H179" s="208" t="e">
        <f t="shared" si="140"/>
        <v>#REF!</v>
      </c>
      <c r="I179" s="208" t="e">
        <f t="shared" si="140"/>
        <v>#REF!</v>
      </c>
      <c r="K179" s="195" t="e">
        <f t="shared" ref="K179:M179" si="141">K162</f>
        <v>#REF!</v>
      </c>
      <c r="L179" s="195" t="e">
        <f t="shared" si="141"/>
        <v>#REF!</v>
      </c>
      <c r="M179" s="195" t="e">
        <f t="shared" si="141"/>
        <v>#REF!</v>
      </c>
      <c r="O179" s="195" t="e">
        <f t="shared" ref="O179:Q179" si="142">O162</f>
        <v>#REF!</v>
      </c>
      <c r="P179" s="195" t="e">
        <f t="shared" si="142"/>
        <v>#REF!</v>
      </c>
      <c r="Q179" s="195" t="e">
        <f t="shared" si="142"/>
        <v>#REF!</v>
      </c>
    </row>
    <row r="180" spans="1:17" hidden="1" x14ac:dyDescent="0.2">
      <c r="A180" s="193" t="s">
        <v>91</v>
      </c>
      <c r="B180" s="193" t="s">
        <v>206</v>
      </c>
      <c r="C180" s="194" t="s">
        <v>170</v>
      </c>
      <c r="D180" s="195">
        <v>1455300.79</v>
      </c>
      <c r="E180" s="195"/>
      <c r="F180" s="195" t="e">
        <f t="shared" ref="F180:I180" si="143">F163</f>
        <v>#REF!</v>
      </c>
      <c r="G180" s="208" t="e">
        <f t="shared" si="143"/>
        <v>#REF!</v>
      </c>
      <c r="H180" s="208" t="e">
        <f t="shared" si="143"/>
        <v>#REF!</v>
      </c>
      <c r="I180" s="208" t="e">
        <f t="shared" si="143"/>
        <v>#REF!</v>
      </c>
      <c r="K180" s="195" t="e">
        <f t="shared" ref="K180:M180" si="144">K163</f>
        <v>#REF!</v>
      </c>
      <c r="L180" s="195" t="e">
        <f t="shared" si="144"/>
        <v>#REF!</v>
      </c>
      <c r="M180" s="195" t="e">
        <f t="shared" si="144"/>
        <v>#REF!</v>
      </c>
      <c r="O180" s="195" t="e">
        <f t="shared" ref="O180:Q180" si="145">O163</f>
        <v>#REF!</v>
      </c>
      <c r="P180" s="195" t="e">
        <f t="shared" si="145"/>
        <v>#REF!</v>
      </c>
      <c r="Q180" s="195" t="e">
        <f t="shared" si="145"/>
        <v>#REF!</v>
      </c>
    </row>
    <row r="181" spans="1:17" hidden="1" x14ac:dyDescent="0.2">
      <c r="A181" s="193" t="s">
        <v>91</v>
      </c>
      <c r="B181" s="193" t="s">
        <v>206</v>
      </c>
      <c r="C181" s="194" t="s">
        <v>171</v>
      </c>
      <c r="D181" s="195">
        <v>1424578.2500000002</v>
      </c>
      <c r="E181" s="195"/>
      <c r="F181" s="195" t="e">
        <f t="shared" ref="F181:I181" si="146">F164</f>
        <v>#REF!</v>
      </c>
      <c r="G181" s="208" t="e">
        <f t="shared" si="146"/>
        <v>#REF!</v>
      </c>
      <c r="H181" s="208" t="e">
        <f t="shared" si="146"/>
        <v>#REF!</v>
      </c>
      <c r="I181" s="208" t="e">
        <f t="shared" si="146"/>
        <v>#REF!</v>
      </c>
      <c r="K181" s="195" t="e">
        <f t="shared" ref="K181:M181" si="147">K164</f>
        <v>#REF!</v>
      </c>
      <c r="L181" s="195" t="e">
        <f t="shared" si="147"/>
        <v>#REF!</v>
      </c>
      <c r="M181" s="195" t="e">
        <f t="shared" si="147"/>
        <v>#REF!</v>
      </c>
      <c r="O181" s="195" t="e">
        <f t="shared" ref="O181:Q181" si="148">O164</f>
        <v>#REF!</v>
      </c>
      <c r="P181" s="195" t="e">
        <f t="shared" si="148"/>
        <v>#REF!</v>
      </c>
      <c r="Q181" s="195" t="e">
        <f t="shared" si="148"/>
        <v>#REF!</v>
      </c>
    </row>
    <row r="182" spans="1:17" hidden="1" x14ac:dyDescent="0.2">
      <c r="A182" s="193" t="s">
        <v>91</v>
      </c>
      <c r="B182" s="193" t="s">
        <v>206</v>
      </c>
      <c r="C182" s="194" t="s">
        <v>172</v>
      </c>
      <c r="D182" s="195">
        <v>1357461.55</v>
      </c>
      <c r="E182" s="195"/>
      <c r="F182" s="195" t="e">
        <f t="shared" ref="F182:I182" si="149">F165</f>
        <v>#REF!</v>
      </c>
      <c r="G182" s="208" t="e">
        <f t="shared" si="149"/>
        <v>#REF!</v>
      </c>
      <c r="H182" s="208" t="e">
        <f t="shared" si="149"/>
        <v>#REF!</v>
      </c>
      <c r="I182" s="208" t="e">
        <f t="shared" si="149"/>
        <v>#REF!</v>
      </c>
      <c r="K182" s="195" t="e">
        <f t="shared" ref="K182:M182" si="150">K165</f>
        <v>#REF!</v>
      </c>
      <c r="L182" s="195" t="e">
        <f t="shared" si="150"/>
        <v>#REF!</v>
      </c>
      <c r="M182" s="195" t="e">
        <f t="shared" si="150"/>
        <v>#REF!</v>
      </c>
      <c r="O182" s="195" t="e">
        <f t="shared" ref="O182:Q182" si="151">O165</f>
        <v>#REF!</v>
      </c>
      <c r="P182" s="195" t="e">
        <f t="shared" si="151"/>
        <v>#REF!</v>
      </c>
      <c r="Q182" s="195" t="e">
        <f t="shared" si="151"/>
        <v>#REF!</v>
      </c>
    </row>
    <row r="183" spans="1:17" hidden="1" x14ac:dyDescent="0.2">
      <c r="A183" s="193" t="s">
        <v>91</v>
      </c>
      <c r="B183" s="193" t="s">
        <v>206</v>
      </c>
      <c r="C183" s="194" t="s">
        <v>173</v>
      </c>
      <c r="D183" s="195">
        <v>1195371.06</v>
      </c>
      <c r="E183" s="195"/>
      <c r="F183" s="195" t="e">
        <f t="shared" ref="F183:I183" si="152">F166</f>
        <v>#REF!</v>
      </c>
      <c r="G183" s="208" t="e">
        <f t="shared" si="152"/>
        <v>#REF!</v>
      </c>
      <c r="H183" s="208" t="e">
        <f t="shared" si="152"/>
        <v>#REF!</v>
      </c>
      <c r="I183" s="208" t="e">
        <f t="shared" si="152"/>
        <v>#REF!</v>
      </c>
      <c r="K183" s="195" t="e">
        <f t="shared" ref="K183:M183" si="153">K166</f>
        <v>#REF!</v>
      </c>
      <c r="L183" s="195" t="e">
        <f t="shared" si="153"/>
        <v>#REF!</v>
      </c>
      <c r="M183" s="195" t="e">
        <f t="shared" si="153"/>
        <v>#REF!</v>
      </c>
      <c r="O183" s="195" t="e">
        <f t="shared" ref="O183:Q183" si="154">O166</f>
        <v>#REF!</v>
      </c>
      <c r="P183" s="195" t="e">
        <f t="shared" si="154"/>
        <v>#REF!</v>
      </c>
      <c r="Q183" s="195" t="e">
        <f t="shared" si="154"/>
        <v>#REF!</v>
      </c>
    </row>
    <row r="184" spans="1:17" hidden="1" x14ac:dyDescent="0.2">
      <c r="A184" s="193" t="s">
        <v>91</v>
      </c>
      <c r="B184" s="193" t="s">
        <v>206</v>
      </c>
      <c r="C184" s="194" t="s">
        <v>174</v>
      </c>
      <c r="D184" s="195">
        <v>1254926.53</v>
      </c>
      <c r="E184" s="195"/>
      <c r="F184" s="195" t="e">
        <f t="shared" ref="F184:I184" si="155">F167</f>
        <v>#REF!</v>
      </c>
      <c r="G184" s="208" t="e">
        <f t="shared" si="155"/>
        <v>#REF!</v>
      </c>
      <c r="H184" s="208" t="e">
        <f t="shared" si="155"/>
        <v>#REF!</v>
      </c>
      <c r="I184" s="208" t="e">
        <f t="shared" si="155"/>
        <v>#REF!</v>
      </c>
      <c r="K184" s="195" t="e">
        <f t="shared" ref="K184:M184" si="156">K167</f>
        <v>#REF!</v>
      </c>
      <c r="L184" s="195" t="e">
        <f t="shared" si="156"/>
        <v>#REF!</v>
      </c>
      <c r="M184" s="195" t="e">
        <f t="shared" si="156"/>
        <v>#REF!</v>
      </c>
      <c r="O184" s="195" t="e">
        <f t="shared" ref="O184:Q184" si="157">O167</f>
        <v>#REF!</v>
      </c>
      <c r="P184" s="195" t="e">
        <f t="shared" si="157"/>
        <v>#REF!</v>
      </c>
      <c r="Q184" s="195" t="e">
        <f t="shared" si="157"/>
        <v>#REF!</v>
      </c>
    </row>
    <row r="185" spans="1:17" hidden="1" x14ac:dyDescent="0.2">
      <c r="A185" s="193" t="s">
        <v>91</v>
      </c>
      <c r="B185" s="193" t="s">
        <v>206</v>
      </c>
      <c r="C185" s="194" t="s">
        <v>175</v>
      </c>
      <c r="D185" s="195">
        <v>1385671.28</v>
      </c>
      <c r="E185" s="195"/>
      <c r="F185" s="195" t="e">
        <f t="shared" ref="F185:I185" si="158">F168</f>
        <v>#REF!</v>
      </c>
      <c r="G185" s="208" t="e">
        <f t="shared" si="158"/>
        <v>#REF!</v>
      </c>
      <c r="H185" s="208" t="e">
        <f t="shared" si="158"/>
        <v>#REF!</v>
      </c>
      <c r="I185" s="208" t="e">
        <f t="shared" si="158"/>
        <v>#REF!</v>
      </c>
      <c r="K185" s="195" t="e">
        <f t="shared" ref="K185:M185" si="159">K168</f>
        <v>#REF!</v>
      </c>
      <c r="L185" s="195" t="e">
        <f t="shared" si="159"/>
        <v>#REF!</v>
      </c>
      <c r="M185" s="195" t="e">
        <f t="shared" si="159"/>
        <v>#REF!</v>
      </c>
      <c r="O185" s="195" t="e">
        <f t="shared" ref="O185:Q185" si="160">O168</f>
        <v>#REF!</v>
      </c>
      <c r="P185" s="195" t="e">
        <f t="shared" si="160"/>
        <v>#REF!</v>
      </c>
      <c r="Q185" s="195" t="e">
        <f t="shared" si="160"/>
        <v>#REF!</v>
      </c>
    </row>
    <row r="186" spans="1:17" hidden="1" x14ac:dyDescent="0.2">
      <c r="A186" s="193" t="s">
        <v>91</v>
      </c>
      <c r="B186" s="193" t="s">
        <v>206</v>
      </c>
      <c r="C186" s="194" t="s">
        <v>176</v>
      </c>
      <c r="D186" s="195">
        <v>1357421.7699999998</v>
      </c>
      <c r="E186" s="195"/>
      <c r="F186" s="195" t="e">
        <f t="shared" ref="F186:I186" si="161">F169</f>
        <v>#REF!</v>
      </c>
      <c r="G186" s="208" t="e">
        <f t="shared" si="161"/>
        <v>#REF!</v>
      </c>
      <c r="H186" s="208" t="e">
        <f t="shared" si="161"/>
        <v>#REF!</v>
      </c>
      <c r="I186" s="208" t="e">
        <f t="shared" si="161"/>
        <v>#REF!</v>
      </c>
      <c r="K186" s="195" t="e">
        <f t="shared" ref="K186:M186" si="162">K169</f>
        <v>#REF!</v>
      </c>
      <c r="L186" s="195" t="e">
        <f t="shared" si="162"/>
        <v>#REF!</v>
      </c>
      <c r="M186" s="195" t="e">
        <f t="shared" si="162"/>
        <v>#REF!</v>
      </c>
      <c r="O186" s="195" t="e">
        <f t="shared" ref="O186:Q186" si="163">O169</f>
        <v>#REF!</v>
      </c>
      <c r="P186" s="195" t="e">
        <f t="shared" si="163"/>
        <v>#REF!</v>
      </c>
      <c r="Q186" s="195" t="e">
        <f t="shared" si="163"/>
        <v>#REF!</v>
      </c>
    </row>
    <row r="187" spans="1:17" hidden="1" x14ac:dyDescent="0.2">
      <c r="A187" s="193" t="s">
        <v>91</v>
      </c>
      <c r="B187" s="193" t="s">
        <v>206</v>
      </c>
      <c r="C187" s="194" t="s">
        <v>177</v>
      </c>
      <c r="D187" s="195">
        <v>1473223.48</v>
      </c>
      <c r="E187" s="195"/>
      <c r="F187" s="195" t="e">
        <f>F170</f>
        <v>#REF!</v>
      </c>
      <c r="G187" s="208" t="e">
        <f>G170</f>
        <v>#REF!</v>
      </c>
      <c r="H187" s="208" t="e">
        <f>H170</f>
        <v>#REF!</v>
      </c>
      <c r="I187" s="208" t="e">
        <f>I170</f>
        <v>#REF!</v>
      </c>
      <c r="K187" s="195" t="e">
        <f>K170</f>
        <v>#REF!</v>
      </c>
      <c r="L187" s="195" t="e">
        <f>L170</f>
        <v>#REF!</v>
      </c>
      <c r="M187" s="195" t="e">
        <f>M170</f>
        <v>#REF!</v>
      </c>
      <c r="O187" s="195" t="e">
        <f>O170</f>
        <v>#REF!</v>
      </c>
      <c r="P187" s="195" t="e">
        <f>P170</f>
        <v>#REF!</v>
      </c>
      <c r="Q187" s="195" t="e">
        <f>Q170</f>
        <v>#REF!</v>
      </c>
    </row>
    <row r="188" spans="1:17" hidden="1" x14ac:dyDescent="0.2">
      <c r="A188" s="193" t="s">
        <v>91</v>
      </c>
      <c r="B188" s="193" t="s">
        <v>206</v>
      </c>
      <c r="C188" s="205" t="s">
        <v>183</v>
      </c>
      <c r="D188" s="206">
        <f>SUM(D176:D187)</f>
        <v>16405584.220000001</v>
      </c>
      <c r="E188" s="206"/>
      <c r="F188" s="206" t="e">
        <f>SUM(F176:F187)</f>
        <v>#REF!</v>
      </c>
      <c r="G188" s="206" t="e">
        <f>SUM(G176:G187)</f>
        <v>#REF!</v>
      </c>
      <c r="H188" s="206" t="e">
        <f>SUM(H176:H187)</f>
        <v>#REF!</v>
      </c>
      <c r="I188" s="206" t="e">
        <f>SUM(I176:I187)</f>
        <v>#REF!</v>
      </c>
      <c r="K188" s="206" t="e">
        <f>SUM(K176:K187)</f>
        <v>#REF!</v>
      </c>
      <c r="L188" s="206" t="e">
        <f>SUM(L176:L187)</f>
        <v>#REF!</v>
      </c>
      <c r="M188" s="206" t="e">
        <f>SUM(M176:M187)</f>
        <v>#REF!</v>
      </c>
      <c r="O188" s="206" t="e">
        <f>SUM(O176:O187)</f>
        <v>#REF!</v>
      </c>
      <c r="P188" s="206" t="e">
        <f>SUM(P176:P187)</f>
        <v>#REF!</v>
      </c>
      <c r="Q188" s="206" t="e">
        <f>SUM(Q176:Q187)</f>
        <v>#REF!</v>
      </c>
    </row>
    <row r="189" spans="1:17" hidden="1" x14ac:dyDescent="0.2">
      <c r="A189" s="193" t="s">
        <v>91</v>
      </c>
      <c r="B189" s="193" t="s">
        <v>206</v>
      </c>
      <c r="C189" s="203"/>
      <c r="D189" s="203"/>
      <c r="E189" s="203"/>
      <c r="F189" s="203"/>
      <c r="G189" s="203"/>
      <c r="H189" s="203"/>
      <c r="I189" s="203"/>
      <c r="J189" s="203"/>
      <c r="K189" s="196"/>
      <c r="L189" s="196"/>
      <c r="M189" s="196"/>
    </row>
    <row r="190" spans="1:17" hidden="1" x14ac:dyDescent="0.2">
      <c r="A190" s="193" t="s">
        <v>91</v>
      </c>
      <c r="B190" s="193" t="s">
        <v>206</v>
      </c>
      <c r="C190" s="526" t="s">
        <v>193</v>
      </c>
      <c r="D190" s="526"/>
      <c r="E190" s="526"/>
      <c r="F190" s="526"/>
      <c r="G190" s="212">
        <f>K190+O190</f>
        <v>17616217</v>
      </c>
      <c r="H190" s="212">
        <f t="shared" ref="H190:H191" si="164">L190+P190</f>
        <v>17616217</v>
      </c>
      <c r="I190" s="212">
        <f t="shared" ref="I190:I191" si="165">M190+Q190</f>
        <v>17616217</v>
      </c>
      <c r="J190" s="213"/>
      <c r="K190" s="214">
        <f>17616217</f>
        <v>17616217</v>
      </c>
      <c r="L190" s="214">
        <f>17616217</f>
        <v>17616217</v>
      </c>
      <c r="M190" s="214">
        <f>17616217</f>
        <v>17616217</v>
      </c>
      <c r="N190" s="197"/>
      <c r="O190" s="197">
        <v>0</v>
      </c>
      <c r="P190" s="197">
        <v>0</v>
      </c>
      <c r="Q190" s="197">
        <v>0</v>
      </c>
    </row>
    <row r="191" spans="1:17" hidden="1" x14ac:dyDescent="0.2">
      <c r="A191" s="193" t="s">
        <v>91</v>
      </c>
      <c r="B191" s="193" t="s">
        <v>206</v>
      </c>
      <c r="C191" s="526" t="s">
        <v>222</v>
      </c>
      <c r="D191" s="526"/>
      <c r="E191" s="526"/>
      <c r="F191" s="526"/>
      <c r="G191" s="212">
        <f>K191+O191</f>
        <v>-25772</v>
      </c>
      <c r="H191" s="212">
        <f t="shared" si="164"/>
        <v>0</v>
      </c>
      <c r="I191" s="212">
        <f t="shared" si="165"/>
        <v>0</v>
      </c>
      <c r="J191" s="213"/>
      <c r="K191" s="231">
        <v>-25772</v>
      </c>
      <c r="L191" s="214">
        <v>0</v>
      </c>
      <c r="M191" s="214">
        <v>0</v>
      </c>
      <c r="N191" s="197"/>
      <c r="O191" s="197">
        <v>0</v>
      </c>
      <c r="P191" s="197">
        <v>0</v>
      </c>
      <c r="Q191" s="197">
        <v>0</v>
      </c>
    </row>
    <row r="192" spans="1:17" ht="67.5" hidden="1" x14ac:dyDescent="0.2">
      <c r="A192" s="193" t="s">
        <v>91</v>
      </c>
      <c r="B192" s="193" t="s">
        <v>206</v>
      </c>
      <c r="C192" s="224"/>
      <c r="D192" s="224"/>
      <c r="E192" s="224"/>
      <c r="F192" s="224"/>
      <c r="G192" s="226"/>
      <c r="H192" s="226"/>
      <c r="I192" s="226"/>
      <c r="J192" s="226"/>
      <c r="K192" s="233" t="s">
        <v>223</v>
      </c>
      <c r="L192" s="226"/>
      <c r="M192" s="226"/>
      <c r="N192" s="226"/>
      <c r="O192" s="226"/>
      <c r="P192" s="226"/>
      <c r="Q192" s="226"/>
    </row>
    <row r="193" spans="1:17" ht="14.45" hidden="1" customHeight="1" x14ac:dyDescent="0.2">
      <c r="A193" s="193" t="s">
        <v>91</v>
      </c>
      <c r="B193" s="193" t="s">
        <v>206</v>
      </c>
      <c r="C193" s="527" t="s">
        <v>194</v>
      </c>
      <c r="D193" s="527"/>
      <c r="E193" s="527"/>
      <c r="F193" s="527"/>
      <c r="G193" s="211" t="e">
        <f>G188-G190+G191</f>
        <v>#REF!</v>
      </c>
      <c r="H193" s="211" t="e">
        <f>H188-H190+H191</f>
        <v>#REF!</v>
      </c>
      <c r="I193" s="211" t="e">
        <f>I188-I190+I191</f>
        <v>#REF!</v>
      </c>
      <c r="J193" s="211"/>
      <c r="K193" s="234" t="e">
        <f>K188-K190+K191</f>
        <v>#REF!</v>
      </c>
      <c r="L193" s="211" t="e">
        <f>L188-L190+L191</f>
        <v>#REF!</v>
      </c>
      <c r="M193" s="211" t="e">
        <f>M188-M190+M191</f>
        <v>#REF!</v>
      </c>
      <c r="N193" s="211"/>
      <c r="O193" s="211" t="e">
        <f>O188-O190+O191</f>
        <v>#REF!</v>
      </c>
      <c r="P193" s="211" t="e">
        <f>P188-P190+P191</f>
        <v>#REF!</v>
      </c>
      <c r="Q193" s="211" t="e">
        <f>Q188-Q190+Q191</f>
        <v>#REF!</v>
      </c>
    </row>
    <row r="194" spans="1:17" ht="14.45" hidden="1" customHeight="1" x14ac:dyDescent="0.2">
      <c r="C194" s="210"/>
      <c r="D194" s="210"/>
      <c r="E194" s="210"/>
      <c r="F194" s="210"/>
      <c r="G194" s="211"/>
      <c r="H194" s="211"/>
      <c r="I194" s="211"/>
      <c r="J194" s="211"/>
      <c r="K194" s="211"/>
      <c r="L194" s="211"/>
      <c r="M194" s="211"/>
      <c r="N194" s="211"/>
      <c r="O194" s="211"/>
      <c r="P194" s="211"/>
      <c r="Q194" s="211"/>
    </row>
    <row r="195" spans="1:17" hidden="1" x14ac:dyDescent="0.2">
      <c r="A195" s="193" t="s">
        <v>92</v>
      </c>
      <c r="C195" s="204" t="s">
        <v>92</v>
      </c>
    </row>
    <row r="196" spans="1:17" hidden="1" x14ac:dyDescent="0.2">
      <c r="A196" s="193" t="s">
        <v>92</v>
      </c>
      <c r="B196" s="193" t="s">
        <v>205</v>
      </c>
      <c r="C196" s="528" t="s">
        <v>180</v>
      </c>
      <c r="D196" s="528"/>
      <c r="E196" s="200"/>
      <c r="G196" s="529" t="s">
        <v>201</v>
      </c>
      <c r="H196" s="529"/>
      <c r="I196" s="529"/>
      <c r="K196" s="530" t="s">
        <v>202</v>
      </c>
      <c r="L196" s="530"/>
      <c r="M196" s="530"/>
      <c r="O196" s="530" t="s">
        <v>203</v>
      </c>
      <c r="P196" s="530"/>
      <c r="Q196" s="530"/>
    </row>
    <row r="197" spans="1:17" s="33" customFormat="1" hidden="1" x14ac:dyDescent="0.2">
      <c r="A197" s="193" t="s">
        <v>92</v>
      </c>
      <c r="B197" s="193" t="s">
        <v>205</v>
      </c>
      <c r="C197" s="34"/>
      <c r="D197" s="199" t="s">
        <v>178</v>
      </c>
      <c r="E197" s="199"/>
      <c r="F197" s="199" t="s">
        <v>86</v>
      </c>
      <c r="G197" s="207" t="s">
        <v>41</v>
      </c>
      <c r="H197" s="207" t="s">
        <v>44</v>
      </c>
      <c r="I197" s="207" t="s">
        <v>72</v>
      </c>
      <c r="K197" s="199" t="s">
        <v>41</v>
      </c>
      <c r="L197" s="199" t="s">
        <v>44</v>
      </c>
      <c r="M197" s="199" t="s">
        <v>72</v>
      </c>
      <c r="O197" s="199" t="s">
        <v>41</v>
      </c>
      <c r="P197" s="199" t="s">
        <v>44</v>
      </c>
      <c r="Q197" s="199" t="s">
        <v>72</v>
      </c>
    </row>
    <row r="198" spans="1:17" hidden="1" x14ac:dyDescent="0.2">
      <c r="A198" s="193" t="s">
        <v>92</v>
      </c>
      <c r="B198" s="193" t="s">
        <v>205</v>
      </c>
      <c r="C198" s="194" t="s">
        <v>166</v>
      </c>
      <c r="D198" s="195">
        <v>1300261.1800000002</v>
      </c>
      <c r="E198" s="195">
        <f>D198*100/$D$20</f>
        <v>7.8982270853128522</v>
      </c>
      <c r="F198" s="195" t="e">
        <f>#REF!*Sheet5!E198/100</f>
        <v>#REF!</v>
      </c>
      <c r="G198" s="208" t="e">
        <f>'1.1.'!$H$20*Sheet5!E198/100</f>
        <v>#REF!</v>
      </c>
      <c r="H198" s="208" t="e">
        <f>'1.1.'!$H$37*Sheet5!E198/100</f>
        <v>#REF!</v>
      </c>
      <c r="I198" s="208" t="e">
        <f>'1.1.'!$H$54*Sheet5!E198/100</f>
        <v>#REF!</v>
      </c>
      <c r="K198" s="195" t="e">
        <f>'1.1.'!$H$18*Sheet5!E198/100</f>
        <v>#REF!</v>
      </c>
      <c r="L198" s="195" t="e">
        <f>'1.1.'!$H$35*Sheet5!E198/100</f>
        <v>#REF!</v>
      </c>
      <c r="M198" s="195" t="e">
        <f>'1.1.'!$H$52*Sheet5!E198/100</f>
        <v>#REF!</v>
      </c>
      <c r="O198" s="195" t="e">
        <f>G198-K198</f>
        <v>#REF!</v>
      </c>
      <c r="P198" s="195" t="e">
        <f t="shared" ref="P198:P209" si="166">H198-L198</f>
        <v>#REF!</v>
      </c>
      <c r="Q198" s="195" t="e">
        <f t="shared" ref="Q198:Q209" si="167">I198-M198</f>
        <v>#REF!</v>
      </c>
    </row>
    <row r="199" spans="1:17" hidden="1" x14ac:dyDescent="0.2">
      <c r="A199" s="193" t="s">
        <v>92</v>
      </c>
      <c r="B199" s="193" t="s">
        <v>205</v>
      </c>
      <c r="C199" s="194" t="s">
        <v>167</v>
      </c>
      <c r="D199" s="195">
        <v>1345922.41</v>
      </c>
      <c r="E199" s="195">
        <f t="shared" ref="E199:E209" si="168">D199*100/$D$20</f>
        <v>8.1755888716077401</v>
      </c>
      <c r="F199" s="195" t="e">
        <f>#REF!*Sheet5!E199/100</f>
        <v>#REF!</v>
      </c>
      <c r="G199" s="208" t="e">
        <f>'1.1.'!$H$20*Sheet5!E199/100</f>
        <v>#REF!</v>
      </c>
      <c r="H199" s="208" t="e">
        <f>'1.1.'!$H$37*Sheet5!E199/100</f>
        <v>#REF!</v>
      </c>
      <c r="I199" s="208" t="e">
        <f>'1.1.'!$H$54*Sheet5!E199/100</f>
        <v>#REF!</v>
      </c>
      <c r="K199" s="195" t="e">
        <f>'1.1.'!$H$18*Sheet5!E199/100</f>
        <v>#REF!</v>
      </c>
      <c r="L199" s="195" t="e">
        <f>'1.1.'!$H$35*Sheet5!E199/100</f>
        <v>#REF!</v>
      </c>
      <c r="M199" s="195" t="e">
        <f>'1.1.'!$H$52*Sheet5!E199/100</f>
        <v>#REF!</v>
      </c>
      <c r="O199" s="195" t="e">
        <f t="shared" ref="O199:O204" si="169">G199-K199</f>
        <v>#REF!</v>
      </c>
      <c r="P199" s="195" t="e">
        <f t="shared" si="166"/>
        <v>#REF!</v>
      </c>
      <c r="Q199" s="195" t="e">
        <f t="shared" si="167"/>
        <v>#REF!</v>
      </c>
    </row>
    <row r="200" spans="1:17" hidden="1" x14ac:dyDescent="0.2">
      <c r="A200" s="193" t="s">
        <v>92</v>
      </c>
      <c r="B200" s="193" t="s">
        <v>205</v>
      </c>
      <c r="C200" s="194" t="s">
        <v>168</v>
      </c>
      <c r="D200" s="195">
        <v>1359789.78</v>
      </c>
      <c r="E200" s="195">
        <f t="shared" si="168"/>
        <v>8.2598239768471764</v>
      </c>
      <c r="F200" s="195" t="e">
        <f>#REF!*Sheet5!E200/100</f>
        <v>#REF!</v>
      </c>
      <c r="G200" s="208" t="e">
        <f>'1.1.'!$H$20*Sheet5!E200/100</f>
        <v>#REF!</v>
      </c>
      <c r="H200" s="208" t="e">
        <f>'1.1.'!$H$37*Sheet5!E200/100</f>
        <v>#REF!</v>
      </c>
      <c r="I200" s="208" t="e">
        <f>'1.1.'!$H$54*Sheet5!E200/100</f>
        <v>#REF!</v>
      </c>
      <c r="K200" s="195" t="e">
        <f>'1.1.'!$H$18*Sheet5!E200/100</f>
        <v>#REF!</v>
      </c>
      <c r="L200" s="195" t="e">
        <f>'1.1.'!$H$35*Sheet5!E200/100</f>
        <v>#REF!</v>
      </c>
      <c r="M200" s="195" t="e">
        <f>'1.1.'!$H$52*Sheet5!E200/100</f>
        <v>#REF!</v>
      </c>
      <c r="O200" s="195" t="e">
        <f t="shared" si="169"/>
        <v>#REF!</v>
      </c>
      <c r="P200" s="195" t="e">
        <f t="shared" si="166"/>
        <v>#REF!</v>
      </c>
      <c r="Q200" s="195" t="e">
        <f t="shared" si="167"/>
        <v>#REF!</v>
      </c>
    </row>
    <row r="201" spans="1:17" hidden="1" x14ac:dyDescent="0.2">
      <c r="A201" s="193" t="s">
        <v>92</v>
      </c>
      <c r="B201" s="193" t="s">
        <v>205</v>
      </c>
      <c r="C201" s="194" t="s">
        <v>169</v>
      </c>
      <c r="D201" s="195">
        <v>1455300.79</v>
      </c>
      <c r="E201" s="195">
        <f t="shared" si="168"/>
        <v>8.8399902216992974</v>
      </c>
      <c r="F201" s="195" t="e">
        <f>#REF!*Sheet5!E201/100</f>
        <v>#REF!</v>
      </c>
      <c r="G201" s="208" t="e">
        <f>'1.1.'!$H$20*Sheet5!E201/100</f>
        <v>#REF!</v>
      </c>
      <c r="H201" s="208" t="e">
        <f>'1.1.'!$H$37*Sheet5!E201/100</f>
        <v>#REF!</v>
      </c>
      <c r="I201" s="208" t="e">
        <f>'1.1.'!$H$54*Sheet5!E201/100</f>
        <v>#REF!</v>
      </c>
      <c r="K201" s="195" t="e">
        <f>'1.1.'!$H$18*Sheet5!E201/100</f>
        <v>#REF!</v>
      </c>
      <c r="L201" s="195" t="e">
        <f>'1.1.'!$H$35*Sheet5!E201/100</f>
        <v>#REF!</v>
      </c>
      <c r="M201" s="195" t="e">
        <f>'1.1.'!$H$52*Sheet5!E201/100</f>
        <v>#REF!</v>
      </c>
      <c r="O201" s="195" t="e">
        <f t="shared" si="169"/>
        <v>#REF!</v>
      </c>
      <c r="P201" s="195" t="e">
        <f t="shared" si="166"/>
        <v>#REF!</v>
      </c>
      <c r="Q201" s="195" t="e">
        <f t="shared" si="167"/>
        <v>#REF!</v>
      </c>
    </row>
    <row r="202" spans="1:17" hidden="1" x14ac:dyDescent="0.2">
      <c r="A202" s="193" t="s">
        <v>92</v>
      </c>
      <c r="B202" s="193" t="s">
        <v>205</v>
      </c>
      <c r="C202" s="194" t="s">
        <v>170</v>
      </c>
      <c r="D202" s="195">
        <v>1424578.2500000002</v>
      </c>
      <c r="E202" s="195">
        <f t="shared" si="168"/>
        <v>8.6533711014102455</v>
      </c>
      <c r="F202" s="195" t="e">
        <f>#REF!*Sheet5!E202/100</f>
        <v>#REF!</v>
      </c>
      <c r="G202" s="208" t="e">
        <f>'1.1.'!$H$20*Sheet5!E202/100</f>
        <v>#REF!</v>
      </c>
      <c r="H202" s="208" t="e">
        <f>'1.1.'!$H$37*Sheet5!E202/100</f>
        <v>#REF!</v>
      </c>
      <c r="I202" s="208" t="e">
        <f>'1.1.'!$H$54*Sheet5!E202/100</f>
        <v>#REF!</v>
      </c>
      <c r="K202" s="195" t="e">
        <f>'1.1.'!$H$18*Sheet5!E202/100</f>
        <v>#REF!</v>
      </c>
      <c r="L202" s="195" t="e">
        <f>'1.1.'!$H$35*Sheet5!E202/100</f>
        <v>#REF!</v>
      </c>
      <c r="M202" s="195" t="e">
        <f>'1.1.'!$H$52*Sheet5!E202/100</f>
        <v>#REF!</v>
      </c>
      <c r="O202" s="195" t="e">
        <f t="shared" si="169"/>
        <v>#REF!</v>
      </c>
      <c r="P202" s="195" t="e">
        <f t="shared" si="166"/>
        <v>#REF!</v>
      </c>
      <c r="Q202" s="195" t="e">
        <f t="shared" si="167"/>
        <v>#REF!</v>
      </c>
    </row>
    <row r="203" spans="1:17" hidden="1" x14ac:dyDescent="0.2">
      <c r="A203" s="193" t="s">
        <v>92</v>
      </c>
      <c r="B203" s="193" t="s">
        <v>205</v>
      </c>
      <c r="C203" s="194" t="s">
        <v>171</v>
      </c>
      <c r="D203" s="195">
        <v>1357461.55</v>
      </c>
      <c r="E203" s="195">
        <f t="shared" si="168"/>
        <v>8.245681518755152</v>
      </c>
      <c r="F203" s="195" t="e">
        <f>#REF!*Sheet5!E203/100</f>
        <v>#REF!</v>
      </c>
      <c r="G203" s="208" t="e">
        <f>'1.1.'!$H$20*Sheet5!E203/100</f>
        <v>#REF!</v>
      </c>
      <c r="H203" s="208" t="e">
        <f>'1.1.'!$H$37*Sheet5!E203/100</f>
        <v>#REF!</v>
      </c>
      <c r="I203" s="208" t="e">
        <f>'1.1.'!$H$54*Sheet5!E203/100</f>
        <v>#REF!</v>
      </c>
      <c r="K203" s="195" t="e">
        <f>'1.1.'!$H$18*Sheet5!E203/100</f>
        <v>#REF!</v>
      </c>
      <c r="L203" s="195" t="e">
        <f>'1.1.'!$H$35*Sheet5!E203/100</f>
        <v>#REF!</v>
      </c>
      <c r="M203" s="195" t="e">
        <f>'1.1.'!$H$52*Sheet5!E203/100</f>
        <v>#REF!</v>
      </c>
      <c r="O203" s="195" t="e">
        <f t="shared" si="169"/>
        <v>#REF!</v>
      </c>
      <c r="P203" s="195" t="e">
        <f t="shared" si="166"/>
        <v>#REF!</v>
      </c>
      <c r="Q203" s="195" t="e">
        <f t="shared" si="167"/>
        <v>#REF!</v>
      </c>
    </row>
    <row r="204" spans="1:17" hidden="1" x14ac:dyDescent="0.2">
      <c r="A204" s="193" t="s">
        <v>92</v>
      </c>
      <c r="B204" s="193" t="s">
        <v>205</v>
      </c>
      <c r="C204" s="194" t="s">
        <v>172</v>
      </c>
      <c r="D204" s="195">
        <v>1195371.06</v>
      </c>
      <c r="E204" s="195">
        <f t="shared" si="168"/>
        <v>7.2610889475998457</v>
      </c>
      <c r="F204" s="195" t="e">
        <f>#REF!*Sheet5!E204/100</f>
        <v>#REF!</v>
      </c>
      <c r="G204" s="208" t="e">
        <f>'1.1.'!$H$20*Sheet5!E204/100</f>
        <v>#REF!</v>
      </c>
      <c r="H204" s="208" t="e">
        <f>'1.1.'!$H$37*Sheet5!E204/100</f>
        <v>#REF!</v>
      </c>
      <c r="I204" s="208" t="e">
        <f>'1.1.'!$H$54*Sheet5!E204/100</f>
        <v>#REF!</v>
      </c>
      <c r="K204" s="195" t="e">
        <f>'1.1.'!$H$18*Sheet5!E204/100</f>
        <v>#REF!</v>
      </c>
      <c r="L204" s="195" t="e">
        <f>'1.1.'!$H$35*Sheet5!E204/100</f>
        <v>#REF!</v>
      </c>
      <c r="M204" s="195" t="e">
        <f>'1.1.'!$H$52*Sheet5!E204/100</f>
        <v>#REF!</v>
      </c>
      <c r="O204" s="195" t="e">
        <f t="shared" si="169"/>
        <v>#REF!</v>
      </c>
      <c r="P204" s="195" t="e">
        <f t="shared" si="166"/>
        <v>#REF!</v>
      </c>
      <c r="Q204" s="195" t="e">
        <f t="shared" si="167"/>
        <v>#REF!</v>
      </c>
    </row>
    <row r="205" spans="1:17" hidden="1" x14ac:dyDescent="0.2">
      <c r="A205" s="193" t="s">
        <v>92</v>
      </c>
      <c r="B205" s="193" t="s">
        <v>205</v>
      </c>
      <c r="C205" s="194" t="s">
        <v>173</v>
      </c>
      <c r="D205" s="195">
        <v>1254926.53</v>
      </c>
      <c r="E205" s="195">
        <f t="shared" si="168"/>
        <v>7.6228490566208169</v>
      </c>
      <c r="F205" s="195" t="e">
        <f>#REF!*Sheet5!E205/100</f>
        <v>#REF!</v>
      </c>
      <c r="G205" s="208" t="e">
        <f>'1.1.'!$H$20*Sheet5!E205/100</f>
        <v>#REF!</v>
      </c>
      <c r="H205" s="208" t="e">
        <f>'1.1.'!$H$37*Sheet5!E205/100</f>
        <v>#REF!</v>
      </c>
      <c r="I205" s="208" t="e">
        <f>'1.1.'!$H$54*Sheet5!E205/100</f>
        <v>#REF!</v>
      </c>
      <c r="K205" s="195" t="e">
        <f>'1.1.'!$H$18*Sheet5!E205/100</f>
        <v>#REF!</v>
      </c>
      <c r="L205" s="195" t="e">
        <f>'1.1.'!$H$35*Sheet5!E205/100</f>
        <v>#REF!</v>
      </c>
      <c r="M205" s="195" t="e">
        <f>'1.1.'!$H$52*Sheet5!E205/100</f>
        <v>#REF!</v>
      </c>
      <c r="O205" s="195" t="e">
        <f>G205-K205</f>
        <v>#REF!</v>
      </c>
      <c r="P205" s="195" t="e">
        <f t="shared" si="166"/>
        <v>#REF!</v>
      </c>
      <c r="Q205" s="195" t="e">
        <f t="shared" si="167"/>
        <v>#REF!</v>
      </c>
    </row>
    <row r="206" spans="1:17" hidden="1" x14ac:dyDescent="0.2">
      <c r="A206" s="193" t="s">
        <v>92</v>
      </c>
      <c r="B206" s="193" t="s">
        <v>205</v>
      </c>
      <c r="C206" s="194" t="s">
        <v>174</v>
      </c>
      <c r="D206" s="195">
        <v>1385671.28</v>
      </c>
      <c r="E206" s="195">
        <f t="shared" si="168"/>
        <v>8.4170369794752524</v>
      </c>
      <c r="F206" s="195" t="e">
        <f>#REF!*Sheet5!E206/100</f>
        <v>#REF!</v>
      </c>
      <c r="G206" s="208" t="e">
        <f>'1.1.'!$H$20*Sheet5!E206/100</f>
        <v>#REF!</v>
      </c>
      <c r="H206" s="208" t="e">
        <f>'1.1.'!$H$37*Sheet5!E206/100</f>
        <v>#REF!</v>
      </c>
      <c r="I206" s="208" t="e">
        <f>'1.1.'!$H$54*Sheet5!E206/100</f>
        <v>#REF!</v>
      </c>
      <c r="J206" s="196"/>
      <c r="K206" s="195" t="e">
        <f>'1.1.'!$H$18*Sheet5!E206/100</f>
        <v>#REF!</v>
      </c>
      <c r="L206" s="195" t="e">
        <f>'1.1.'!$H$35*Sheet5!E206/100</f>
        <v>#REF!</v>
      </c>
      <c r="M206" s="195" t="e">
        <f>'1.1.'!$H$52*Sheet5!E206/100</f>
        <v>#REF!</v>
      </c>
      <c r="O206" s="195" t="e">
        <f t="shared" ref="O206:O209" si="170">G206-K206</f>
        <v>#REF!</v>
      </c>
      <c r="P206" s="195" t="e">
        <f t="shared" si="166"/>
        <v>#REF!</v>
      </c>
      <c r="Q206" s="195" t="e">
        <f t="shared" si="167"/>
        <v>#REF!</v>
      </c>
    </row>
    <row r="207" spans="1:17" hidden="1" x14ac:dyDescent="0.2">
      <c r="A207" s="193" t="s">
        <v>92</v>
      </c>
      <c r="B207" s="193" t="s">
        <v>205</v>
      </c>
      <c r="C207" s="194" t="s">
        <v>175</v>
      </c>
      <c r="D207" s="195">
        <v>1357421.7699999998</v>
      </c>
      <c r="E207" s="195">
        <f t="shared" si="168"/>
        <v>8.2454398815531107</v>
      </c>
      <c r="F207" s="195" t="e">
        <f>#REF!*Sheet5!E207/100</f>
        <v>#REF!</v>
      </c>
      <c r="G207" s="208" t="e">
        <f>'1.1.'!$H$20*Sheet5!E207/100</f>
        <v>#REF!</v>
      </c>
      <c r="H207" s="208" t="e">
        <f>'1.1.'!$H$37*Sheet5!E207/100</f>
        <v>#REF!</v>
      </c>
      <c r="I207" s="208" t="e">
        <f>'1.1.'!$H$54*Sheet5!E207/100</f>
        <v>#REF!</v>
      </c>
      <c r="J207" s="196"/>
      <c r="K207" s="195" t="e">
        <f>'1.1.'!$H$18*Sheet5!E207/100</f>
        <v>#REF!</v>
      </c>
      <c r="L207" s="195" t="e">
        <f>'1.1.'!$H$35*Sheet5!E207/100</f>
        <v>#REF!</v>
      </c>
      <c r="M207" s="195" t="e">
        <f>'1.1.'!$H$52*Sheet5!E207/100</f>
        <v>#REF!</v>
      </c>
      <c r="O207" s="195" t="e">
        <f t="shared" si="170"/>
        <v>#REF!</v>
      </c>
      <c r="P207" s="195" t="e">
        <f t="shared" si="166"/>
        <v>#REF!</v>
      </c>
      <c r="Q207" s="195" t="e">
        <f t="shared" si="167"/>
        <v>#REF!</v>
      </c>
    </row>
    <row r="208" spans="1:17" hidden="1" x14ac:dyDescent="0.2">
      <c r="A208" s="193" t="s">
        <v>92</v>
      </c>
      <c r="B208" s="193" t="s">
        <v>205</v>
      </c>
      <c r="C208" s="194" t="s">
        <v>176</v>
      </c>
      <c r="D208" s="195">
        <v>1473223.48</v>
      </c>
      <c r="E208" s="195">
        <f t="shared" si="168"/>
        <v>8.9488587150274341</v>
      </c>
      <c r="F208" s="195" t="e">
        <f>#REF!*Sheet5!E208/100</f>
        <v>#REF!</v>
      </c>
      <c r="G208" s="208" t="e">
        <f>'1.1.'!$H$20*Sheet5!E208/100</f>
        <v>#REF!</v>
      </c>
      <c r="H208" s="208" t="e">
        <f>'1.1.'!$H$37*Sheet5!E208/100</f>
        <v>#REF!</v>
      </c>
      <c r="I208" s="208" t="e">
        <f>'1.1.'!$H$54*Sheet5!E208/100</f>
        <v>#REF!</v>
      </c>
      <c r="K208" s="195" t="e">
        <f>'1.1.'!$H$18*Sheet5!E208/100</f>
        <v>#REF!</v>
      </c>
      <c r="L208" s="195" t="e">
        <f>'1.1.'!$H$35*Sheet5!E208/100</f>
        <v>#REF!</v>
      </c>
      <c r="M208" s="195" t="e">
        <f>'1.1.'!$H$52*Sheet5!E208/100</f>
        <v>#REF!</v>
      </c>
      <c r="O208" s="195" t="e">
        <f t="shared" si="170"/>
        <v>#REF!</v>
      </c>
      <c r="P208" s="195" t="e">
        <f t="shared" si="166"/>
        <v>#REF!</v>
      </c>
      <c r="Q208" s="195" t="e">
        <f t="shared" si="167"/>
        <v>#REF!</v>
      </c>
    </row>
    <row r="209" spans="1:17" hidden="1" x14ac:dyDescent="0.2">
      <c r="A209" s="193" t="s">
        <v>92</v>
      </c>
      <c r="B209" s="193" t="s">
        <v>205</v>
      </c>
      <c r="C209" s="194" t="s">
        <v>204</v>
      </c>
      <c r="D209" s="195">
        <v>1552768.75</v>
      </c>
      <c r="E209" s="195">
        <f t="shared" si="168"/>
        <v>9.4320436440910882</v>
      </c>
      <c r="F209" s="195" t="e">
        <f>#REF!*Sheet5!E209/100</f>
        <v>#REF!</v>
      </c>
      <c r="G209" s="208" t="e">
        <f>'1.1.'!$H$20*Sheet5!E209/100</f>
        <v>#REF!</v>
      </c>
      <c r="H209" s="208" t="e">
        <f>'1.1.'!$H$37*Sheet5!E209/100</f>
        <v>#REF!</v>
      </c>
      <c r="I209" s="208" t="e">
        <f>'1.1.'!$H$54*Sheet5!E209/100</f>
        <v>#REF!</v>
      </c>
      <c r="K209" s="195" t="e">
        <f>'1.1.'!$H$18*Sheet5!E209/100</f>
        <v>#REF!</v>
      </c>
      <c r="L209" s="195" t="e">
        <f>'1.1.'!$H$35*Sheet5!E209/100</f>
        <v>#REF!</v>
      </c>
      <c r="M209" s="195" t="e">
        <f>'1.1.'!$H$52*Sheet5!E209/100</f>
        <v>#REF!</v>
      </c>
      <c r="O209" s="195" t="e">
        <f t="shared" si="170"/>
        <v>#REF!</v>
      </c>
      <c r="P209" s="195" t="e">
        <f t="shared" si="166"/>
        <v>#REF!</v>
      </c>
      <c r="Q209" s="195" t="e">
        <f t="shared" si="167"/>
        <v>#REF!</v>
      </c>
    </row>
    <row r="210" spans="1:17" s="197" customFormat="1" hidden="1" x14ac:dyDescent="0.2">
      <c r="A210" s="193" t="s">
        <v>92</v>
      </c>
      <c r="B210" s="193" t="s">
        <v>205</v>
      </c>
      <c r="C210" s="205" t="s">
        <v>182</v>
      </c>
      <c r="D210" s="206">
        <f t="shared" ref="D210:I210" si="171">SUM(D198:D209)</f>
        <v>16462696.829999998</v>
      </c>
      <c r="E210" s="206">
        <f t="shared" si="171"/>
        <v>100.00000000000003</v>
      </c>
      <c r="F210" s="206" t="e">
        <f t="shared" si="171"/>
        <v>#REF!</v>
      </c>
      <c r="G210" s="206" t="e">
        <f t="shared" si="171"/>
        <v>#REF!</v>
      </c>
      <c r="H210" s="206" t="e">
        <f t="shared" si="171"/>
        <v>#REF!</v>
      </c>
      <c r="I210" s="206" t="e">
        <f t="shared" si="171"/>
        <v>#REF!</v>
      </c>
      <c r="K210" s="206" t="e">
        <f>SUM(K198:K209)</f>
        <v>#REF!</v>
      </c>
      <c r="L210" s="206" t="e">
        <f>SUM(L198:L209)</f>
        <v>#REF!</v>
      </c>
      <c r="M210" s="206" t="e">
        <f>SUM(M198:M209)</f>
        <v>#REF!</v>
      </c>
      <c r="O210" s="206" t="e">
        <f>SUM(O198:O209)</f>
        <v>#REF!</v>
      </c>
      <c r="P210" s="206" t="e">
        <f>SUM(P198:P209)</f>
        <v>#REF!</v>
      </c>
      <c r="Q210" s="206" t="e">
        <f>SUM(Q198:Q209)</f>
        <v>#REF!</v>
      </c>
    </row>
    <row r="211" spans="1:17" hidden="1" x14ac:dyDescent="0.2">
      <c r="A211" s="193" t="s">
        <v>92</v>
      </c>
      <c r="F211" s="202"/>
      <c r="G211" s="209" t="e">
        <f>G210-'1.1.'!H17</f>
        <v>#REF!</v>
      </c>
      <c r="H211" s="209" t="e">
        <f>H210-'1.1.'!H34</f>
        <v>#REF!</v>
      </c>
      <c r="I211" s="209" t="e">
        <f>I210-'1.1.'!H51</f>
        <v>#REF!</v>
      </c>
      <c r="K211" s="202" t="e">
        <f>K210-G210</f>
        <v>#REF!</v>
      </c>
      <c r="L211" s="202" t="e">
        <f t="shared" ref="L211" si="172">L210-H210</f>
        <v>#REF!</v>
      </c>
      <c r="M211" s="202" t="e">
        <f t="shared" ref="M211" si="173">M210-I210</f>
        <v>#REF!</v>
      </c>
      <c r="O211" s="202" t="e">
        <f>O210-0</f>
        <v>#REF!</v>
      </c>
      <c r="P211" s="202" t="e">
        <f t="shared" ref="P211" si="174">P210-0</f>
        <v>#REF!</v>
      </c>
      <c r="Q211" s="202" t="e">
        <f t="shared" ref="Q211" si="175">Q210-0</f>
        <v>#REF!</v>
      </c>
    </row>
    <row r="212" spans="1:17" hidden="1" x14ac:dyDescent="0.2">
      <c r="A212" s="193" t="s">
        <v>92</v>
      </c>
      <c r="B212" s="193" t="s">
        <v>206</v>
      </c>
      <c r="C212" s="528" t="s">
        <v>179</v>
      </c>
      <c r="D212" s="528"/>
      <c r="E212" s="201"/>
      <c r="G212" s="529" t="str">
        <f>G196</f>
        <v xml:space="preserve">KOPĀ 4.risinājums </v>
      </c>
      <c r="H212" s="529"/>
      <c r="I212" s="529"/>
      <c r="K212" s="530" t="str">
        <f>K196</f>
        <v>KOPĀ valsts budžets 4.risinājums</v>
      </c>
      <c r="L212" s="530"/>
      <c r="M212" s="530"/>
      <c r="O212" s="530" t="str">
        <f>O196</f>
        <v>KOPĀ pašvaldību budžets 4.risinājums</v>
      </c>
      <c r="P212" s="530"/>
      <c r="Q212" s="530"/>
    </row>
    <row r="213" spans="1:17" hidden="1" x14ac:dyDescent="0.2">
      <c r="A213" s="193" t="s">
        <v>92</v>
      </c>
      <c r="B213" s="193" t="s">
        <v>206</v>
      </c>
      <c r="C213" s="34"/>
      <c r="D213" s="198">
        <v>2019</v>
      </c>
      <c r="E213" s="198"/>
      <c r="F213" s="199" t="str">
        <f>F197</f>
        <v>2020.gads</v>
      </c>
      <c r="G213" s="207" t="str">
        <f>G197</f>
        <v>2021.gads</v>
      </c>
      <c r="H213" s="207" t="str">
        <f>H197</f>
        <v>2022.gads</v>
      </c>
      <c r="I213" s="207" t="str">
        <f>I197</f>
        <v>2023.gads</v>
      </c>
      <c r="K213" s="199" t="str">
        <f>K197</f>
        <v>2021.gads</v>
      </c>
      <c r="L213" s="199" t="str">
        <f>L197</f>
        <v>2022.gads</v>
      </c>
      <c r="M213" s="199" t="str">
        <f>M197</f>
        <v>2023.gads</v>
      </c>
      <c r="O213" s="199" t="str">
        <f>O197</f>
        <v>2021.gads</v>
      </c>
      <c r="P213" s="199" t="str">
        <f>P197</f>
        <v>2022.gads</v>
      </c>
      <c r="Q213" s="199" t="str">
        <f>Q197</f>
        <v>2023.gads</v>
      </c>
    </row>
    <row r="214" spans="1:17" hidden="1" x14ac:dyDescent="0.2">
      <c r="A214" s="193" t="s">
        <v>92</v>
      </c>
      <c r="B214" s="193" t="s">
        <v>206</v>
      </c>
      <c r="C214" s="194" t="s">
        <v>166</v>
      </c>
      <c r="D214" s="195">
        <v>1495656.14</v>
      </c>
      <c r="E214" s="195"/>
      <c r="F214" s="195">
        <f>D209</f>
        <v>1552768.75</v>
      </c>
      <c r="G214" s="208" t="e">
        <f>F209</f>
        <v>#REF!</v>
      </c>
      <c r="H214" s="208" t="e">
        <f>G209</f>
        <v>#REF!</v>
      </c>
      <c r="I214" s="208" t="e">
        <f>H209</f>
        <v>#REF!</v>
      </c>
      <c r="K214" s="195" t="e">
        <f>F209</f>
        <v>#REF!</v>
      </c>
      <c r="L214" s="195" t="e">
        <f>K209</f>
        <v>#REF!</v>
      </c>
      <c r="M214" s="195" t="e">
        <f>L209</f>
        <v>#REF!</v>
      </c>
      <c r="O214" s="195">
        <v>0</v>
      </c>
      <c r="P214" s="195" t="e">
        <f>O209</f>
        <v>#REF!</v>
      </c>
      <c r="Q214" s="195" t="e">
        <f>P209</f>
        <v>#REF!</v>
      </c>
    </row>
    <row r="215" spans="1:17" hidden="1" x14ac:dyDescent="0.2">
      <c r="A215" s="193" t="s">
        <v>92</v>
      </c>
      <c r="B215" s="193" t="s">
        <v>206</v>
      </c>
      <c r="C215" s="194" t="s">
        <v>167</v>
      </c>
      <c r="D215" s="195">
        <v>1300261.1800000002</v>
      </c>
      <c r="E215" s="195"/>
      <c r="F215" s="195" t="e">
        <f>F198</f>
        <v>#REF!</v>
      </c>
      <c r="G215" s="208" t="e">
        <f>G198</f>
        <v>#REF!</v>
      </c>
      <c r="H215" s="208" t="e">
        <f>H198</f>
        <v>#REF!</v>
      </c>
      <c r="I215" s="208" t="e">
        <f>I198</f>
        <v>#REF!</v>
      </c>
      <c r="K215" s="195" t="e">
        <f>K198</f>
        <v>#REF!</v>
      </c>
      <c r="L215" s="195" t="e">
        <f>L198</f>
        <v>#REF!</v>
      </c>
      <c r="M215" s="195" t="e">
        <f>M198</f>
        <v>#REF!</v>
      </c>
      <c r="O215" s="195" t="e">
        <f>O198</f>
        <v>#REF!</v>
      </c>
      <c r="P215" s="195" t="e">
        <f>P198</f>
        <v>#REF!</v>
      </c>
      <c r="Q215" s="195" t="e">
        <f>Q198</f>
        <v>#REF!</v>
      </c>
    </row>
    <row r="216" spans="1:17" hidden="1" x14ac:dyDescent="0.2">
      <c r="A216" s="193" t="s">
        <v>92</v>
      </c>
      <c r="B216" s="193" t="s">
        <v>206</v>
      </c>
      <c r="C216" s="194" t="s">
        <v>168</v>
      </c>
      <c r="D216" s="195">
        <v>1345922.41</v>
      </c>
      <c r="E216" s="195"/>
      <c r="F216" s="195" t="e">
        <f t="shared" ref="F216:I216" si="176">F199</f>
        <v>#REF!</v>
      </c>
      <c r="G216" s="208" t="e">
        <f t="shared" si="176"/>
        <v>#REF!</v>
      </c>
      <c r="H216" s="208" t="e">
        <f t="shared" si="176"/>
        <v>#REF!</v>
      </c>
      <c r="I216" s="208" t="e">
        <f t="shared" si="176"/>
        <v>#REF!</v>
      </c>
      <c r="K216" s="195" t="e">
        <f t="shared" ref="K216:M216" si="177">K199</f>
        <v>#REF!</v>
      </c>
      <c r="L216" s="195" t="e">
        <f t="shared" si="177"/>
        <v>#REF!</v>
      </c>
      <c r="M216" s="195" t="e">
        <f t="shared" si="177"/>
        <v>#REF!</v>
      </c>
      <c r="O216" s="195" t="e">
        <f t="shared" ref="O216:Q216" si="178">O199</f>
        <v>#REF!</v>
      </c>
      <c r="P216" s="195" t="e">
        <f t="shared" si="178"/>
        <v>#REF!</v>
      </c>
      <c r="Q216" s="195" t="e">
        <f t="shared" si="178"/>
        <v>#REF!</v>
      </c>
    </row>
    <row r="217" spans="1:17" hidden="1" x14ac:dyDescent="0.2">
      <c r="A217" s="193" t="s">
        <v>92</v>
      </c>
      <c r="B217" s="193" t="s">
        <v>206</v>
      </c>
      <c r="C217" s="194" t="s">
        <v>169</v>
      </c>
      <c r="D217" s="195">
        <v>1359789.78</v>
      </c>
      <c r="E217" s="195"/>
      <c r="F217" s="195" t="e">
        <f t="shared" ref="F217:I217" si="179">F200</f>
        <v>#REF!</v>
      </c>
      <c r="G217" s="208" t="e">
        <f t="shared" si="179"/>
        <v>#REF!</v>
      </c>
      <c r="H217" s="208" t="e">
        <f t="shared" si="179"/>
        <v>#REF!</v>
      </c>
      <c r="I217" s="208" t="e">
        <f t="shared" si="179"/>
        <v>#REF!</v>
      </c>
      <c r="K217" s="195" t="e">
        <f t="shared" ref="K217:M217" si="180">K200</f>
        <v>#REF!</v>
      </c>
      <c r="L217" s="195" t="e">
        <f t="shared" si="180"/>
        <v>#REF!</v>
      </c>
      <c r="M217" s="195" t="e">
        <f t="shared" si="180"/>
        <v>#REF!</v>
      </c>
      <c r="O217" s="195" t="e">
        <f t="shared" ref="O217:Q217" si="181">O200</f>
        <v>#REF!</v>
      </c>
      <c r="P217" s="195" t="e">
        <f t="shared" si="181"/>
        <v>#REF!</v>
      </c>
      <c r="Q217" s="195" t="e">
        <f t="shared" si="181"/>
        <v>#REF!</v>
      </c>
    </row>
    <row r="218" spans="1:17" hidden="1" x14ac:dyDescent="0.2">
      <c r="A218" s="193" t="s">
        <v>92</v>
      </c>
      <c r="B218" s="193" t="s">
        <v>206</v>
      </c>
      <c r="C218" s="194" t="s">
        <v>170</v>
      </c>
      <c r="D218" s="195">
        <v>1455300.79</v>
      </c>
      <c r="E218" s="195"/>
      <c r="F218" s="195" t="e">
        <f t="shared" ref="F218:I218" si="182">F201</f>
        <v>#REF!</v>
      </c>
      <c r="G218" s="208" t="e">
        <f t="shared" si="182"/>
        <v>#REF!</v>
      </c>
      <c r="H218" s="208" t="e">
        <f t="shared" si="182"/>
        <v>#REF!</v>
      </c>
      <c r="I218" s="208" t="e">
        <f t="shared" si="182"/>
        <v>#REF!</v>
      </c>
      <c r="K218" s="195" t="e">
        <f t="shared" ref="K218:M218" si="183">K201</f>
        <v>#REF!</v>
      </c>
      <c r="L218" s="195" t="e">
        <f t="shared" si="183"/>
        <v>#REF!</v>
      </c>
      <c r="M218" s="195" t="e">
        <f t="shared" si="183"/>
        <v>#REF!</v>
      </c>
      <c r="O218" s="195" t="e">
        <f t="shared" ref="O218:Q218" si="184">O201</f>
        <v>#REF!</v>
      </c>
      <c r="P218" s="195" t="e">
        <f t="shared" si="184"/>
        <v>#REF!</v>
      </c>
      <c r="Q218" s="195" t="e">
        <f t="shared" si="184"/>
        <v>#REF!</v>
      </c>
    </row>
    <row r="219" spans="1:17" hidden="1" x14ac:dyDescent="0.2">
      <c r="A219" s="193" t="s">
        <v>92</v>
      </c>
      <c r="B219" s="193" t="s">
        <v>206</v>
      </c>
      <c r="C219" s="194" t="s">
        <v>171</v>
      </c>
      <c r="D219" s="195">
        <v>1424578.2500000002</v>
      </c>
      <c r="E219" s="195"/>
      <c r="F219" s="195" t="e">
        <f t="shared" ref="F219:I219" si="185">F202</f>
        <v>#REF!</v>
      </c>
      <c r="G219" s="208" t="e">
        <f t="shared" si="185"/>
        <v>#REF!</v>
      </c>
      <c r="H219" s="208" t="e">
        <f t="shared" si="185"/>
        <v>#REF!</v>
      </c>
      <c r="I219" s="208" t="e">
        <f t="shared" si="185"/>
        <v>#REF!</v>
      </c>
      <c r="K219" s="195" t="e">
        <f t="shared" ref="K219:M219" si="186">K202</f>
        <v>#REF!</v>
      </c>
      <c r="L219" s="195" t="e">
        <f t="shared" si="186"/>
        <v>#REF!</v>
      </c>
      <c r="M219" s="195" t="e">
        <f t="shared" si="186"/>
        <v>#REF!</v>
      </c>
      <c r="O219" s="195" t="e">
        <f t="shared" ref="O219:Q219" si="187">O202</f>
        <v>#REF!</v>
      </c>
      <c r="P219" s="195" t="e">
        <f t="shared" si="187"/>
        <v>#REF!</v>
      </c>
      <c r="Q219" s="195" t="e">
        <f t="shared" si="187"/>
        <v>#REF!</v>
      </c>
    </row>
    <row r="220" spans="1:17" hidden="1" x14ac:dyDescent="0.2">
      <c r="A220" s="193" t="s">
        <v>92</v>
      </c>
      <c r="B220" s="193" t="s">
        <v>206</v>
      </c>
      <c r="C220" s="194" t="s">
        <v>172</v>
      </c>
      <c r="D220" s="195">
        <v>1357461.55</v>
      </c>
      <c r="E220" s="195"/>
      <c r="F220" s="195" t="e">
        <f t="shared" ref="F220:I220" si="188">F203</f>
        <v>#REF!</v>
      </c>
      <c r="G220" s="208" t="e">
        <f t="shared" si="188"/>
        <v>#REF!</v>
      </c>
      <c r="H220" s="208" t="e">
        <f t="shared" si="188"/>
        <v>#REF!</v>
      </c>
      <c r="I220" s="208" t="e">
        <f t="shared" si="188"/>
        <v>#REF!</v>
      </c>
      <c r="K220" s="195" t="e">
        <f t="shared" ref="K220:M220" si="189">K203</f>
        <v>#REF!</v>
      </c>
      <c r="L220" s="195" t="e">
        <f t="shared" si="189"/>
        <v>#REF!</v>
      </c>
      <c r="M220" s="195" t="e">
        <f t="shared" si="189"/>
        <v>#REF!</v>
      </c>
      <c r="O220" s="195" t="e">
        <f t="shared" ref="O220:Q220" si="190">O203</f>
        <v>#REF!</v>
      </c>
      <c r="P220" s="195" t="e">
        <f t="shared" si="190"/>
        <v>#REF!</v>
      </c>
      <c r="Q220" s="195" t="e">
        <f t="shared" si="190"/>
        <v>#REF!</v>
      </c>
    </row>
    <row r="221" spans="1:17" hidden="1" x14ac:dyDescent="0.2">
      <c r="A221" s="193" t="s">
        <v>92</v>
      </c>
      <c r="B221" s="193" t="s">
        <v>206</v>
      </c>
      <c r="C221" s="194" t="s">
        <v>173</v>
      </c>
      <c r="D221" s="195">
        <v>1195371.06</v>
      </c>
      <c r="E221" s="195"/>
      <c r="F221" s="195" t="e">
        <f t="shared" ref="F221:I221" si="191">F204</f>
        <v>#REF!</v>
      </c>
      <c r="G221" s="208" t="e">
        <f t="shared" si="191"/>
        <v>#REF!</v>
      </c>
      <c r="H221" s="208" t="e">
        <f t="shared" si="191"/>
        <v>#REF!</v>
      </c>
      <c r="I221" s="208" t="e">
        <f t="shared" si="191"/>
        <v>#REF!</v>
      </c>
      <c r="K221" s="195" t="e">
        <f t="shared" ref="K221:M221" si="192">K204</f>
        <v>#REF!</v>
      </c>
      <c r="L221" s="195" t="e">
        <f t="shared" si="192"/>
        <v>#REF!</v>
      </c>
      <c r="M221" s="195" t="e">
        <f t="shared" si="192"/>
        <v>#REF!</v>
      </c>
      <c r="O221" s="195" t="e">
        <f t="shared" ref="O221:Q221" si="193">O204</f>
        <v>#REF!</v>
      </c>
      <c r="P221" s="195" t="e">
        <f t="shared" si="193"/>
        <v>#REF!</v>
      </c>
      <c r="Q221" s="195" t="e">
        <f t="shared" si="193"/>
        <v>#REF!</v>
      </c>
    </row>
    <row r="222" spans="1:17" hidden="1" x14ac:dyDescent="0.2">
      <c r="A222" s="193" t="s">
        <v>92</v>
      </c>
      <c r="B222" s="193" t="s">
        <v>206</v>
      </c>
      <c r="C222" s="194" t="s">
        <v>174</v>
      </c>
      <c r="D222" s="195">
        <v>1254926.53</v>
      </c>
      <c r="E222" s="195"/>
      <c r="F222" s="195" t="e">
        <f t="shared" ref="F222:I222" si="194">F205</f>
        <v>#REF!</v>
      </c>
      <c r="G222" s="208" t="e">
        <f t="shared" si="194"/>
        <v>#REF!</v>
      </c>
      <c r="H222" s="208" t="e">
        <f t="shared" si="194"/>
        <v>#REF!</v>
      </c>
      <c r="I222" s="208" t="e">
        <f t="shared" si="194"/>
        <v>#REF!</v>
      </c>
      <c r="K222" s="195" t="e">
        <f t="shared" ref="K222:M222" si="195">K205</f>
        <v>#REF!</v>
      </c>
      <c r="L222" s="195" t="e">
        <f t="shared" si="195"/>
        <v>#REF!</v>
      </c>
      <c r="M222" s="195" t="e">
        <f t="shared" si="195"/>
        <v>#REF!</v>
      </c>
      <c r="O222" s="195" t="e">
        <f t="shared" ref="O222:Q222" si="196">O205</f>
        <v>#REF!</v>
      </c>
      <c r="P222" s="195" t="e">
        <f t="shared" si="196"/>
        <v>#REF!</v>
      </c>
      <c r="Q222" s="195" t="e">
        <f t="shared" si="196"/>
        <v>#REF!</v>
      </c>
    </row>
    <row r="223" spans="1:17" hidden="1" x14ac:dyDescent="0.2">
      <c r="A223" s="193" t="s">
        <v>92</v>
      </c>
      <c r="B223" s="193" t="s">
        <v>206</v>
      </c>
      <c r="C223" s="194" t="s">
        <v>175</v>
      </c>
      <c r="D223" s="195">
        <v>1385671.28</v>
      </c>
      <c r="E223" s="195"/>
      <c r="F223" s="195" t="e">
        <f t="shared" ref="F223:I223" si="197">F206</f>
        <v>#REF!</v>
      </c>
      <c r="G223" s="208" t="e">
        <f t="shared" si="197"/>
        <v>#REF!</v>
      </c>
      <c r="H223" s="208" t="e">
        <f t="shared" si="197"/>
        <v>#REF!</v>
      </c>
      <c r="I223" s="208" t="e">
        <f t="shared" si="197"/>
        <v>#REF!</v>
      </c>
      <c r="K223" s="195" t="e">
        <f t="shared" ref="K223:M223" si="198">K206</f>
        <v>#REF!</v>
      </c>
      <c r="L223" s="195" t="e">
        <f t="shared" si="198"/>
        <v>#REF!</v>
      </c>
      <c r="M223" s="195" t="e">
        <f t="shared" si="198"/>
        <v>#REF!</v>
      </c>
      <c r="O223" s="195" t="e">
        <f t="shared" ref="O223:Q223" si="199">O206</f>
        <v>#REF!</v>
      </c>
      <c r="P223" s="195" t="e">
        <f t="shared" si="199"/>
        <v>#REF!</v>
      </c>
      <c r="Q223" s="195" t="e">
        <f t="shared" si="199"/>
        <v>#REF!</v>
      </c>
    </row>
    <row r="224" spans="1:17" hidden="1" x14ac:dyDescent="0.2">
      <c r="A224" s="193" t="s">
        <v>92</v>
      </c>
      <c r="B224" s="193" t="s">
        <v>206</v>
      </c>
      <c r="C224" s="194" t="s">
        <v>176</v>
      </c>
      <c r="D224" s="195">
        <v>1357421.7699999998</v>
      </c>
      <c r="E224" s="195"/>
      <c r="F224" s="195" t="e">
        <f t="shared" ref="F224:I224" si="200">F207</f>
        <v>#REF!</v>
      </c>
      <c r="G224" s="208" t="e">
        <f t="shared" si="200"/>
        <v>#REF!</v>
      </c>
      <c r="H224" s="208" t="e">
        <f t="shared" si="200"/>
        <v>#REF!</v>
      </c>
      <c r="I224" s="208" t="e">
        <f t="shared" si="200"/>
        <v>#REF!</v>
      </c>
      <c r="K224" s="195" t="e">
        <f t="shared" ref="K224:M224" si="201">K207</f>
        <v>#REF!</v>
      </c>
      <c r="L224" s="195" t="e">
        <f t="shared" si="201"/>
        <v>#REF!</v>
      </c>
      <c r="M224" s="195" t="e">
        <f t="shared" si="201"/>
        <v>#REF!</v>
      </c>
      <c r="O224" s="195" t="e">
        <f t="shared" ref="O224:Q224" si="202">O207</f>
        <v>#REF!</v>
      </c>
      <c r="P224" s="195" t="e">
        <f t="shared" si="202"/>
        <v>#REF!</v>
      </c>
      <c r="Q224" s="195" t="e">
        <f t="shared" si="202"/>
        <v>#REF!</v>
      </c>
    </row>
    <row r="225" spans="1:17" hidden="1" x14ac:dyDescent="0.2">
      <c r="A225" s="193" t="s">
        <v>92</v>
      </c>
      <c r="B225" s="193" t="s">
        <v>206</v>
      </c>
      <c r="C225" s="194" t="s">
        <v>177</v>
      </c>
      <c r="D225" s="195">
        <v>1473223.48</v>
      </c>
      <c r="E225" s="195"/>
      <c r="F225" s="195" t="e">
        <f>F208</f>
        <v>#REF!</v>
      </c>
      <c r="G225" s="208" t="e">
        <f>G208</f>
        <v>#REF!</v>
      </c>
      <c r="H225" s="208" t="e">
        <f>H208</f>
        <v>#REF!</v>
      </c>
      <c r="I225" s="208" t="e">
        <f>I208</f>
        <v>#REF!</v>
      </c>
      <c r="K225" s="195" t="e">
        <f>K208</f>
        <v>#REF!</v>
      </c>
      <c r="L225" s="195" t="e">
        <f>L208</f>
        <v>#REF!</v>
      </c>
      <c r="M225" s="195" t="e">
        <f>M208</f>
        <v>#REF!</v>
      </c>
      <c r="O225" s="195" t="e">
        <f>O208</f>
        <v>#REF!</v>
      </c>
      <c r="P225" s="195" t="e">
        <f>P208</f>
        <v>#REF!</v>
      </c>
      <c r="Q225" s="195" t="e">
        <f>Q208</f>
        <v>#REF!</v>
      </c>
    </row>
    <row r="226" spans="1:17" hidden="1" x14ac:dyDescent="0.2">
      <c r="A226" s="193" t="s">
        <v>92</v>
      </c>
      <c r="B226" s="193" t="s">
        <v>206</v>
      </c>
      <c r="C226" s="205" t="s">
        <v>183</v>
      </c>
      <c r="D226" s="206">
        <f>SUM(D214:D225)</f>
        <v>16405584.220000001</v>
      </c>
      <c r="E226" s="206"/>
      <c r="F226" s="206" t="e">
        <f>SUM(F214:F225)</f>
        <v>#REF!</v>
      </c>
      <c r="G226" s="206" t="e">
        <f>SUM(G214:G225)</f>
        <v>#REF!</v>
      </c>
      <c r="H226" s="206" t="e">
        <f>SUM(H214:H225)</f>
        <v>#REF!</v>
      </c>
      <c r="I226" s="206" t="e">
        <f>SUM(I214:I225)</f>
        <v>#REF!</v>
      </c>
      <c r="K226" s="206" t="e">
        <f>SUM(K214:K225)</f>
        <v>#REF!</v>
      </c>
      <c r="L226" s="206" t="e">
        <f>SUM(L214:L225)</f>
        <v>#REF!</v>
      </c>
      <c r="M226" s="206" t="e">
        <f>SUM(M214:M225)</f>
        <v>#REF!</v>
      </c>
      <c r="O226" s="206" t="e">
        <f>SUM(O214:O225)</f>
        <v>#REF!</v>
      </c>
      <c r="P226" s="206" t="e">
        <f>SUM(P214:P225)</f>
        <v>#REF!</v>
      </c>
      <c r="Q226" s="206" t="e">
        <f>SUM(Q214:Q225)</f>
        <v>#REF!</v>
      </c>
    </row>
    <row r="227" spans="1:17" hidden="1" x14ac:dyDescent="0.2">
      <c r="A227" s="193" t="s">
        <v>92</v>
      </c>
      <c r="B227" s="193" t="s">
        <v>206</v>
      </c>
      <c r="C227" s="203"/>
      <c r="D227" s="203"/>
      <c r="E227" s="203"/>
      <c r="F227" s="203"/>
      <c r="G227" s="203"/>
      <c r="H227" s="203"/>
      <c r="I227" s="203"/>
      <c r="J227" s="203"/>
      <c r="K227" s="196"/>
      <c r="L227" s="196"/>
      <c r="M227" s="196"/>
    </row>
    <row r="228" spans="1:17" hidden="1" x14ac:dyDescent="0.2">
      <c r="A228" s="193" t="s">
        <v>92</v>
      </c>
      <c r="B228" s="193" t="s">
        <v>206</v>
      </c>
      <c r="C228" s="526" t="s">
        <v>193</v>
      </c>
      <c r="D228" s="526"/>
      <c r="E228" s="526"/>
      <c r="F228" s="526"/>
      <c r="G228" s="212">
        <f>K228+O228</f>
        <v>17616217</v>
      </c>
      <c r="H228" s="212">
        <f t="shared" ref="H228:H229" si="203">L228+P228</f>
        <v>17616217</v>
      </c>
      <c r="I228" s="212">
        <f t="shared" ref="I228:I229" si="204">M228+Q228</f>
        <v>17616217</v>
      </c>
      <c r="J228" s="213"/>
      <c r="K228" s="214">
        <f>17616217</f>
        <v>17616217</v>
      </c>
      <c r="L228" s="214">
        <f>17616217</f>
        <v>17616217</v>
      </c>
      <c r="M228" s="214">
        <f>17616217</f>
        <v>17616217</v>
      </c>
      <c r="N228" s="197"/>
      <c r="O228" s="197">
        <v>0</v>
      </c>
      <c r="P228" s="197">
        <v>0</v>
      </c>
      <c r="Q228" s="197">
        <v>0</v>
      </c>
    </row>
    <row r="229" spans="1:17" hidden="1" x14ac:dyDescent="0.2">
      <c r="A229" s="193" t="s">
        <v>92</v>
      </c>
      <c r="B229" s="193" t="s">
        <v>206</v>
      </c>
      <c r="C229" s="526" t="s">
        <v>222</v>
      </c>
      <c r="D229" s="526"/>
      <c r="E229" s="526"/>
      <c r="F229" s="526"/>
      <c r="G229" s="212">
        <f>K229+O229</f>
        <v>0</v>
      </c>
      <c r="H229" s="212">
        <f t="shared" si="203"/>
        <v>0</v>
      </c>
      <c r="I229" s="212">
        <f t="shared" si="204"/>
        <v>0</v>
      </c>
      <c r="J229" s="213"/>
      <c r="K229" s="214">
        <v>0</v>
      </c>
      <c r="L229" s="214">
        <v>0</v>
      </c>
      <c r="M229" s="214">
        <v>0</v>
      </c>
      <c r="N229" s="197"/>
      <c r="O229" s="197">
        <v>0</v>
      </c>
      <c r="P229" s="197">
        <v>0</v>
      </c>
      <c r="Q229" s="197">
        <v>0</v>
      </c>
    </row>
    <row r="230" spans="1:17" hidden="1" x14ac:dyDescent="0.2">
      <c r="A230" s="193" t="s">
        <v>92</v>
      </c>
      <c r="B230" s="193" t="s">
        <v>206</v>
      </c>
      <c r="C230" s="224"/>
      <c r="D230" s="224"/>
      <c r="E230" s="224"/>
      <c r="F230" s="224"/>
      <c r="G230" s="226"/>
      <c r="H230" s="226"/>
      <c r="I230" s="226"/>
      <c r="J230" s="226"/>
      <c r="K230" s="226"/>
      <c r="L230" s="226"/>
      <c r="M230" s="226"/>
      <c r="N230" s="226"/>
      <c r="O230" s="226"/>
      <c r="P230" s="226"/>
      <c r="Q230" s="226"/>
    </row>
    <row r="231" spans="1:17" ht="14.45" hidden="1" customHeight="1" x14ac:dyDescent="0.2">
      <c r="A231" s="193" t="s">
        <v>92</v>
      </c>
      <c r="B231" s="193" t="s">
        <v>206</v>
      </c>
      <c r="C231" s="527" t="s">
        <v>194</v>
      </c>
      <c r="D231" s="527"/>
      <c r="E231" s="527"/>
      <c r="F231" s="527"/>
      <c r="G231" s="211" t="e">
        <f>G226-G228+G229</f>
        <v>#REF!</v>
      </c>
      <c r="H231" s="211" t="e">
        <f>H226-H228+H229</f>
        <v>#REF!</v>
      </c>
      <c r="I231" s="211" t="e">
        <f>I226-I228+I229</f>
        <v>#REF!</v>
      </c>
      <c r="J231" s="211"/>
      <c r="K231" s="211" t="e">
        <f>K226-K228+K229</f>
        <v>#REF!</v>
      </c>
      <c r="L231" s="211" t="e">
        <f>L226-L228+L229</f>
        <v>#REF!</v>
      </c>
      <c r="M231" s="211" t="e">
        <f>M226-M228+M229</f>
        <v>#REF!</v>
      </c>
      <c r="N231" s="211"/>
      <c r="O231" s="211" t="e">
        <f>O226-O228+O229</f>
        <v>#REF!</v>
      </c>
      <c r="P231" s="211" t="e">
        <f>P226-P228+P229</f>
        <v>#REF!</v>
      </c>
      <c r="Q231" s="211" t="e">
        <f>Q226-Q228+Q229</f>
        <v>#REF!</v>
      </c>
    </row>
    <row r="232" spans="1:17" hidden="1" x14ac:dyDescent="0.2"/>
    <row r="233" spans="1:17" hidden="1" x14ac:dyDescent="0.2">
      <c r="A233" s="193" t="s">
        <v>231</v>
      </c>
      <c r="C233" s="204" t="s">
        <v>231</v>
      </c>
    </row>
    <row r="234" spans="1:17" hidden="1" x14ac:dyDescent="0.2">
      <c r="A234" s="193" t="s">
        <v>231</v>
      </c>
      <c r="B234" s="193" t="s">
        <v>205</v>
      </c>
      <c r="C234" s="528" t="s">
        <v>180</v>
      </c>
      <c r="D234" s="528"/>
      <c r="E234" s="200"/>
      <c r="G234" s="529" t="s">
        <v>234</v>
      </c>
      <c r="H234" s="529"/>
      <c r="I234" s="529"/>
      <c r="K234" s="530" t="s">
        <v>235</v>
      </c>
      <c r="L234" s="530"/>
      <c r="M234" s="530"/>
      <c r="O234" s="530" t="s">
        <v>236</v>
      </c>
      <c r="P234" s="530"/>
      <c r="Q234" s="530"/>
    </row>
    <row r="235" spans="1:17" s="33" customFormat="1" hidden="1" x14ac:dyDescent="0.2">
      <c r="A235" s="193" t="s">
        <v>231</v>
      </c>
      <c r="B235" s="193" t="s">
        <v>205</v>
      </c>
      <c r="C235" s="34"/>
      <c r="D235" s="199" t="s">
        <v>178</v>
      </c>
      <c r="E235" s="199"/>
      <c r="F235" s="199" t="s">
        <v>86</v>
      </c>
      <c r="G235" s="207" t="s">
        <v>41</v>
      </c>
      <c r="H235" s="207" t="s">
        <v>44</v>
      </c>
      <c r="I235" s="207" t="s">
        <v>72</v>
      </c>
      <c r="K235" s="199" t="s">
        <v>41</v>
      </c>
      <c r="L235" s="199" t="s">
        <v>44</v>
      </c>
      <c r="M235" s="199" t="s">
        <v>72</v>
      </c>
      <c r="O235" s="199" t="s">
        <v>41</v>
      </c>
      <c r="P235" s="199" t="s">
        <v>44</v>
      </c>
      <c r="Q235" s="199" t="s">
        <v>72</v>
      </c>
    </row>
    <row r="236" spans="1:17" hidden="1" x14ac:dyDescent="0.2">
      <c r="A236" s="193" t="s">
        <v>231</v>
      </c>
      <c r="B236" s="193" t="s">
        <v>205</v>
      </c>
      <c r="C236" s="194" t="s">
        <v>166</v>
      </c>
      <c r="D236" s="195">
        <v>1300261.1800000002</v>
      </c>
      <c r="E236" s="195">
        <f>D236*100/$D$20</f>
        <v>7.8982270853128522</v>
      </c>
      <c r="F236" s="195" t="e">
        <f>#REF!*Sheet5!E236/100</f>
        <v>#REF!</v>
      </c>
      <c r="G236" s="208" t="e">
        <f>'1.1.'!$I$20*Sheet5!E236/100</f>
        <v>#REF!</v>
      </c>
      <c r="H236" s="208" t="e">
        <f>'1.1.'!$I$37*Sheet5!E236/100</f>
        <v>#REF!</v>
      </c>
      <c r="I236" s="208" t="e">
        <f>'1.1.'!$I$54*Sheet5!E236/100</f>
        <v>#REF!</v>
      </c>
      <c r="K236" s="195" t="e">
        <f>'1.1.'!$I$18*Sheet5!E236/100</f>
        <v>#REF!</v>
      </c>
      <c r="L236" s="195" t="e">
        <f>'1.1.'!$I$36*Sheet5!E236/100</f>
        <v>#REF!</v>
      </c>
      <c r="M236" s="195" t="e">
        <f>'1.1.'!$I$53*Sheet5!E236/100</f>
        <v>#REF!</v>
      </c>
      <c r="O236" s="195" t="e">
        <f>G236-K236</f>
        <v>#REF!</v>
      </c>
      <c r="P236" s="195" t="e">
        <f>H236-L236</f>
        <v>#REF!</v>
      </c>
      <c r="Q236" s="195" t="e">
        <f t="shared" ref="Q236:Q247" si="205">I236-M236</f>
        <v>#REF!</v>
      </c>
    </row>
    <row r="237" spans="1:17" hidden="1" x14ac:dyDescent="0.2">
      <c r="A237" s="193" t="s">
        <v>231</v>
      </c>
      <c r="B237" s="193" t="s">
        <v>205</v>
      </c>
      <c r="C237" s="194" t="s">
        <v>167</v>
      </c>
      <c r="D237" s="195">
        <v>1345922.41</v>
      </c>
      <c r="E237" s="195">
        <f t="shared" ref="E237:E247" si="206">D237*100/$D$20</f>
        <v>8.1755888716077401</v>
      </c>
      <c r="F237" s="195" t="e">
        <f>#REF!*Sheet5!E237/100</f>
        <v>#REF!</v>
      </c>
      <c r="G237" s="208" t="e">
        <f>'1.1.'!$I$20*Sheet5!E237/100</f>
        <v>#REF!</v>
      </c>
      <c r="H237" s="208" t="e">
        <f>'1.1.'!$I$37*Sheet5!E237/100</f>
        <v>#REF!</v>
      </c>
      <c r="I237" s="208" t="e">
        <f>'1.1.'!$I$54*Sheet5!E237/100</f>
        <v>#REF!</v>
      </c>
      <c r="K237" s="195" t="e">
        <f>'1.1.'!$I$18*Sheet5!E237/100</f>
        <v>#REF!</v>
      </c>
      <c r="L237" s="195" t="e">
        <f>'1.1.'!$I$36*Sheet5!E237/100</f>
        <v>#REF!</v>
      </c>
      <c r="M237" s="195" t="e">
        <f>'1.1.'!$I$53*Sheet5!E237/100</f>
        <v>#REF!</v>
      </c>
      <c r="O237" s="195" t="e">
        <f t="shared" ref="O237:O242" si="207">G237-K237</f>
        <v>#REF!</v>
      </c>
      <c r="P237" s="195" t="e">
        <f t="shared" ref="P237:P247" si="208">H237-L237</f>
        <v>#REF!</v>
      </c>
      <c r="Q237" s="195" t="e">
        <f t="shared" si="205"/>
        <v>#REF!</v>
      </c>
    </row>
    <row r="238" spans="1:17" hidden="1" x14ac:dyDescent="0.2">
      <c r="A238" s="193" t="s">
        <v>231</v>
      </c>
      <c r="B238" s="193" t="s">
        <v>205</v>
      </c>
      <c r="C238" s="194" t="s">
        <v>168</v>
      </c>
      <c r="D238" s="195">
        <v>1359789.78</v>
      </c>
      <c r="E238" s="195">
        <f t="shared" si="206"/>
        <v>8.2598239768471764</v>
      </c>
      <c r="F238" s="195" t="e">
        <f>#REF!*Sheet5!E238/100</f>
        <v>#REF!</v>
      </c>
      <c r="G238" s="208" t="e">
        <f>'1.1.'!$I$20*Sheet5!E238/100</f>
        <v>#REF!</v>
      </c>
      <c r="H238" s="208" t="e">
        <f>'1.1.'!$I$37*Sheet5!E238/100</f>
        <v>#REF!</v>
      </c>
      <c r="I238" s="208" t="e">
        <f>'1.1.'!$I$54*Sheet5!E238/100</f>
        <v>#REF!</v>
      </c>
      <c r="K238" s="195" t="e">
        <f>'1.1.'!$I$18*Sheet5!E238/100</f>
        <v>#REF!</v>
      </c>
      <c r="L238" s="195" t="e">
        <f>'1.1.'!$I$36*Sheet5!E238/100</f>
        <v>#REF!</v>
      </c>
      <c r="M238" s="195" t="e">
        <f>'1.1.'!$I$53*Sheet5!E238/100</f>
        <v>#REF!</v>
      </c>
      <c r="O238" s="195" t="e">
        <f t="shared" si="207"/>
        <v>#REF!</v>
      </c>
      <c r="P238" s="195" t="e">
        <f t="shared" si="208"/>
        <v>#REF!</v>
      </c>
      <c r="Q238" s="195" t="e">
        <f t="shared" si="205"/>
        <v>#REF!</v>
      </c>
    </row>
    <row r="239" spans="1:17" hidden="1" x14ac:dyDescent="0.2">
      <c r="A239" s="193" t="s">
        <v>231</v>
      </c>
      <c r="B239" s="193" t="s">
        <v>205</v>
      </c>
      <c r="C239" s="194" t="s">
        <v>169</v>
      </c>
      <c r="D239" s="195">
        <v>1455300.79</v>
      </c>
      <c r="E239" s="195">
        <f t="shared" si="206"/>
        <v>8.8399902216992974</v>
      </c>
      <c r="F239" s="195" t="e">
        <f>#REF!*Sheet5!E239/100</f>
        <v>#REF!</v>
      </c>
      <c r="G239" s="208" t="e">
        <f>'1.1.'!$I$20*Sheet5!E239/100</f>
        <v>#REF!</v>
      </c>
      <c r="H239" s="208" t="e">
        <f>'1.1.'!$I$37*Sheet5!E239/100</f>
        <v>#REF!</v>
      </c>
      <c r="I239" s="208" t="e">
        <f>'1.1.'!$I$54*Sheet5!E239/100</f>
        <v>#REF!</v>
      </c>
      <c r="K239" s="195" t="e">
        <f>'1.1.'!$I$18*Sheet5!E239/100</f>
        <v>#REF!</v>
      </c>
      <c r="L239" s="195" t="e">
        <f>'1.1.'!$I$36*Sheet5!E239/100</f>
        <v>#REF!</v>
      </c>
      <c r="M239" s="195" t="e">
        <f>'1.1.'!$I$53*Sheet5!E239/100</f>
        <v>#REF!</v>
      </c>
      <c r="O239" s="195" t="e">
        <f t="shared" si="207"/>
        <v>#REF!</v>
      </c>
      <c r="P239" s="195" t="e">
        <f t="shared" si="208"/>
        <v>#REF!</v>
      </c>
      <c r="Q239" s="195" t="e">
        <f t="shared" si="205"/>
        <v>#REF!</v>
      </c>
    </row>
    <row r="240" spans="1:17" hidden="1" x14ac:dyDescent="0.2">
      <c r="A240" s="193" t="s">
        <v>231</v>
      </c>
      <c r="B240" s="193" t="s">
        <v>205</v>
      </c>
      <c r="C240" s="194" t="s">
        <v>170</v>
      </c>
      <c r="D240" s="195">
        <v>1424578.2500000002</v>
      </c>
      <c r="E240" s="195">
        <f t="shared" si="206"/>
        <v>8.6533711014102455</v>
      </c>
      <c r="F240" s="195" t="e">
        <f>#REF!*Sheet5!E240/100</f>
        <v>#REF!</v>
      </c>
      <c r="G240" s="208" t="e">
        <f>'1.1.'!$I$20*Sheet5!E240/100</f>
        <v>#REF!</v>
      </c>
      <c r="H240" s="208" t="e">
        <f>'1.1.'!$I$37*Sheet5!E240/100</f>
        <v>#REF!</v>
      </c>
      <c r="I240" s="208" t="e">
        <f>'1.1.'!$I$54*Sheet5!E240/100</f>
        <v>#REF!</v>
      </c>
      <c r="K240" s="195" t="e">
        <f>'1.1.'!$I$18*Sheet5!E240/100</f>
        <v>#REF!</v>
      </c>
      <c r="L240" s="195" t="e">
        <f>'1.1.'!$I$36*Sheet5!E240/100</f>
        <v>#REF!</v>
      </c>
      <c r="M240" s="195" t="e">
        <f>'1.1.'!$I$53*Sheet5!E240/100</f>
        <v>#REF!</v>
      </c>
      <c r="O240" s="195" t="e">
        <f t="shared" si="207"/>
        <v>#REF!</v>
      </c>
      <c r="P240" s="195" t="e">
        <f t="shared" si="208"/>
        <v>#REF!</v>
      </c>
      <c r="Q240" s="195" t="e">
        <f t="shared" si="205"/>
        <v>#REF!</v>
      </c>
    </row>
    <row r="241" spans="1:17" hidden="1" x14ac:dyDescent="0.2">
      <c r="A241" s="193" t="s">
        <v>231</v>
      </c>
      <c r="B241" s="193" t="s">
        <v>205</v>
      </c>
      <c r="C241" s="194" t="s">
        <v>171</v>
      </c>
      <c r="D241" s="195">
        <v>1357461.55</v>
      </c>
      <c r="E241" s="195">
        <f t="shared" si="206"/>
        <v>8.245681518755152</v>
      </c>
      <c r="F241" s="195" t="e">
        <f>#REF!*Sheet5!E241/100</f>
        <v>#REF!</v>
      </c>
      <c r="G241" s="208" t="e">
        <f>'1.1.'!$I$20*Sheet5!E241/100</f>
        <v>#REF!</v>
      </c>
      <c r="H241" s="208" t="e">
        <f>'1.1.'!$I$37*Sheet5!E241/100</f>
        <v>#REF!</v>
      </c>
      <c r="I241" s="208" t="e">
        <f>'1.1.'!$I$54*Sheet5!E241/100</f>
        <v>#REF!</v>
      </c>
      <c r="K241" s="195" t="e">
        <f>'1.1.'!$I$18*Sheet5!E241/100</f>
        <v>#REF!</v>
      </c>
      <c r="L241" s="195" t="e">
        <f>'1.1.'!$I$36*Sheet5!E241/100</f>
        <v>#REF!</v>
      </c>
      <c r="M241" s="195" t="e">
        <f>'1.1.'!$I$53*Sheet5!E241/100</f>
        <v>#REF!</v>
      </c>
      <c r="O241" s="195" t="e">
        <f t="shared" si="207"/>
        <v>#REF!</v>
      </c>
      <c r="P241" s="195" t="e">
        <f t="shared" si="208"/>
        <v>#REF!</v>
      </c>
      <c r="Q241" s="195" t="e">
        <f t="shared" si="205"/>
        <v>#REF!</v>
      </c>
    </row>
    <row r="242" spans="1:17" hidden="1" x14ac:dyDescent="0.2">
      <c r="A242" s="193" t="s">
        <v>231</v>
      </c>
      <c r="B242" s="193" t="s">
        <v>205</v>
      </c>
      <c r="C242" s="194" t="s">
        <v>172</v>
      </c>
      <c r="D242" s="195">
        <v>1195371.06</v>
      </c>
      <c r="E242" s="195">
        <f t="shared" si="206"/>
        <v>7.2610889475998457</v>
      </c>
      <c r="F242" s="195" t="e">
        <f>#REF!*Sheet5!E242/100</f>
        <v>#REF!</v>
      </c>
      <c r="G242" s="208" t="e">
        <f>'1.1.'!$I$20*Sheet5!E242/100</f>
        <v>#REF!</v>
      </c>
      <c r="H242" s="208" t="e">
        <f>'1.1.'!$I$37*Sheet5!E242/100</f>
        <v>#REF!</v>
      </c>
      <c r="I242" s="208" t="e">
        <f>'1.1.'!$I$54*Sheet5!E242/100</f>
        <v>#REF!</v>
      </c>
      <c r="K242" s="195" t="e">
        <f>'1.1.'!$I$18*Sheet5!E242/100</f>
        <v>#REF!</v>
      </c>
      <c r="L242" s="195" t="e">
        <f>'1.1.'!$I$36*Sheet5!E242/100</f>
        <v>#REF!</v>
      </c>
      <c r="M242" s="195" t="e">
        <f>'1.1.'!$I$53*Sheet5!E242/100</f>
        <v>#REF!</v>
      </c>
      <c r="O242" s="195" t="e">
        <f t="shared" si="207"/>
        <v>#REF!</v>
      </c>
      <c r="P242" s="195" t="e">
        <f t="shared" si="208"/>
        <v>#REF!</v>
      </c>
      <c r="Q242" s="195" t="e">
        <f t="shared" si="205"/>
        <v>#REF!</v>
      </c>
    </row>
    <row r="243" spans="1:17" hidden="1" x14ac:dyDescent="0.2">
      <c r="A243" s="193" t="s">
        <v>231</v>
      </c>
      <c r="B243" s="193" t="s">
        <v>205</v>
      </c>
      <c r="C243" s="194" t="s">
        <v>173</v>
      </c>
      <c r="D243" s="195">
        <v>1254926.53</v>
      </c>
      <c r="E243" s="195">
        <f t="shared" si="206"/>
        <v>7.6228490566208169</v>
      </c>
      <c r="F243" s="195" t="e">
        <f>#REF!*Sheet5!E243/100</f>
        <v>#REF!</v>
      </c>
      <c r="G243" s="208" t="e">
        <f>'1.1.'!$I$20*Sheet5!E243/100</f>
        <v>#REF!</v>
      </c>
      <c r="H243" s="208" t="e">
        <f>'1.1.'!$I$37*Sheet5!E243/100</f>
        <v>#REF!</v>
      </c>
      <c r="I243" s="208" t="e">
        <f>'1.1.'!$I$54*Sheet5!E243/100</f>
        <v>#REF!</v>
      </c>
      <c r="K243" s="195" t="e">
        <f>'1.1.'!$I$18*Sheet5!E243/100</f>
        <v>#REF!</v>
      </c>
      <c r="L243" s="195" t="e">
        <f>'1.1.'!$I$36*Sheet5!E243/100</f>
        <v>#REF!</v>
      </c>
      <c r="M243" s="195" t="e">
        <f>'1.1.'!$I$53*Sheet5!E243/100</f>
        <v>#REF!</v>
      </c>
      <c r="O243" s="195" t="e">
        <f>G243-K243</f>
        <v>#REF!</v>
      </c>
      <c r="P243" s="195" t="e">
        <f t="shared" si="208"/>
        <v>#REF!</v>
      </c>
      <c r="Q243" s="195" t="e">
        <f t="shared" si="205"/>
        <v>#REF!</v>
      </c>
    </row>
    <row r="244" spans="1:17" hidden="1" x14ac:dyDescent="0.2">
      <c r="A244" s="193" t="s">
        <v>231</v>
      </c>
      <c r="B244" s="193" t="s">
        <v>205</v>
      </c>
      <c r="C244" s="194" t="s">
        <v>174</v>
      </c>
      <c r="D244" s="195">
        <v>1385671.28</v>
      </c>
      <c r="E244" s="195">
        <f t="shared" si="206"/>
        <v>8.4170369794752524</v>
      </c>
      <c r="F244" s="195" t="e">
        <f>#REF!*Sheet5!E244/100</f>
        <v>#REF!</v>
      </c>
      <c r="G244" s="208" t="e">
        <f>'1.1.'!$I$20*Sheet5!E244/100</f>
        <v>#REF!</v>
      </c>
      <c r="H244" s="208" t="e">
        <f>'1.1.'!$I$37*Sheet5!E244/100</f>
        <v>#REF!</v>
      </c>
      <c r="I244" s="208" t="e">
        <f>'1.1.'!$I$54*Sheet5!E244/100</f>
        <v>#REF!</v>
      </c>
      <c r="J244" s="196"/>
      <c r="K244" s="195" t="e">
        <f>'1.1.'!$I$18*Sheet5!E244/100</f>
        <v>#REF!</v>
      </c>
      <c r="L244" s="195" t="e">
        <f>'1.1.'!$I$36*Sheet5!E244/100</f>
        <v>#REF!</v>
      </c>
      <c r="M244" s="195" t="e">
        <f>'1.1.'!$I$53*Sheet5!E244/100</f>
        <v>#REF!</v>
      </c>
      <c r="O244" s="195" t="e">
        <f t="shared" ref="O244:O247" si="209">G244-K244</f>
        <v>#REF!</v>
      </c>
      <c r="P244" s="195" t="e">
        <f t="shared" si="208"/>
        <v>#REF!</v>
      </c>
      <c r="Q244" s="195" t="e">
        <f t="shared" si="205"/>
        <v>#REF!</v>
      </c>
    </row>
    <row r="245" spans="1:17" hidden="1" x14ac:dyDescent="0.2">
      <c r="A245" s="193" t="s">
        <v>231</v>
      </c>
      <c r="B245" s="193" t="s">
        <v>205</v>
      </c>
      <c r="C245" s="194" t="s">
        <v>175</v>
      </c>
      <c r="D245" s="195">
        <v>1357421.7699999998</v>
      </c>
      <c r="E245" s="195">
        <f t="shared" si="206"/>
        <v>8.2454398815531107</v>
      </c>
      <c r="F245" s="195" t="e">
        <f>#REF!*Sheet5!E245/100</f>
        <v>#REF!</v>
      </c>
      <c r="G245" s="208" t="e">
        <f>'1.1.'!$I$20*Sheet5!E245/100</f>
        <v>#REF!</v>
      </c>
      <c r="H245" s="208" t="e">
        <f>'1.1.'!$I$37*Sheet5!E245/100</f>
        <v>#REF!</v>
      </c>
      <c r="I245" s="208" t="e">
        <f>'1.1.'!$I$54*Sheet5!E245/100</f>
        <v>#REF!</v>
      </c>
      <c r="J245" s="196"/>
      <c r="K245" s="195" t="e">
        <f>'1.1.'!$I$18*Sheet5!E245/100</f>
        <v>#REF!</v>
      </c>
      <c r="L245" s="195" t="e">
        <f>'1.1.'!$I$36*Sheet5!E245/100</f>
        <v>#REF!</v>
      </c>
      <c r="M245" s="195" t="e">
        <f>'1.1.'!$I$53*Sheet5!E245/100</f>
        <v>#REF!</v>
      </c>
      <c r="O245" s="195" t="e">
        <f t="shared" si="209"/>
        <v>#REF!</v>
      </c>
      <c r="P245" s="195" t="e">
        <f t="shared" si="208"/>
        <v>#REF!</v>
      </c>
      <c r="Q245" s="195" t="e">
        <f t="shared" si="205"/>
        <v>#REF!</v>
      </c>
    </row>
    <row r="246" spans="1:17" hidden="1" x14ac:dyDescent="0.2">
      <c r="A246" s="193" t="s">
        <v>231</v>
      </c>
      <c r="B246" s="193" t="s">
        <v>205</v>
      </c>
      <c r="C246" s="194" t="s">
        <v>176</v>
      </c>
      <c r="D246" s="195">
        <v>1473223.48</v>
      </c>
      <c r="E246" s="195">
        <f t="shared" si="206"/>
        <v>8.9488587150274341</v>
      </c>
      <c r="F246" s="195" t="e">
        <f>#REF!*Sheet5!E246/100</f>
        <v>#REF!</v>
      </c>
      <c r="G246" s="208" t="e">
        <f>'1.1.'!$I$20*Sheet5!E246/100</f>
        <v>#REF!</v>
      </c>
      <c r="H246" s="208" t="e">
        <f>'1.1.'!$I$37*Sheet5!E246/100</f>
        <v>#REF!</v>
      </c>
      <c r="I246" s="208" t="e">
        <f>'1.1.'!$I$54*Sheet5!E246/100</f>
        <v>#REF!</v>
      </c>
      <c r="K246" s="195" t="e">
        <f>'1.1.'!$I$18*Sheet5!E246/100</f>
        <v>#REF!</v>
      </c>
      <c r="L246" s="195" t="e">
        <f>'1.1.'!$I$36*Sheet5!E246/100</f>
        <v>#REF!</v>
      </c>
      <c r="M246" s="195" t="e">
        <f>'1.1.'!$I$53*Sheet5!E246/100</f>
        <v>#REF!</v>
      </c>
      <c r="O246" s="195" t="e">
        <f t="shared" si="209"/>
        <v>#REF!</v>
      </c>
      <c r="P246" s="195" t="e">
        <f t="shared" si="208"/>
        <v>#REF!</v>
      </c>
      <c r="Q246" s="195" t="e">
        <f t="shared" si="205"/>
        <v>#REF!</v>
      </c>
    </row>
    <row r="247" spans="1:17" hidden="1" x14ac:dyDescent="0.2">
      <c r="A247" s="193" t="s">
        <v>231</v>
      </c>
      <c r="B247" s="193" t="s">
        <v>205</v>
      </c>
      <c r="C247" s="194" t="s">
        <v>204</v>
      </c>
      <c r="D247" s="195">
        <v>1552768.75</v>
      </c>
      <c r="E247" s="195">
        <f t="shared" si="206"/>
        <v>9.4320436440910882</v>
      </c>
      <c r="F247" s="195" t="e">
        <f>#REF!*Sheet5!E247/100</f>
        <v>#REF!</v>
      </c>
      <c r="G247" s="208" t="e">
        <f>'1.1.'!$I$20*Sheet5!E247/100</f>
        <v>#REF!</v>
      </c>
      <c r="H247" s="208" t="e">
        <f>'1.1.'!$I$37*Sheet5!E247/100</f>
        <v>#REF!</v>
      </c>
      <c r="I247" s="208" t="e">
        <f>'1.1.'!$I$54*Sheet5!E247/100</f>
        <v>#REF!</v>
      </c>
      <c r="K247" s="195" t="e">
        <f>'1.1.'!$I$18*Sheet5!E247/100</f>
        <v>#REF!</v>
      </c>
      <c r="L247" s="195" t="e">
        <f>'1.1.'!$I$36*Sheet5!E247/100</f>
        <v>#REF!</v>
      </c>
      <c r="M247" s="195" t="e">
        <f>'1.1.'!$I$53*Sheet5!E247/100</f>
        <v>#REF!</v>
      </c>
      <c r="O247" s="195" t="e">
        <f t="shared" si="209"/>
        <v>#REF!</v>
      </c>
      <c r="P247" s="195" t="e">
        <f t="shared" si="208"/>
        <v>#REF!</v>
      </c>
      <c r="Q247" s="195" t="e">
        <f t="shared" si="205"/>
        <v>#REF!</v>
      </c>
    </row>
    <row r="248" spans="1:17" s="197" customFormat="1" hidden="1" x14ac:dyDescent="0.2">
      <c r="A248" s="193" t="s">
        <v>231</v>
      </c>
      <c r="B248" s="193" t="s">
        <v>205</v>
      </c>
      <c r="C248" s="205" t="s">
        <v>182</v>
      </c>
      <c r="D248" s="206">
        <f t="shared" ref="D248:I248" si="210">SUM(D236:D247)</f>
        <v>16462696.829999998</v>
      </c>
      <c r="E248" s="206">
        <f t="shared" si="210"/>
        <v>100.00000000000003</v>
      </c>
      <c r="F248" s="206" t="e">
        <f t="shared" si="210"/>
        <v>#REF!</v>
      </c>
      <c r="G248" s="206" t="e">
        <f t="shared" si="210"/>
        <v>#REF!</v>
      </c>
      <c r="H248" s="206" t="e">
        <f t="shared" si="210"/>
        <v>#REF!</v>
      </c>
      <c r="I248" s="206" t="e">
        <f t="shared" si="210"/>
        <v>#REF!</v>
      </c>
      <c r="K248" s="206" t="e">
        <f>SUM(K236:K247)</f>
        <v>#REF!</v>
      </c>
      <c r="L248" s="206" t="e">
        <f>SUM(L236:L247)</f>
        <v>#REF!</v>
      </c>
      <c r="M248" s="206" t="e">
        <f>SUM(M236:M247)</f>
        <v>#REF!</v>
      </c>
      <c r="O248" s="206" t="e">
        <f>SUM(O236:O247)</f>
        <v>#REF!</v>
      </c>
      <c r="P248" s="206" t="e">
        <f>SUM(P236:P247)</f>
        <v>#REF!</v>
      </c>
      <c r="Q248" s="206" t="e">
        <f>SUM(Q236:Q247)</f>
        <v>#REF!</v>
      </c>
    </row>
    <row r="249" spans="1:17" hidden="1" x14ac:dyDescent="0.2">
      <c r="A249" s="193" t="s">
        <v>231</v>
      </c>
      <c r="F249" s="202"/>
      <c r="G249" s="209" t="e">
        <f>G248-'1.1.'!I17</f>
        <v>#REF!</v>
      </c>
      <c r="H249" s="209" t="e">
        <f>H248-'1.1.'!I34</f>
        <v>#REF!</v>
      </c>
      <c r="I249" s="209" t="e">
        <f>I248-'1.1.'!I51</f>
        <v>#REF!</v>
      </c>
      <c r="K249" s="202" t="e">
        <f>K248-G248</f>
        <v>#REF!</v>
      </c>
      <c r="L249" s="202" t="e">
        <f t="shared" ref="L249" si="211">L248-H248</f>
        <v>#REF!</v>
      </c>
      <c r="M249" s="202" t="e">
        <f t="shared" ref="M249" si="212">M248-I248</f>
        <v>#REF!</v>
      </c>
      <c r="O249" s="202" t="e">
        <f>O248-0</f>
        <v>#REF!</v>
      </c>
      <c r="P249" s="202" t="e">
        <f t="shared" ref="P249:Q249" si="213">P248-0</f>
        <v>#REF!</v>
      </c>
      <c r="Q249" s="202" t="e">
        <f t="shared" si="213"/>
        <v>#REF!</v>
      </c>
    </row>
    <row r="250" spans="1:17" hidden="1" x14ac:dyDescent="0.2">
      <c r="A250" s="193" t="s">
        <v>231</v>
      </c>
      <c r="B250" s="193" t="s">
        <v>206</v>
      </c>
      <c r="C250" s="528" t="s">
        <v>179</v>
      </c>
      <c r="D250" s="528"/>
      <c r="E250" s="201"/>
      <c r="G250" s="529" t="str">
        <f>G234</f>
        <v xml:space="preserve">KOPĀ 5.risinājums </v>
      </c>
      <c r="H250" s="529"/>
      <c r="I250" s="529"/>
      <c r="K250" s="530" t="str">
        <f>K234</f>
        <v>KOPĀ valsts budžets 5.risinājums</v>
      </c>
      <c r="L250" s="530"/>
      <c r="M250" s="530"/>
      <c r="O250" s="530" t="str">
        <f>O234</f>
        <v>KOPĀ pašvaldību budžets 5.risinājums</v>
      </c>
      <c r="P250" s="530"/>
      <c r="Q250" s="530"/>
    </row>
    <row r="251" spans="1:17" hidden="1" x14ac:dyDescent="0.2">
      <c r="A251" s="193" t="s">
        <v>231</v>
      </c>
      <c r="B251" s="193" t="s">
        <v>206</v>
      </c>
      <c r="C251" s="34"/>
      <c r="D251" s="198">
        <v>2019</v>
      </c>
      <c r="E251" s="198"/>
      <c r="F251" s="199" t="str">
        <f>F235</f>
        <v>2020.gads</v>
      </c>
      <c r="G251" s="207" t="str">
        <f>G235</f>
        <v>2021.gads</v>
      </c>
      <c r="H251" s="207" t="str">
        <f>H235</f>
        <v>2022.gads</v>
      </c>
      <c r="I251" s="207" t="str">
        <f>I235</f>
        <v>2023.gads</v>
      </c>
      <c r="K251" s="199" t="str">
        <f>K235</f>
        <v>2021.gads</v>
      </c>
      <c r="L251" s="199" t="str">
        <f>L235</f>
        <v>2022.gads</v>
      </c>
      <c r="M251" s="199" t="str">
        <f>M235</f>
        <v>2023.gads</v>
      </c>
      <c r="O251" s="199" t="str">
        <f>O235</f>
        <v>2021.gads</v>
      </c>
      <c r="P251" s="199" t="str">
        <f>P235</f>
        <v>2022.gads</v>
      </c>
      <c r="Q251" s="199" t="str">
        <f>Q235</f>
        <v>2023.gads</v>
      </c>
    </row>
    <row r="252" spans="1:17" hidden="1" x14ac:dyDescent="0.2">
      <c r="A252" s="193" t="s">
        <v>231</v>
      </c>
      <c r="B252" s="193" t="s">
        <v>206</v>
      </c>
      <c r="C252" s="194" t="s">
        <v>166</v>
      </c>
      <c r="D252" s="195">
        <v>1495656.14</v>
      </c>
      <c r="E252" s="195"/>
      <c r="F252" s="195">
        <f>D247</f>
        <v>1552768.75</v>
      </c>
      <c r="G252" s="208" t="e">
        <f>F247</f>
        <v>#REF!</v>
      </c>
      <c r="H252" s="208" t="e">
        <f>G247</f>
        <v>#REF!</v>
      </c>
      <c r="I252" s="208" t="e">
        <f>H247</f>
        <v>#REF!</v>
      </c>
      <c r="K252" s="195" t="e">
        <f>F247</f>
        <v>#REF!</v>
      </c>
      <c r="L252" s="195" t="e">
        <f>K252</f>
        <v>#REF!</v>
      </c>
      <c r="M252" s="195" t="e">
        <f>L252</f>
        <v>#REF!</v>
      </c>
      <c r="O252" s="195">
        <v>0</v>
      </c>
      <c r="P252" s="195" t="e">
        <f>H252-L252</f>
        <v>#REF!</v>
      </c>
      <c r="Q252" s="195" t="e">
        <f>I252-M252</f>
        <v>#REF!</v>
      </c>
    </row>
    <row r="253" spans="1:17" hidden="1" x14ac:dyDescent="0.2">
      <c r="A253" s="193" t="s">
        <v>231</v>
      </c>
      <c r="B253" s="193" t="s">
        <v>206</v>
      </c>
      <c r="C253" s="194" t="s">
        <v>167</v>
      </c>
      <c r="D253" s="195">
        <v>1300261.1800000002</v>
      </c>
      <c r="E253" s="195"/>
      <c r="F253" s="195" t="e">
        <f>F236</f>
        <v>#REF!</v>
      </c>
      <c r="G253" s="208" t="e">
        <f>G236</f>
        <v>#REF!</v>
      </c>
      <c r="H253" s="208" t="e">
        <f>H236</f>
        <v>#REF!</v>
      </c>
      <c r="I253" s="208" t="e">
        <f>I236</f>
        <v>#REF!</v>
      </c>
      <c r="K253" s="195" t="e">
        <f>K236</f>
        <v>#REF!</v>
      </c>
      <c r="L253" s="195" t="e">
        <f t="shared" ref="L253:M263" si="214">K253</f>
        <v>#REF!</v>
      </c>
      <c r="M253" s="195" t="e">
        <f t="shared" si="214"/>
        <v>#REF!</v>
      </c>
      <c r="O253" s="195" t="e">
        <f>O236</f>
        <v>#REF!</v>
      </c>
      <c r="P253" s="195" t="e">
        <f t="shared" ref="P253:Q263" si="215">H253-L253</f>
        <v>#REF!</v>
      </c>
      <c r="Q253" s="195" t="e">
        <f t="shared" si="215"/>
        <v>#REF!</v>
      </c>
    </row>
    <row r="254" spans="1:17" hidden="1" x14ac:dyDescent="0.2">
      <c r="A254" s="193" t="s">
        <v>231</v>
      </c>
      <c r="B254" s="193" t="s">
        <v>206</v>
      </c>
      <c r="C254" s="194" t="s">
        <v>168</v>
      </c>
      <c r="D254" s="195">
        <v>1345922.41</v>
      </c>
      <c r="E254" s="195"/>
      <c r="F254" s="195" t="e">
        <f t="shared" ref="F254:I254" si="216">F237</f>
        <v>#REF!</v>
      </c>
      <c r="G254" s="208" t="e">
        <f t="shared" si="216"/>
        <v>#REF!</v>
      </c>
      <c r="H254" s="208" t="e">
        <f t="shared" si="216"/>
        <v>#REF!</v>
      </c>
      <c r="I254" s="208" t="e">
        <f t="shared" si="216"/>
        <v>#REF!</v>
      </c>
      <c r="K254" s="195" t="e">
        <f t="shared" ref="K254" si="217">K237</f>
        <v>#REF!</v>
      </c>
      <c r="L254" s="195" t="e">
        <f t="shared" si="214"/>
        <v>#REF!</v>
      </c>
      <c r="M254" s="195" t="e">
        <f t="shared" si="214"/>
        <v>#REF!</v>
      </c>
      <c r="O254" s="195" t="e">
        <f t="shared" ref="O254" si="218">O237</f>
        <v>#REF!</v>
      </c>
      <c r="P254" s="195" t="e">
        <f t="shared" si="215"/>
        <v>#REF!</v>
      </c>
      <c r="Q254" s="195" t="e">
        <f t="shared" si="215"/>
        <v>#REF!</v>
      </c>
    </row>
    <row r="255" spans="1:17" hidden="1" x14ac:dyDescent="0.2">
      <c r="A255" s="193" t="s">
        <v>231</v>
      </c>
      <c r="B255" s="193" t="s">
        <v>206</v>
      </c>
      <c r="C255" s="194" t="s">
        <v>169</v>
      </c>
      <c r="D255" s="195">
        <v>1359789.78</v>
      </c>
      <c r="E255" s="195"/>
      <c r="F255" s="195" t="e">
        <f t="shared" ref="F255:I255" si="219">F238</f>
        <v>#REF!</v>
      </c>
      <c r="G255" s="208" t="e">
        <f t="shared" si="219"/>
        <v>#REF!</v>
      </c>
      <c r="H255" s="208" t="e">
        <f t="shared" si="219"/>
        <v>#REF!</v>
      </c>
      <c r="I255" s="208" t="e">
        <f t="shared" si="219"/>
        <v>#REF!</v>
      </c>
      <c r="K255" s="195" t="e">
        <f t="shared" ref="K255" si="220">K238</f>
        <v>#REF!</v>
      </c>
      <c r="L255" s="195" t="e">
        <f t="shared" si="214"/>
        <v>#REF!</v>
      </c>
      <c r="M255" s="195" t="e">
        <f t="shared" si="214"/>
        <v>#REF!</v>
      </c>
      <c r="O255" s="195" t="e">
        <f t="shared" ref="O255" si="221">O238</f>
        <v>#REF!</v>
      </c>
      <c r="P255" s="195" t="e">
        <f t="shared" si="215"/>
        <v>#REF!</v>
      </c>
      <c r="Q255" s="195" t="e">
        <f t="shared" si="215"/>
        <v>#REF!</v>
      </c>
    </row>
    <row r="256" spans="1:17" hidden="1" x14ac:dyDescent="0.2">
      <c r="A256" s="193" t="s">
        <v>231</v>
      </c>
      <c r="B256" s="193" t="s">
        <v>206</v>
      </c>
      <c r="C256" s="194" t="s">
        <v>170</v>
      </c>
      <c r="D256" s="195">
        <v>1455300.79</v>
      </c>
      <c r="E256" s="195"/>
      <c r="F256" s="195" t="e">
        <f t="shared" ref="F256:I256" si="222">F239</f>
        <v>#REF!</v>
      </c>
      <c r="G256" s="208" t="e">
        <f t="shared" si="222"/>
        <v>#REF!</v>
      </c>
      <c r="H256" s="208" t="e">
        <f t="shared" si="222"/>
        <v>#REF!</v>
      </c>
      <c r="I256" s="208" t="e">
        <f t="shared" si="222"/>
        <v>#REF!</v>
      </c>
      <c r="K256" s="195" t="e">
        <f t="shared" ref="K256" si="223">K239</f>
        <v>#REF!</v>
      </c>
      <c r="L256" s="195" t="e">
        <f t="shared" si="214"/>
        <v>#REF!</v>
      </c>
      <c r="M256" s="195" t="e">
        <f t="shared" si="214"/>
        <v>#REF!</v>
      </c>
      <c r="O256" s="195" t="e">
        <f t="shared" ref="O256" si="224">O239</f>
        <v>#REF!</v>
      </c>
      <c r="P256" s="195" t="e">
        <f t="shared" si="215"/>
        <v>#REF!</v>
      </c>
      <c r="Q256" s="195" t="e">
        <f t="shared" si="215"/>
        <v>#REF!</v>
      </c>
    </row>
    <row r="257" spans="1:17" hidden="1" x14ac:dyDescent="0.2">
      <c r="A257" s="193" t="s">
        <v>231</v>
      </c>
      <c r="B257" s="193" t="s">
        <v>206</v>
      </c>
      <c r="C257" s="194" t="s">
        <v>171</v>
      </c>
      <c r="D257" s="195">
        <v>1424578.2500000002</v>
      </c>
      <c r="E257" s="195"/>
      <c r="F257" s="195" t="e">
        <f t="shared" ref="F257:I257" si="225">F240</f>
        <v>#REF!</v>
      </c>
      <c r="G257" s="208" t="e">
        <f t="shared" si="225"/>
        <v>#REF!</v>
      </c>
      <c r="H257" s="208" t="e">
        <f t="shared" si="225"/>
        <v>#REF!</v>
      </c>
      <c r="I257" s="208" t="e">
        <f t="shared" si="225"/>
        <v>#REF!</v>
      </c>
      <c r="K257" s="195" t="e">
        <f t="shared" ref="K257" si="226">K240</f>
        <v>#REF!</v>
      </c>
      <c r="L257" s="195" t="e">
        <f t="shared" si="214"/>
        <v>#REF!</v>
      </c>
      <c r="M257" s="195" t="e">
        <f t="shared" si="214"/>
        <v>#REF!</v>
      </c>
      <c r="O257" s="195" t="e">
        <f t="shared" ref="O257" si="227">O240</f>
        <v>#REF!</v>
      </c>
      <c r="P257" s="195" t="e">
        <f t="shared" si="215"/>
        <v>#REF!</v>
      </c>
      <c r="Q257" s="195" t="e">
        <f t="shared" si="215"/>
        <v>#REF!</v>
      </c>
    </row>
    <row r="258" spans="1:17" hidden="1" x14ac:dyDescent="0.2">
      <c r="A258" s="193" t="s">
        <v>231</v>
      </c>
      <c r="B258" s="193" t="s">
        <v>206</v>
      </c>
      <c r="C258" s="194" t="s">
        <v>172</v>
      </c>
      <c r="D258" s="195">
        <v>1357461.55</v>
      </c>
      <c r="E258" s="195"/>
      <c r="F258" s="195" t="e">
        <f t="shared" ref="F258:I258" si="228">F241</f>
        <v>#REF!</v>
      </c>
      <c r="G258" s="208" t="e">
        <f t="shared" si="228"/>
        <v>#REF!</v>
      </c>
      <c r="H258" s="208" t="e">
        <f t="shared" si="228"/>
        <v>#REF!</v>
      </c>
      <c r="I258" s="208" t="e">
        <f t="shared" si="228"/>
        <v>#REF!</v>
      </c>
      <c r="K258" s="195" t="e">
        <f t="shared" ref="K258" si="229">K241</f>
        <v>#REF!</v>
      </c>
      <c r="L258" s="195" t="e">
        <f t="shared" si="214"/>
        <v>#REF!</v>
      </c>
      <c r="M258" s="195" t="e">
        <f t="shared" si="214"/>
        <v>#REF!</v>
      </c>
      <c r="O258" s="195" t="e">
        <f t="shared" ref="O258" si="230">O241</f>
        <v>#REF!</v>
      </c>
      <c r="P258" s="195" t="e">
        <f t="shared" si="215"/>
        <v>#REF!</v>
      </c>
      <c r="Q258" s="195" t="e">
        <f t="shared" si="215"/>
        <v>#REF!</v>
      </c>
    </row>
    <row r="259" spans="1:17" hidden="1" x14ac:dyDescent="0.2">
      <c r="A259" s="193" t="s">
        <v>231</v>
      </c>
      <c r="B259" s="193" t="s">
        <v>206</v>
      </c>
      <c r="C259" s="194" t="s">
        <v>173</v>
      </c>
      <c r="D259" s="195">
        <v>1195371.06</v>
      </c>
      <c r="E259" s="195"/>
      <c r="F259" s="195" t="e">
        <f t="shared" ref="F259:I259" si="231">F242</f>
        <v>#REF!</v>
      </c>
      <c r="G259" s="208" t="e">
        <f t="shared" si="231"/>
        <v>#REF!</v>
      </c>
      <c r="H259" s="208" t="e">
        <f t="shared" si="231"/>
        <v>#REF!</v>
      </c>
      <c r="I259" s="208" t="e">
        <f t="shared" si="231"/>
        <v>#REF!</v>
      </c>
      <c r="K259" s="195" t="e">
        <f t="shared" ref="K259" si="232">K242</f>
        <v>#REF!</v>
      </c>
      <c r="L259" s="195" t="e">
        <f t="shared" si="214"/>
        <v>#REF!</v>
      </c>
      <c r="M259" s="195" t="e">
        <f t="shared" si="214"/>
        <v>#REF!</v>
      </c>
      <c r="O259" s="195" t="e">
        <f t="shared" ref="O259" si="233">O242</f>
        <v>#REF!</v>
      </c>
      <c r="P259" s="195" t="e">
        <f t="shared" si="215"/>
        <v>#REF!</v>
      </c>
      <c r="Q259" s="195" t="e">
        <f t="shared" si="215"/>
        <v>#REF!</v>
      </c>
    </row>
    <row r="260" spans="1:17" hidden="1" x14ac:dyDescent="0.2">
      <c r="A260" s="193" t="s">
        <v>231</v>
      </c>
      <c r="B260" s="193" t="s">
        <v>206</v>
      </c>
      <c r="C260" s="194" t="s">
        <v>174</v>
      </c>
      <c r="D260" s="195">
        <v>1254926.53</v>
      </c>
      <c r="E260" s="195"/>
      <c r="F260" s="195" t="e">
        <f t="shared" ref="F260:I260" si="234">F243</f>
        <v>#REF!</v>
      </c>
      <c r="G260" s="208" t="e">
        <f t="shared" si="234"/>
        <v>#REF!</v>
      </c>
      <c r="H260" s="208" t="e">
        <f t="shared" si="234"/>
        <v>#REF!</v>
      </c>
      <c r="I260" s="208" t="e">
        <f t="shared" si="234"/>
        <v>#REF!</v>
      </c>
      <c r="K260" s="195" t="e">
        <f t="shared" ref="K260" si="235">K243</f>
        <v>#REF!</v>
      </c>
      <c r="L260" s="195" t="e">
        <f t="shared" si="214"/>
        <v>#REF!</v>
      </c>
      <c r="M260" s="195" t="e">
        <f t="shared" si="214"/>
        <v>#REF!</v>
      </c>
      <c r="O260" s="195" t="e">
        <f t="shared" ref="O260" si="236">O243</f>
        <v>#REF!</v>
      </c>
      <c r="P260" s="195" t="e">
        <f t="shared" si="215"/>
        <v>#REF!</v>
      </c>
      <c r="Q260" s="195" t="e">
        <f t="shared" si="215"/>
        <v>#REF!</v>
      </c>
    </row>
    <row r="261" spans="1:17" hidden="1" x14ac:dyDescent="0.2">
      <c r="A261" s="193" t="s">
        <v>231</v>
      </c>
      <c r="B261" s="193" t="s">
        <v>206</v>
      </c>
      <c r="C261" s="194" t="s">
        <v>175</v>
      </c>
      <c r="D261" s="195">
        <v>1385671.28</v>
      </c>
      <c r="E261" s="195"/>
      <c r="F261" s="195" t="e">
        <f t="shared" ref="F261:I261" si="237">F244</f>
        <v>#REF!</v>
      </c>
      <c r="G261" s="208" t="e">
        <f t="shared" si="237"/>
        <v>#REF!</v>
      </c>
      <c r="H261" s="208" t="e">
        <f t="shared" si="237"/>
        <v>#REF!</v>
      </c>
      <c r="I261" s="208" t="e">
        <f t="shared" si="237"/>
        <v>#REF!</v>
      </c>
      <c r="K261" s="195" t="e">
        <f t="shared" ref="K261" si="238">K244</f>
        <v>#REF!</v>
      </c>
      <c r="L261" s="195" t="e">
        <f t="shared" si="214"/>
        <v>#REF!</v>
      </c>
      <c r="M261" s="195" t="e">
        <f t="shared" si="214"/>
        <v>#REF!</v>
      </c>
      <c r="O261" s="195" t="e">
        <f t="shared" ref="O261" si="239">O244</f>
        <v>#REF!</v>
      </c>
      <c r="P261" s="195" t="e">
        <f t="shared" si="215"/>
        <v>#REF!</v>
      </c>
      <c r="Q261" s="195" t="e">
        <f t="shared" si="215"/>
        <v>#REF!</v>
      </c>
    </row>
    <row r="262" spans="1:17" hidden="1" x14ac:dyDescent="0.2">
      <c r="A262" s="193" t="s">
        <v>231</v>
      </c>
      <c r="B262" s="193" t="s">
        <v>206</v>
      </c>
      <c r="C262" s="194" t="s">
        <v>176</v>
      </c>
      <c r="D262" s="195">
        <v>1357421.7699999998</v>
      </c>
      <c r="E262" s="195"/>
      <c r="F262" s="195" t="e">
        <f t="shared" ref="F262:I262" si="240">F245</f>
        <v>#REF!</v>
      </c>
      <c r="G262" s="208" t="e">
        <f t="shared" si="240"/>
        <v>#REF!</v>
      </c>
      <c r="H262" s="208" t="e">
        <f t="shared" si="240"/>
        <v>#REF!</v>
      </c>
      <c r="I262" s="208" t="e">
        <f t="shared" si="240"/>
        <v>#REF!</v>
      </c>
      <c r="K262" s="195" t="e">
        <f t="shared" ref="K262" si="241">K245</f>
        <v>#REF!</v>
      </c>
      <c r="L262" s="195" t="e">
        <f t="shared" si="214"/>
        <v>#REF!</v>
      </c>
      <c r="M262" s="195" t="e">
        <f t="shared" si="214"/>
        <v>#REF!</v>
      </c>
      <c r="O262" s="195" t="e">
        <f t="shared" ref="O262" si="242">O245</f>
        <v>#REF!</v>
      </c>
      <c r="P262" s="195" t="e">
        <f t="shared" si="215"/>
        <v>#REF!</v>
      </c>
      <c r="Q262" s="195" t="e">
        <f t="shared" si="215"/>
        <v>#REF!</v>
      </c>
    </row>
    <row r="263" spans="1:17" hidden="1" x14ac:dyDescent="0.2">
      <c r="A263" s="193" t="s">
        <v>231</v>
      </c>
      <c r="B263" s="193" t="s">
        <v>206</v>
      </c>
      <c r="C263" s="194" t="s">
        <v>177</v>
      </c>
      <c r="D263" s="195">
        <v>1473223.48</v>
      </c>
      <c r="E263" s="195"/>
      <c r="F263" s="195" t="e">
        <f>F246</f>
        <v>#REF!</v>
      </c>
      <c r="G263" s="208" t="e">
        <f>G246</f>
        <v>#REF!</v>
      </c>
      <c r="H263" s="208" t="e">
        <f>H246</f>
        <v>#REF!</v>
      </c>
      <c r="I263" s="208" t="e">
        <f>I246</f>
        <v>#REF!</v>
      </c>
      <c r="K263" s="195" t="e">
        <f>K246</f>
        <v>#REF!</v>
      </c>
      <c r="L263" s="195" t="e">
        <f t="shared" si="214"/>
        <v>#REF!</v>
      </c>
      <c r="M263" s="195" t="e">
        <f t="shared" si="214"/>
        <v>#REF!</v>
      </c>
      <c r="O263" s="195" t="e">
        <f>O246</f>
        <v>#REF!</v>
      </c>
      <c r="P263" s="195" t="e">
        <f t="shared" si="215"/>
        <v>#REF!</v>
      </c>
      <c r="Q263" s="195" t="e">
        <f t="shared" si="215"/>
        <v>#REF!</v>
      </c>
    </row>
    <row r="264" spans="1:17" hidden="1" x14ac:dyDescent="0.2">
      <c r="A264" s="193" t="s">
        <v>231</v>
      </c>
      <c r="B264" s="193" t="s">
        <v>206</v>
      </c>
      <c r="C264" s="205" t="s">
        <v>183</v>
      </c>
      <c r="D264" s="206">
        <f>SUM(D252:D263)</f>
        <v>16405584.220000001</v>
      </c>
      <c r="E264" s="206"/>
      <c r="F264" s="206" t="e">
        <f>SUM(F252:F263)</f>
        <v>#REF!</v>
      </c>
      <c r="G264" s="206" t="e">
        <f>SUM(G252:G263)</f>
        <v>#REF!</v>
      </c>
      <c r="H264" s="206" t="e">
        <f>SUM(H252:H263)+1</f>
        <v>#REF!</v>
      </c>
      <c r="I264" s="206" t="e">
        <f>SUM(I252:I263)</f>
        <v>#REF!</v>
      </c>
      <c r="K264" s="206" t="e">
        <f>SUM(K252:K263)</f>
        <v>#REF!</v>
      </c>
      <c r="L264" s="206" t="e">
        <f>SUM(L252:L263)</f>
        <v>#REF!</v>
      </c>
      <c r="M264" s="206" t="e">
        <f>SUM(M252:M263)</f>
        <v>#REF!</v>
      </c>
      <c r="O264" s="206" t="e">
        <f>SUM(O252:O263)</f>
        <v>#REF!</v>
      </c>
      <c r="P264" s="206" t="e">
        <f>SUM(P252:P263)+1</f>
        <v>#REF!</v>
      </c>
      <c r="Q264" s="206" t="e">
        <f>SUM(Q252:Q263)</f>
        <v>#REF!</v>
      </c>
    </row>
    <row r="265" spans="1:17" hidden="1" x14ac:dyDescent="0.2">
      <c r="A265" s="193" t="s">
        <v>231</v>
      </c>
      <c r="B265" s="193" t="s">
        <v>206</v>
      </c>
      <c r="C265" s="203"/>
      <c r="D265" s="203"/>
      <c r="E265" s="203"/>
      <c r="F265" s="203"/>
      <c r="G265" s="203"/>
      <c r="H265" s="203"/>
      <c r="I265" s="203"/>
      <c r="J265" s="203"/>
      <c r="K265" s="196"/>
      <c r="L265" s="196"/>
      <c r="M265" s="196"/>
    </row>
    <row r="266" spans="1:17" hidden="1" x14ac:dyDescent="0.2">
      <c r="A266" s="193" t="s">
        <v>231</v>
      </c>
      <c r="B266" s="193" t="s">
        <v>206</v>
      </c>
      <c r="C266" s="526" t="s">
        <v>193</v>
      </c>
      <c r="D266" s="526"/>
      <c r="E266" s="526"/>
      <c r="F266" s="526"/>
      <c r="G266" s="212">
        <f>K266+O266</f>
        <v>17616217</v>
      </c>
      <c r="H266" s="212">
        <f t="shared" ref="H266:H267" si="243">L266+P266</f>
        <v>17616217</v>
      </c>
      <c r="I266" s="212">
        <f t="shared" ref="I266:I267" si="244">M266+Q266</f>
        <v>17616217</v>
      </c>
      <c r="J266" s="213"/>
      <c r="K266" s="214">
        <f>17616217</f>
        <v>17616217</v>
      </c>
      <c r="L266" s="214">
        <f>17616217</f>
        <v>17616217</v>
      </c>
      <c r="M266" s="214">
        <f>17616217</f>
        <v>17616217</v>
      </c>
      <c r="N266" s="197"/>
      <c r="O266" s="197">
        <v>0</v>
      </c>
      <c r="P266" s="197">
        <v>0</v>
      </c>
      <c r="Q266" s="197">
        <v>0</v>
      </c>
    </row>
    <row r="267" spans="1:17" hidden="1" x14ac:dyDescent="0.2">
      <c r="A267" s="193" t="s">
        <v>231</v>
      </c>
      <c r="B267" s="193" t="s">
        <v>206</v>
      </c>
      <c r="C267" s="526" t="s">
        <v>222</v>
      </c>
      <c r="D267" s="526"/>
      <c r="E267" s="526"/>
      <c r="F267" s="526"/>
      <c r="G267" s="212">
        <f>K267+O267</f>
        <v>0</v>
      </c>
      <c r="H267" s="212">
        <f t="shared" si="243"/>
        <v>0</v>
      </c>
      <c r="I267" s="212">
        <f t="shared" si="244"/>
        <v>0</v>
      </c>
      <c r="J267" s="213"/>
      <c r="K267" s="214">
        <v>0</v>
      </c>
      <c r="L267" s="214">
        <v>0</v>
      </c>
      <c r="M267" s="214">
        <v>0</v>
      </c>
      <c r="N267" s="197"/>
      <c r="O267" s="197">
        <v>0</v>
      </c>
      <c r="P267" s="197">
        <v>0</v>
      </c>
      <c r="Q267" s="197">
        <v>0</v>
      </c>
    </row>
    <row r="268" spans="1:17" hidden="1" x14ac:dyDescent="0.2">
      <c r="A268" s="193" t="s">
        <v>231</v>
      </c>
      <c r="B268" s="193" t="s">
        <v>206</v>
      </c>
      <c r="C268" s="238"/>
      <c r="D268" s="238"/>
      <c r="E268" s="238"/>
      <c r="F268" s="238"/>
      <c r="G268" s="226"/>
      <c r="H268" s="226"/>
      <c r="I268" s="226"/>
      <c r="J268" s="226"/>
      <c r="K268" s="233"/>
      <c r="L268" s="226"/>
      <c r="M268" s="226"/>
      <c r="N268" s="226"/>
      <c r="O268" s="226"/>
      <c r="P268" s="226"/>
      <c r="Q268" s="226"/>
    </row>
    <row r="269" spans="1:17" ht="14.45" hidden="1" customHeight="1" x14ac:dyDescent="0.2">
      <c r="A269" s="193" t="s">
        <v>231</v>
      </c>
      <c r="B269" s="193" t="s">
        <v>206</v>
      </c>
      <c r="C269" s="527" t="s">
        <v>194</v>
      </c>
      <c r="D269" s="527"/>
      <c r="E269" s="527"/>
      <c r="F269" s="527"/>
      <c r="G269" s="211" t="e">
        <f>G264-G266+G267</f>
        <v>#REF!</v>
      </c>
      <c r="H269" s="211" t="e">
        <f>H264-H266+H267</f>
        <v>#REF!</v>
      </c>
      <c r="I269" s="211" t="e">
        <f>I264-I266+I267</f>
        <v>#REF!</v>
      </c>
      <c r="J269" s="211"/>
      <c r="K269" s="211" t="e">
        <f>K264-K266+K267</f>
        <v>#REF!</v>
      </c>
      <c r="L269" s="211" t="e">
        <f>L264-L266+L267</f>
        <v>#REF!</v>
      </c>
      <c r="M269" s="211" t="e">
        <f>M264-M266+M267</f>
        <v>#REF!</v>
      </c>
      <c r="N269" s="211"/>
      <c r="O269" s="211" t="e">
        <f>O264-O266+O267</f>
        <v>#REF!</v>
      </c>
      <c r="P269" s="211" t="e">
        <f>P264-P266+P267</f>
        <v>#REF!</v>
      </c>
      <c r="Q269" s="211" t="e">
        <f>Q264-Q266+Q267</f>
        <v>#REF!</v>
      </c>
    </row>
    <row r="270" spans="1:17" hidden="1" x14ac:dyDescent="0.2"/>
    <row r="271" spans="1:17" hidden="1" x14ac:dyDescent="0.2"/>
    <row r="272" spans="1:17"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sheetData>
  <autoFilter ref="A4:Q231" xr:uid="{A51A1178-4600-49C9-8CB4-19384E54639D}"/>
  <mergeCells count="78">
    <mergeCell ref="C228:F228"/>
    <mergeCell ref="C231:F231"/>
    <mergeCell ref="A3:Q3"/>
    <mergeCell ref="C196:D196"/>
    <mergeCell ref="G196:I196"/>
    <mergeCell ref="K196:M196"/>
    <mergeCell ref="O196:Q196"/>
    <mergeCell ref="C212:D212"/>
    <mergeCell ref="G212:I212"/>
    <mergeCell ref="K212:M212"/>
    <mergeCell ref="O212:Q212"/>
    <mergeCell ref="C174:D174"/>
    <mergeCell ref="G174:I174"/>
    <mergeCell ref="K174:M174"/>
    <mergeCell ref="O174:Q174"/>
    <mergeCell ref="C190:F190"/>
    <mergeCell ref="C117:F117"/>
    <mergeCell ref="C193:F193"/>
    <mergeCell ref="C152:F152"/>
    <mergeCell ref="C155:F155"/>
    <mergeCell ref="C158:D158"/>
    <mergeCell ref="K158:M158"/>
    <mergeCell ref="O158:Q158"/>
    <mergeCell ref="C120:D120"/>
    <mergeCell ref="G120:I120"/>
    <mergeCell ref="K120:M120"/>
    <mergeCell ref="O120:Q120"/>
    <mergeCell ref="C136:D136"/>
    <mergeCell ref="G136:I136"/>
    <mergeCell ref="K136:M136"/>
    <mergeCell ref="O136:Q136"/>
    <mergeCell ref="G158:I158"/>
    <mergeCell ref="C98:D98"/>
    <mergeCell ref="G98:I98"/>
    <mergeCell ref="K98:M98"/>
    <mergeCell ref="O98:Q98"/>
    <mergeCell ref="C114:F114"/>
    <mergeCell ref="O82:Q82"/>
    <mergeCell ref="C44:D44"/>
    <mergeCell ref="G44:I44"/>
    <mergeCell ref="K44:M44"/>
    <mergeCell ref="O44:Q44"/>
    <mergeCell ref="C60:D60"/>
    <mergeCell ref="G60:I60"/>
    <mergeCell ref="K60:M60"/>
    <mergeCell ref="O60:Q60"/>
    <mergeCell ref="C76:F76"/>
    <mergeCell ref="C79:F79"/>
    <mergeCell ref="C82:D82"/>
    <mergeCell ref="G82:I82"/>
    <mergeCell ref="C77:F77"/>
    <mergeCell ref="C115:F115"/>
    <mergeCell ref="C153:F153"/>
    <mergeCell ref="C191:F191"/>
    <mergeCell ref="C229:F229"/>
    <mergeCell ref="O6:Q6"/>
    <mergeCell ref="O22:Q22"/>
    <mergeCell ref="C22:D22"/>
    <mergeCell ref="C6:D6"/>
    <mergeCell ref="G6:I6"/>
    <mergeCell ref="C38:F38"/>
    <mergeCell ref="C41:F41"/>
    <mergeCell ref="G22:I22"/>
    <mergeCell ref="K6:M6"/>
    <mergeCell ref="K22:M22"/>
    <mergeCell ref="C39:F39"/>
    <mergeCell ref="K82:M82"/>
    <mergeCell ref="K234:M234"/>
    <mergeCell ref="O234:Q234"/>
    <mergeCell ref="C250:D250"/>
    <mergeCell ref="G250:I250"/>
    <mergeCell ref="K250:M250"/>
    <mergeCell ref="O250:Q250"/>
    <mergeCell ref="C266:F266"/>
    <mergeCell ref="C267:F267"/>
    <mergeCell ref="C269:F269"/>
    <mergeCell ref="C234:D234"/>
    <mergeCell ref="G234:I234"/>
  </mergeCells>
  <pageMargins left="0.70866141732283472" right="0.70866141732283472" top="1.1417322834645669" bottom="0.74803149606299213" header="0.31496062992125984" footer="0.31496062992125984"/>
  <pageSetup scale="6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C6F16-8008-47D7-9D09-3776178EEFC6}">
  <dimension ref="B1:Z51"/>
  <sheetViews>
    <sheetView zoomScale="70" zoomScaleNormal="70" workbookViewId="0">
      <selection activeCell="O46" sqref="O46"/>
    </sheetView>
  </sheetViews>
  <sheetFormatPr defaultRowHeight="12.75" x14ac:dyDescent="0.2"/>
  <cols>
    <col min="1" max="1" width="3" style="193" customWidth="1"/>
    <col min="2" max="2" width="19" style="193" customWidth="1"/>
    <col min="3" max="4" width="12.42578125" style="193" customWidth="1"/>
    <col min="5" max="5" width="9.5703125" style="193" customWidth="1"/>
    <col min="6" max="6" width="11.140625" style="193" customWidth="1"/>
    <col min="7" max="7" width="9.5703125" style="193" customWidth="1"/>
    <col min="8" max="10" width="15" style="193" customWidth="1"/>
    <col min="11" max="18" width="9.5703125" style="193" customWidth="1"/>
    <col min="19" max="19" width="11.5703125" style="193" customWidth="1"/>
    <col min="20" max="21" width="9.5703125" style="193" customWidth="1"/>
    <col min="22" max="22" width="11" style="193" customWidth="1"/>
    <col min="23" max="23" width="12.42578125" style="196" customWidth="1"/>
    <col min="24" max="256" width="9.140625" style="193"/>
    <col min="257" max="257" width="3" style="193" customWidth="1"/>
    <col min="258" max="258" width="19" style="193" customWidth="1"/>
    <col min="259" max="261" width="9.5703125" style="193" customWidth="1"/>
    <col min="262" max="262" width="11.140625" style="193" customWidth="1"/>
    <col min="263" max="278" width="9.5703125" style="193" customWidth="1"/>
    <col min="279" max="279" width="12.42578125" style="193" customWidth="1"/>
    <col min="280" max="512" width="9.140625" style="193"/>
    <col min="513" max="513" width="3" style="193" customWidth="1"/>
    <col min="514" max="514" width="19" style="193" customWidth="1"/>
    <col min="515" max="517" width="9.5703125" style="193" customWidth="1"/>
    <col min="518" max="518" width="11.140625" style="193" customWidth="1"/>
    <col min="519" max="534" width="9.5703125" style="193" customWidth="1"/>
    <col min="535" max="535" width="12.42578125" style="193" customWidth="1"/>
    <col min="536" max="768" width="9.140625" style="193"/>
    <col min="769" max="769" width="3" style="193" customWidth="1"/>
    <col min="770" max="770" width="19" style="193" customWidth="1"/>
    <col min="771" max="773" width="9.5703125" style="193" customWidth="1"/>
    <col min="774" max="774" width="11.140625" style="193" customWidth="1"/>
    <col min="775" max="790" width="9.5703125" style="193" customWidth="1"/>
    <col min="791" max="791" width="12.42578125" style="193" customWidth="1"/>
    <col min="792" max="1024" width="9.140625" style="193"/>
    <col min="1025" max="1025" width="3" style="193" customWidth="1"/>
    <col min="1026" max="1026" width="19" style="193" customWidth="1"/>
    <col min="1027" max="1029" width="9.5703125" style="193" customWidth="1"/>
    <col min="1030" max="1030" width="11.140625" style="193" customWidth="1"/>
    <col min="1031" max="1046" width="9.5703125" style="193" customWidth="1"/>
    <col min="1047" max="1047" width="12.42578125" style="193" customWidth="1"/>
    <col min="1048" max="1280" width="9.140625" style="193"/>
    <col min="1281" max="1281" width="3" style="193" customWidth="1"/>
    <col min="1282" max="1282" width="19" style="193" customWidth="1"/>
    <col min="1283" max="1285" width="9.5703125" style="193" customWidth="1"/>
    <col min="1286" max="1286" width="11.140625" style="193" customWidth="1"/>
    <col min="1287" max="1302" width="9.5703125" style="193" customWidth="1"/>
    <col min="1303" max="1303" width="12.42578125" style="193" customWidth="1"/>
    <col min="1304" max="1536" width="9.140625" style="193"/>
    <col min="1537" max="1537" width="3" style="193" customWidth="1"/>
    <col min="1538" max="1538" width="19" style="193" customWidth="1"/>
    <col min="1539" max="1541" width="9.5703125" style="193" customWidth="1"/>
    <col min="1542" max="1542" width="11.140625" style="193" customWidth="1"/>
    <col min="1543" max="1558" width="9.5703125" style="193" customWidth="1"/>
    <col min="1559" max="1559" width="12.42578125" style="193" customWidth="1"/>
    <col min="1560" max="1792" width="9.140625" style="193"/>
    <col min="1793" max="1793" width="3" style="193" customWidth="1"/>
    <col min="1794" max="1794" width="19" style="193" customWidth="1"/>
    <col min="1795" max="1797" width="9.5703125" style="193" customWidth="1"/>
    <col min="1798" max="1798" width="11.140625" style="193" customWidth="1"/>
    <col min="1799" max="1814" width="9.5703125" style="193" customWidth="1"/>
    <col min="1815" max="1815" width="12.42578125" style="193" customWidth="1"/>
    <col min="1816" max="2048" width="9.140625" style="193"/>
    <col min="2049" max="2049" width="3" style="193" customWidth="1"/>
    <col min="2050" max="2050" width="19" style="193" customWidth="1"/>
    <col min="2051" max="2053" width="9.5703125" style="193" customWidth="1"/>
    <col min="2054" max="2054" width="11.140625" style="193" customWidth="1"/>
    <col min="2055" max="2070" width="9.5703125" style="193" customWidth="1"/>
    <col min="2071" max="2071" width="12.42578125" style="193" customWidth="1"/>
    <col min="2072" max="2304" width="9.140625" style="193"/>
    <col min="2305" max="2305" width="3" style="193" customWidth="1"/>
    <col min="2306" max="2306" width="19" style="193" customWidth="1"/>
    <col min="2307" max="2309" width="9.5703125" style="193" customWidth="1"/>
    <col min="2310" max="2310" width="11.140625" style="193" customWidth="1"/>
    <col min="2311" max="2326" width="9.5703125" style="193" customWidth="1"/>
    <col min="2327" max="2327" width="12.42578125" style="193" customWidth="1"/>
    <col min="2328" max="2560" width="9.140625" style="193"/>
    <col min="2561" max="2561" width="3" style="193" customWidth="1"/>
    <col min="2562" max="2562" width="19" style="193" customWidth="1"/>
    <col min="2563" max="2565" width="9.5703125" style="193" customWidth="1"/>
    <col min="2566" max="2566" width="11.140625" style="193" customWidth="1"/>
    <col min="2567" max="2582" width="9.5703125" style="193" customWidth="1"/>
    <col min="2583" max="2583" width="12.42578125" style="193" customWidth="1"/>
    <col min="2584" max="2816" width="9.140625" style="193"/>
    <col min="2817" max="2817" width="3" style="193" customWidth="1"/>
    <col min="2818" max="2818" width="19" style="193" customWidth="1"/>
    <col min="2819" max="2821" width="9.5703125" style="193" customWidth="1"/>
    <col min="2822" max="2822" width="11.140625" style="193" customWidth="1"/>
    <col min="2823" max="2838" width="9.5703125" style="193" customWidth="1"/>
    <col min="2839" max="2839" width="12.42578125" style="193" customWidth="1"/>
    <col min="2840" max="3072" width="9.140625" style="193"/>
    <col min="3073" max="3073" width="3" style="193" customWidth="1"/>
    <col min="3074" max="3074" width="19" style="193" customWidth="1"/>
    <col min="3075" max="3077" width="9.5703125" style="193" customWidth="1"/>
    <col min="3078" max="3078" width="11.140625" style="193" customWidth="1"/>
    <col min="3079" max="3094" width="9.5703125" style="193" customWidth="1"/>
    <col min="3095" max="3095" width="12.42578125" style="193" customWidth="1"/>
    <col min="3096" max="3328" width="9.140625" style="193"/>
    <col min="3329" max="3329" width="3" style="193" customWidth="1"/>
    <col min="3330" max="3330" width="19" style="193" customWidth="1"/>
    <col min="3331" max="3333" width="9.5703125" style="193" customWidth="1"/>
    <col min="3334" max="3334" width="11.140625" style="193" customWidth="1"/>
    <col min="3335" max="3350" width="9.5703125" style="193" customWidth="1"/>
    <col min="3351" max="3351" width="12.42578125" style="193" customWidth="1"/>
    <col min="3352" max="3584" width="9.140625" style="193"/>
    <col min="3585" max="3585" width="3" style="193" customWidth="1"/>
    <col min="3586" max="3586" width="19" style="193" customWidth="1"/>
    <col min="3587" max="3589" width="9.5703125" style="193" customWidth="1"/>
    <col min="3590" max="3590" width="11.140625" style="193" customWidth="1"/>
    <col min="3591" max="3606" width="9.5703125" style="193" customWidth="1"/>
    <col min="3607" max="3607" width="12.42578125" style="193" customWidth="1"/>
    <col min="3608" max="3840" width="9.140625" style="193"/>
    <col min="3841" max="3841" width="3" style="193" customWidth="1"/>
    <col min="3842" max="3842" width="19" style="193" customWidth="1"/>
    <col min="3843" max="3845" width="9.5703125" style="193" customWidth="1"/>
    <col min="3846" max="3846" width="11.140625" style="193" customWidth="1"/>
    <col min="3847" max="3862" width="9.5703125" style="193" customWidth="1"/>
    <col min="3863" max="3863" width="12.42578125" style="193" customWidth="1"/>
    <col min="3864" max="4096" width="9.140625" style="193"/>
    <col min="4097" max="4097" width="3" style="193" customWidth="1"/>
    <col min="4098" max="4098" width="19" style="193" customWidth="1"/>
    <col min="4099" max="4101" width="9.5703125" style="193" customWidth="1"/>
    <col min="4102" max="4102" width="11.140625" style="193" customWidth="1"/>
    <col min="4103" max="4118" width="9.5703125" style="193" customWidth="1"/>
    <col min="4119" max="4119" width="12.42578125" style="193" customWidth="1"/>
    <col min="4120" max="4352" width="9.140625" style="193"/>
    <col min="4353" max="4353" width="3" style="193" customWidth="1"/>
    <col min="4354" max="4354" width="19" style="193" customWidth="1"/>
    <col min="4355" max="4357" width="9.5703125" style="193" customWidth="1"/>
    <col min="4358" max="4358" width="11.140625" style="193" customWidth="1"/>
    <col min="4359" max="4374" width="9.5703125" style="193" customWidth="1"/>
    <col min="4375" max="4375" width="12.42578125" style="193" customWidth="1"/>
    <col min="4376" max="4608" width="9.140625" style="193"/>
    <col min="4609" max="4609" width="3" style="193" customWidth="1"/>
    <col min="4610" max="4610" width="19" style="193" customWidth="1"/>
    <col min="4611" max="4613" width="9.5703125" style="193" customWidth="1"/>
    <col min="4614" max="4614" width="11.140625" style="193" customWidth="1"/>
    <col min="4615" max="4630" width="9.5703125" style="193" customWidth="1"/>
    <col min="4631" max="4631" width="12.42578125" style="193" customWidth="1"/>
    <col min="4632" max="4864" width="9.140625" style="193"/>
    <col min="4865" max="4865" width="3" style="193" customWidth="1"/>
    <col min="4866" max="4866" width="19" style="193" customWidth="1"/>
    <col min="4867" max="4869" width="9.5703125" style="193" customWidth="1"/>
    <col min="4870" max="4870" width="11.140625" style="193" customWidth="1"/>
    <col min="4871" max="4886" width="9.5703125" style="193" customWidth="1"/>
    <col min="4887" max="4887" width="12.42578125" style="193" customWidth="1"/>
    <col min="4888" max="5120" width="9.140625" style="193"/>
    <col min="5121" max="5121" width="3" style="193" customWidth="1"/>
    <col min="5122" max="5122" width="19" style="193" customWidth="1"/>
    <col min="5123" max="5125" width="9.5703125" style="193" customWidth="1"/>
    <col min="5126" max="5126" width="11.140625" style="193" customWidth="1"/>
    <col min="5127" max="5142" width="9.5703125" style="193" customWidth="1"/>
    <col min="5143" max="5143" width="12.42578125" style="193" customWidth="1"/>
    <col min="5144" max="5376" width="9.140625" style="193"/>
    <col min="5377" max="5377" width="3" style="193" customWidth="1"/>
    <col min="5378" max="5378" width="19" style="193" customWidth="1"/>
    <col min="5379" max="5381" width="9.5703125" style="193" customWidth="1"/>
    <col min="5382" max="5382" width="11.140625" style="193" customWidth="1"/>
    <col min="5383" max="5398" width="9.5703125" style="193" customWidth="1"/>
    <col min="5399" max="5399" width="12.42578125" style="193" customWidth="1"/>
    <col min="5400" max="5632" width="9.140625" style="193"/>
    <col min="5633" max="5633" width="3" style="193" customWidth="1"/>
    <col min="5634" max="5634" width="19" style="193" customWidth="1"/>
    <col min="5635" max="5637" width="9.5703125" style="193" customWidth="1"/>
    <col min="5638" max="5638" width="11.140625" style="193" customWidth="1"/>
    <col min="5639" max="5654" width="9.5703125" style="193" customWidth="1"/>
    <col min="5655" max="5655" width="12.42578125" style="193" customWidth="1"/>
    <col min="5656" max="5888" width="9.140625" style="193"/>
    <col min="5889" max="5889" width="3" style="193" customWidth="1"/>
    <col min="5890" max="5890" width="19" style="193" customWidth="1"/>
    <col min="5891" max="5893" width="9.5703125" style="193" customWidth="1"/>
    <col min="5894" max="5894" width="11.140625" style="193" customWidth="1"/>
    <col min="5895" max="5910" width="9.5703125" style="193" customWidth="1"/>
    <col min="5911" max="5911" width="12.42578125" style="193" customWidth="1"/>
    <col min="5912" max="6144" width="9.140625" style="193"/>
    <col min="6145" max="6145" width="3" style="193" customWidth="1"/>
    <col min="6146" max="6146" width="19" style="193" customWidth="1"/>
    <col min="6147" max="6149" width="9.5703125" style="193" customWidth="1"/>
    <col min="6150" max="6150" width="11.140625" style="193" customWidth="1"/>
    <col min="6151" max="6166" width="9.5703125" style="193" customWidth="1"/>
    <col min="6167" max="6167" width="12.42578125" style="193" customWidth="1"/>
    <col min="6168" max="6400" width="9.140625" style="193"/>
    <col min="6401" max="6401" width="3" style="193" customWidth="1"/>
    <col min="6402" max="6402" width="19" style="193" customWidth="1"/>
    <col min="6403" max="6405" width="9.5703125" style="193" customWidth="1"/>
    <col min="6406" max="6406" width="11.140625" style="193" customWidth="1"/>
    <col min="6407" max="6422" width="9.5703125" style="193" customWidth="1"/>
    <col min="6423" max="6423" width="12.42578125" style="193" customWidth="1"/>
    <col min="6424" max="6656" width="9.140625" style="193"/>
    <col min="6657" max="6657" width="3" style="193" customWidth="1"/>
    <col min="6658" max="6658" width="19" style="193" customWidth="1"/>
    <col min="6659" max="6661" width="9.5703125" style="193" customWidth="1"/>
    <col min="6662" max="6662" width="11.140625" style="193" customWidth="1"/>
    <col min="6663" max="6678" width="9.5703125" style="193" customWidth="1"/>
    <col min="6679" max="6679" width="12.42578125" style="193" customWidth="1"/>
    <col min="6680" max="6912" width="9.140625" style="193"/>
    <col min="6913" max="6913" width="3" style="193" customWidth="1"/>
    <col min="6914" max="6914" width="19" style="193" customWidth="1"/>
    <col min="6915" max="6917" width="9.5703125" style="193" customWidth="1"/>
    <col min="6918" max="6918" width="11.140625" style="193" customWidth="1"/>
    <col min="6919" max="6934" width="9.5703125" style="193" customWidth="1"/>
    <col min="6935" max="6935" width="12.42578125" style="193" customWidth="1"/>
    <col min="6936" max="7168" width="9.140625" style="193"/>
    <col min="7169" max="7169" width="3" style="193" customWidth="1"/>
    <col min="7170" max="7170" width="19" style="193" customWidth="1"/>
    <col min="7171" max="7173" width="9.5703125" style="193" customWidth="1"/>
    <col min="7174" max="7174" width="11.140625" style="193" customWidth="1"/>
    <col min="7175" max="7190" width="9.5703125" style="193" customWidth="1"/>
    <col min="7191" max="7191" width="12.42578125" style="193" customWidth="1"/>
    <col min="7192" max="7424" width="9.140625" style="193"/>
    <col min="7425" max="7425" width="3" style="193" customWidth="1"/>
    <col min="7426" max="7426" width="19" style="193" customWidth="1"/>
    <col min="7427" max="7429" width="9.5703125" style="193" customWidth="1"/>
    <col min="7430" max="7430" width="11.140625" style="193" customWidth="1"/>
    <col min="7431" max="7446" width="9.5703125" style="193" customWidth="1"/>
    <col min="7447" max="7447" width="12.42578125" style="193" customWidth="1"/>
    <col min="7448" max="7680" width="9.140625" style="193"/>
    <col min="7681" max="7681" width="3" style="193" customWidth="1"/>
    <col min="7682" max="7682" width="19" style="193" customWidth="1"/>
    <col min="7683" max="7685" width="9.5703125" style="193" customWidth="1"/>
    <col min="7686" max="7686" width="11.140625" style="193" customWidth="1"/>
    <col min="7687" max="7702" width="9.5703125" style="193" customWidth="1"/>
    <col min="7703" max="7703" width="12.42578125" style="193" customWidth="1"/>
    <col min="7704" max="7936" width="9.140625" style="193"/>
    <col min="7937" max="7937" width="3" style="193" customWidth="1"/>
    <col min="7938" max="7938" width="19" style="193" customWidth="1"/>
    <col min="7939" max="7941" width="9.5703125" style="193" customWidth="1"/>
    <col min="7942" max="7942" width="11.140625" style="193" customWidth="1"/>
    <col min="7943" max="7958" width="9.5703125" style="193" customWidth="1"/>
    <col min="7959" max="7959" width="12.42578125" style="193" customWidth="1"/>
    <col min="7960" max="8192" width="9.140625" style="193"/>
    <col min="8193" max="8193" width="3" style="193" customWidth="1"/>
    <col min="8194" max="8194" width="19" style="193" customWidth="1"/>
    <col min="8195" max="8197" width="9.5703125" style="193" customWidth="1"/>
    <col min="8198" max="8198" width="11.140625" style="193" customWidth="1"/>
    <col min="8199" max="8214" width="9.5703125" style="193" customWidth="1"/>
    <col min="8215" max="8215" width="12.42578125" style="193" customWidth="1"/>
    <col min="8216" max="8448" width="9.140625" style="193"/>
    <col min="8449" max="8449" width="3" style="193" customWidth="1"/>
    <col min="8450" max="8450" width="19" style="193" customWidth="1"/>
    <col min="8451" max="8453" width="9.5703125" style="193" customWidth="1"/>
    <col min="8454" max="8454" width="11.140625" style="193" customWidth="1"/>
    <col min="8455" max="8470" width="9.5703125" style="193" customWidth="1"/>
    <col min="8471" max="8471" width="12.42578125" style="193" customWidth="1"/>
    <col min="8472" max="8704" width="9.140625" style="193"/>
    <col min="8705" max="8705" width="3" style="193" customWidth="1"/>
    <col min="8706" max="8706" width="19" style="193" customWidth="1"/>
    <col min="8707" max="8709" width="9.5703125" style="193" customWidth="1"/>
    <col min="8710" max="8710" width="11.140625" style="193" customWidth="1"/>
    <col min="8711" max="8726" width="9.5703125" style="193" customWidth="1"/>
    <col min="8727" max="8727" width="12.42578125" style="193" customWidth="1"/>
    <col min="8728" max="8960" width="9.140625" style="193"/>
    <col min="8961" max="8961" width="3" style="193" customWidth="1"/>
    <col min="8962" max="8962" width="19" style="193" customWidth="1"/>
    <col min="8963" max="8965" width="9.5703125" style="193" customWidth="1"/>
    <col min="8966" max="8966" width="11.140625" style="193" customWidth="1"/>
    <col min="8967" max="8982" width="9.5703125" style="193" customWidth="1"/>
    <col min="8983" max="8983" width="12.42578125" style="193" customWidth="1"/>
    <col min="8984" max="9216" width="9.140625" style="193"/>
    <col min="9217" max="9217" width="3" style="193" customWidth="1"/>
    <col min="9218" max="9218" width="19" style="193" customWidth="1"/>
    <col min="9219" max="9221" width="9.5703125" style="193" customWidth="1"/>
    <col min="9222" max="9222" width="11.140625" style="193" customWidth="1"/>
    <col min="9223" max="9238" width="9.5703125" style="193" customWidth="1"/>
    <col min="9239" max="9239" width="12.42578125" style="193" customWidth="1"/>
    <col min="9240" max="9472" width="9.140625" style="193"/>
    <col min="9473" max="9473" width="3" style="193" customWidth="1"/>
    <col min="9474" max="9474" width="19" style="193" customWidth="1"/>
    <col min="9475" max="9477" width="9.5703125" style="193" customWidth="1"/>
    <col min="9478" max="9478" width="11.140625" style="193" customWidth="1"/>
    <col min="9479" max="9494" width="9.5703125" style="193" customWidth="1"/>
    <col min="9495" max="9495" width="12.42578125" style="193" customWidth="1"/>
    <col min="9496" max="9728" width="9.140625" style="193"/>
    <col min="9729" max="9729" width="3" style="193" customWidth="1"/>
    <col min="9730" max="9730" width="19" style="193" customWidth="1"/>
    <col min="9731" max="9733" width="9.5703125" style="193" customWidth="1"/>
    <col min="9734" max="9734" width="11.140625" style="193" customWidth="1"/>
    <col min="9735" max="9750" width="9.5703125" style="193" customWidth="1"/>
    <col min="9751" max="9751" width="12.42578125" style="193" customWidth="1"/>
    <col min="9752" max="9984" width="9.140625" style="193"/>
    <col min="9985" max="9985" width="3" style="193" customWidth="1"/>
    <col min="9986" max="9986" width="19" style="193" customWidth="1"/>
    <col min="9987" max="9989" width="9.5703125" style="193" customWidth="1"/>
    <col min="9990" max="9990" width="11.140625" style="193" customWidth="1"/>
    <col min="9991" max="10006" width="9.5703125" style="193" customWidth="1"/>
    <col min="10007" max="10007" width="12.42578125" style="193" customWidth="1"/>
    <col min="10008" max="10240" width="9.140625" style="193"/>
    <col min="10241" max="10241" width="3" style="193" customWidth="1"/>
    <col min="10242" max="10242" width="19" style="193" customWidth="1"/>
    <col min="10243" max="10245" width="9.5703125" style="193" customWidth="1"/>
    <col min="10246" max="10246" width="11.140625" style="193" customWidth="1"/>
    <col min="10247" max="10262" width="9.5703125" style="193" customWidth="1"/>
    <col min="10263" max="10263" width="12.42578125" style="193" customWidth="1"/>
    <col min="10264" max="10496" width="9.140625" style="193"/>
    <col min="10497" max="10497" width="3" style="193" customWidth="1"/>
    <col min="10498" max="10498" width="19" style="193" customWidth="1"/>
    <col min="10499" max="10501" width="9.5703125" style="193" customWidth="1"/>
    <col min="10502" max="10502" width="11.140625" style="193" customWidth="1"/>
    <col min="10503" max="10518" width="9.5703125" style="193" customWidth="1"/>
    <col min="10519" max="10519" width="12.42578125" style="193" customWidth="1"/>
    <col min="10520" max="10752" width="9.140625" style="193"/>
    <col min="10753" max="10753" width="3" style="193" customWidth="1"/>
    <col min="10754" max="10754" width="19" style="193" customWidth="1"/>
    <col min="10755" max="10757" width="9.5703125" style="193" customWidth="1"/>
    <col min="10758" max="10758" width="11.140625" style="193" customWidth="1"/>
    <col min="10759" max="10774" width="9.5703125" style="193" customWidth="1"/>
    <col min="10775" max="10775" width="12.42578125" style="193" customWidth="1"/>
    <col min="10776" max="11008" width="9.140625" style="193"/>
    <col min="11009" max="11009" width="3" style="193" customWidth="1"/>
    <col min="11010" max="11010" width="19" style="193" customWidth="1"/>
    <col min="11011" max="11013" width="9.5703125" style="193" customWidth="1"/>
    <col min="11014" max="11014" width="11.140625" style="193" customWidth="1"/>
    <col min="11015" max="11030" width="9.5703125" style="193" customWidth="1"/>
    <col min="11031" max="11031" width="12.42578125" style="193" customWidth="1"/>
    <col min="11032" max="11264" width="9.140625" style="193"/>
    <col min="11265" max="11265" width="3" style="193" customWidth="1"/>
    <col min="11266" max="11266" width="19" style="193" customWidth="1"/>
    <col min="11267" max="11269" width="9.5703125" style="193" customWidth="1"/>
    <col min="11270" max="11270" width="11.140625" style="193" customWidth="1"/>
    <col min="11271" max="11286" width="9.5703125" style="193" customWidth="1"/>
    <col min="11287" max="11287" width="12.42578125" style="193" customWidth="1"/>
    <col min="11288" max="11520" width="9.140625" style="193"/>
    <col min="11521" max="11521" width="3" style="193" customWidth="1"/>
    <col min="11522" max="11522" width="19" style="193" customWidth="1"/>
    <col min="11523" max="11525" width="9.5703125" style="193" customWidth="1"/>
    <col min="11526" max="11526" width="11.140625" style="193" customWidth="1"/>
    <col min="11527" max="11542" width="9.5703125" style="193" customWidth="1"/>
    <col min="11543" max="11543" width="12.42578125" style="193" customWidth="1"/>
    <col min="11544" max="11776" width="9.140625" style="193"/>
    <col min="11777" max="11777" width="3" style="193" customWidth="1"/>
    <col min="11778" max="11778" width="19" style="193" customWidth="1"/>
    <col min="11779" max="11781" width="9.5703125" style="193" customWidth="1"/>
    <col min="11782" max="11782" width="11.140625" style="193" customWidth="1"/>
    <col min="11783" max="11798" width="9.5703125" style="193" customWidth="1"/>
    <col min="11799" max="11799" width="12.42578125" style="193" customWidth="1"/>
    <col min="11800" max="12032" width="9.140625" style="193"/>
    <col min="12033" max="12033" width="3" style="193" customWidth="1"/>
    <col min="12034" max="12034" width="19" style="193" customWidth="1"/>
    <col min="12035" max="12037" width="9.5703125" style="193" customWidth="1"/>
    <col min="12038" max="12038" width="11.140625" style="193" customWidth="1"/>
    <col min="12039" max="12054" width="9.5703125" style="193" customWidth="1"/>
    <col min="12055" max="12055" width="12.42578125" style="193" customWidth="1"/>
    <col min="12056" max="12288" width="9.140625" style="193"/>
    <col min="12289" max="12289" width="3" style="193" customWidth="1"/>
    <col min="12290" max="12290" width="19" style="193" customWidth="1"/>
    <col min="12291" max="12293" width="9.5703125" style="193" customWidth="1"/>
    <col min="12294" max="12294" width="11.140625" style="193" customWidth="1"/>
    <col min="12295" max="12310" width="9.5703125" style="193" customWidth="1"/>
    <col min="12311" max="12311" width="12.42578125" style="193" customWidth="1"/>
    <col min="12312" max="12544" width="9.140625" style="193"/>
    <col min="12545" max="12545" width="3" style="193" customWidth="1"/>
    <col min="12546" max="12546" width="19" style="193" customWidth="1"/>
    <col min="12547" max="12549" width="9.5703125" style="193" customWidth="1"/>
    <col min="12550" max="12550" width="11.140625" style="193" customWidth="1"/>
    <col min="12551" max="12566" width="9.5703125" style="193" customWidth="1"/>
    <col min="12567" max="12567" width="12.42578125" style="193" customWidth="1"/>
    <col min="12568" max="12800" width="9.140625" style="193"/>
    <col min="12801" max="12801" width="3" style="193" customWidth="1"/>
    <col min="12802" max="12802" width="19" style="193" customWidth="1"/>
    <col min="12803" max="12805" width="9.5703125" style="193" customWidth="1"/>
    <col min="12806" max="12806" width="11.140625" style="193" customWidth="1"/>
    <col min="12807" max="12822" width="9.5703125" style="193" customWidth="1"/>
    <col min="12823" max="12823" width="12.42578125" style="193" customWidth="1"/>
    <col min="12824" max="13056" width="9.140625" style="193"/>
    <col min="13057" max="13057" width="3" style="193" customWidth="1"/>
    <col min="13058" max="13058" width="19" style="193" customWidth="1"/>
    <col min="13059" max="13061" width="9.5703125" style="193" customWidth="1"/>
    <col min="13062" max="13062" width="11.140625" style="193" customWidth="1"/>
    <col min="13063" max="13078" width="9.5703125" style="193" customWidth="1"/>
    <col min="13079" max="13079" width="12.42578125" style="193" customWidth="1"/>
    <col min="13080" max="13312" width="9.140625" style="193"/>
    <col min="13313" max="13313" width="3" style="193" customWidth="1"/>
    <col min="13314" max="13314" width="19" style="193" customWidth="1"/>
    <col min="13315" max="13317" width="9.5703125" style="193" customWidth="1"/>
    <col min="13318" max="13318" width="11.140625" style="193" customWidth="1"/>
    <col min="13319" max="13334" width="9.5703125" style="193" customWidth="1"/>
    <col min="13335" max="13335" width="12.42578125" style="193" customWidth="1"/>
    <col min="13336" max="13568" width="9.140625" style="193"/>
    <col min="13569" max="13569" width="3" style="193" customWidth="1"/>
    <col min="13570" max="13570" width="19" style="193" customWidth="1"/>
    <col min="13571" max="13573" width="9.5703125" style="193" customWidth="1"/>
    <col min="13574" max="13574" width="11.140625" style="193" customWidth="1"/>
    <col min="13575" max="13590" width="9.5703125" style="193" customWidth="1"/>
    <col min="13591" max="13591" width="12.42578125" style="193" customWidth="1"/>
    <col min="13592" max="13824" width="9.140625" style="193"/>
    <col min="13825" max="13825" width="3" style="193" customWidth="1"/>
    <col min="13826" max="13826" width="19" style="193" customWidth="1"/>
    <col min="13827" max="13829" width="9.5703125" style="193" customWidth="1"/>
    <col min="13830" max="13830" width="11.140625" style="193" customWidth="1"/>
    <col min="13831" max="13846" width="9.5703125" style="193" customWidth="1"/>
    <col min="13847" max="13847" width="12.42578125" style="193" customWidth="1"/>
    <col min="13848" max="14080" width="9.140625" style="193"/>
    <col min="14081" max="14081" width="3" style="193" customWidth="1"/>
    <col min="14082" max="14082" width="19" style="193" customWidth="1"/>
    <col min="14083" max="14085" width="9.5703125" style="193" customWidth="1"/>
    <col min="14086" max="14086" width="11.140625" style="193" customWidth="1"/>
    <col min="14087" max="14102" width="9.5703125" style="193" customWidth="1"/>
    <col min="14103" max="14103" width="12.42578125" style="193" customWidth="1"/>
    <col min="14104" max="14336" width="9.140625" style="193"/>
    <col min="14337" max="14337" width="3" style="193" customWidth="1"/>
    <col min="14338" max="14338" width="19" style="193" customWidth="1"/>
    <col min="14339" max="14341" width="9.5703125" style="193" customWidth="1"/>
    <col min="14342" max="14342" width="11.140625" style="193" customWidth="1"/>
    <col min="14343" max="14358" width="9.5703125" style="193" customWidth="1"/>
    <col min="14359" max="14359" width="12.42578125" style="193" customWidth="1"/>
    <col min="14360" max="14592" width="9.140625" style="193"/>
    <col min="14593" max="14593" width="3" style="193" customWidth="1"/>
    <col min="14594" max="14594" width="19" style="193" customWidth="1"/>
    <col min="14595" max="14597" width="9.5703125" style="193" customWidth="1"/>
    <col min="14598" max="14598" width="11.140625" style="193" customWidth="1"/>
    <col min="14599" max="14614" width="9.5703125" style="193" customWidth="1"/>
    <col min="14615" max="14615" width="12.42578125" style="193" customWidth="1"/>
    <col min="14616" max="14848" width="9.140625" style="193"/>
    <col min="14849" max="14849" width="3" style="193" customWidth="1"/>
    <col min="14850" max="14850" width="19" style="193" customWidth="1"/>
    <col min="14851" max="14853" width="9.5703125" style="193" customWidth="1"/>
    <col min="14854" max="14854" width="11.140625" style="193" customWidth="1"/>
    <col min="14855" max="14870" width="9.5703125" style="193" customWidth="1"/>
    <col min="14871" max="14871" width="12.42578125" style="193" customWidth="1"/>
    <col min="14872" max="15104" width="9.140625" style="193"/>
    <col min="15105" max="15105" width="3" style="193" customWidth="1"/>
    <col min="15106" max="15106" width="19" style="193" customWidth="1"/>
    <col min="15107" max="15109" width="9.5703125" style="193" customWidth="1"/>
    <col min="15110" max="15110" width="11.140625" style="193" customWidth="1"/>
    <col min="15111" max="15126" width="9.5703125" style="193" customWidth="1"/>
    <col min="15127" max="15127" width="12.42578125" style="193" customWidth="1"/>
    <col min="15128" max="15360" width="9.140625" style="193"/>
    <col min="15361" max="15361" width="3" style="193" customWidth="1"/>
    <col min="15362" max="15362" width="19" style="193" customWidth="1"/>
    <col min="15363" max="15365" width="9.5703125" style="193" customWidth="1"/>
    <col min="15366" max="15366" width="11.140625" style="193" customWidth="1"/>
    <col min="15367" max="15382" width="9.5703125" style="193" customWidth="1"/>
    <col min="15383" max="15383" width="12.42578125" style="193" customWidth="1"/>
    <col min="15384" max="15616" width="9.140625" style="193"/>
    <col min="15617" max="15617" width="3" style="193" customWidth="1"/>
    <col min="15618" max="15618" width="19" style="193" customWidth="1"/>
    <col min="15619" max="15621" width="9.5703125" style="193" customWidth="1"/>
    <col min="15622" max="15622" width="11.140625" style="193" customWidth="1"/>
    <col min="15623" max="15638" width="9.5703125" style="193" customWidth="1"/>
    <col min="15639" max="15639" width="12.42578125" style="193" customWidth="1"/>
    <col min="15640" max="15872" width="9.140625" style="193"/>
    <col min="15873" max="15873" width="3" style="193" customWidth="1"/>
    <col min="15874" max="15874" width="19" style="193" customWidth="1"/>
    <col min="15875" max="15877" width="9.5703125" style="193" customWidth="1"/>
    <col min="15878" max="15878" width="11.140625" style="193" customWidth="1"/>
    <col min="15879" max="15894" width="9.5703125" style="193" customWidth="1"/>
    <col min="15895" max="15895" width="12.42578125" style="193" customWidth="1"/>
    <col min="15896" max="16128" width="9.140625" style="193"/>
    <col min="16129" max="16129" width="3" style="193" customWidth="1"/>
    <col min="16130" max="16130" width="19" style="193" customWidth="1"/>
    <col min="16131" max="16133" width="9.5703125" style="193" customWidth="1"/>
    <col min="16134" max="16134" width="11.140625" style="193" customWidth="1"/>
    <col min="16135" max="16150" width="9.5703125" style="193" customWidth="1"/>
    <col min="16151" max="16151" width="12.42578125" style="193" customWidth="1"/>
    <col min="16152" max="16384" width="9.140625" style="193"/>
  </cols>
  <sheetData>
    <row r="1" spans="2:26" ht="31.9" customHeight="1" x14ac:dyDescent="0.2">
      <c r="B1" s="446" t="s">
        <v>308</v>
      </c>
      <c r="C1" s="446"/>
      <c r="D1" s="446"/>
      <c r="E1" s="446"/>
      <c r="F1" s="446"/>
      <c r="G1" s="446"/>
      <c r="H1" s="446"/>
      <c r="I1" s="446"/>
      <c r="J1" s="446"/>
      <c r="K1" s="446"/>
      <c r="L1" s="446"/>
      <c r="M1" s="446"/>
      <c r="N1" s="446"/>
      <c r="O1" s="446"/>
      <c r="P1" s="446"/>
      <c r="Q1" s="446"/>
      <c r="R1" s="446"/>
      <c r="S1" s="446"/>
      <c r="T1" s="446"/>
      <c r="U1" s="446"/>
      <c r="V1" s="446"/>
    </row>
    <row r="2" spans="2:26" s="36" customFormat="1" ht="25.5" customHeight="1" x14ac:dyDescent="0.2">
      <c r="B2" s="537" t="s">
        <v>238</v>
      </c>
      <c r="C2" s="538" t="s">
        <v>239</v>
      </c>
      <c r="D2" s="539"/>
      <c r="E2" s="539"/>
      <c r="F2" s="540"/>
      <c r="G2" s="541" t="s">
        <v>240</v>
      </c>
      <c r="H2" s="542"/>
      <c r="I2" s="542"/>
      <c r="J2" s="543"/>
      <c r="K2" s="538" t="s">
        <v>241</v>
      </c>
      <c r="L2" s="539"/>
      <c r="M2" s="539"/>
      <c r="N2" s="540"/>
      <c r="O2" s="532" t="s">
        <v>242</v>
      </c>
      <c r="P2" s="532" t="s">
        <v>300</v>
      </c>
      <c r="Q2" s="532" t="s">
        <v>243</v>
      </c>
      <c r="R2" s="534" t="s">
        <v>301</v>
      </c>
      <c r="S2" s="532" t="s">
        <v>244</v>
      </c>
      <c r="T2" s="532" t="s">
        <v>56</v>
      </c>
      <c r="U2" s="532" t="s">
        <v>245</v>
      </c>
      <c r="V2" s="534" t="s">
        <v>246</v>
      </c>
      <c r="W2" s="239"/>
    </row>
    <row r="3" spans="2:26" s="36" customFormat="1" ht="64.150000000000006" customHeight="1" x14ac:dyDescent="0.2">
      <c r="B3" s="537"/>
      <c r="C3" s="34" t="s">
        <v>247</v>
      </c>
      <c r="D3" s="34" t="s">
        <v>248</v>
      </c>
      <c r="E3" s="34" t="s">
        <v>249</v>
      </c>
      <c r="F3" s="390" t="s">
        <v>250</v>
      </c>
      <c r="G3" s="246" t="s">
        <v>247</v>
      </c>
      <c r="H3" s="246" t="s">
        <v>248</v>
      </c>
      <c r="I3" s="246" t="s">
        <v>249</v>
      </c>
      <c r="J3" s="247" t="s">
        <v>250</v>
      </c>
      <c r="K3" s="248" t="s">
        <v>247</v>
      </c>
      <c r="L3" s="248" t="s">
        <v>248</v>
      </c>
      <c r="M3" s="248" t="s">
        <v>249</v>
      </c>
      <c r="N3" s="390" t="s">
        <v>251</v>
      </c>
      <c r="O3" s="533"/>
      <c r="P3" s="533"/>
      <c r="Q3" s="533"/>
      <c r="R3" s="535"/>
      <c r="S3" s="533"/>
      <c r="T3" s="533"/>
      <c r="U3" s="533"/>
      <c r="V3" s="535"/>
      <c r="W3" s="239"/>
    </row>
    <row r="4" spans="2:26" s="36" customFormat="1" ht="21" customHeight="1" x14ac:dyDescent="0.2">
      <c r="B4" s="537"/>
      <c r="C4" s="249">
        <v>1</v>
      </c>
      <c r="D4" s="249">
        <v>2</v>
      </c>
      <c r="E4" s="250">
        <v>3</v>
      </c>
      <c r="F4" s="250" t="s">
        <v>252</v>
      </c>
      <c r="G4" s="251">
        <v>5</v>
      </c>
      <c r="H4" s="251">
        <v>6</v>
      </c>
      <c r="I4" s="251">
        <v>7</v>
      </c>
      <c r="J4" s="251" t="s">
        <v>253</v>
      </c>
      <c r="K4" s="250">
        <v>9</v>
      </c>
      <c r="L4" s="250">
        <v>10</v>
      </c>
      <c r="M4" s="250">
        <v>11</v>
      </c>
      <c r="N4" s="252" t="s">
        <v>254</v>
      </c>
      <c r="O4" s="250">
        <v>13</v>
      </c>
      <c r="P4" s="250">
        <v>14</v>
      </c>
      <c r="Q4" s="250" t="s">
        <v>255</v>
      </c>
      <c r="R4" s="252">
        <v>16</v>
      </c>
      <c r="S4" s="250" t="s">
        <v>256</v>
      </c>
      <c r="T4" s="250">
        <v>18</v>
      </c>
      <c r="U4" s="250" t="s">
        <v>257</v>
      </c>
      <c r="V4" s="252" t="s">
        <v>258</v>
      </c>
      <c r="W4" s="239"/>
      <c r="Z4" s="196"/>
    </row>
    <row r="5" spans="2:26" s="36" customFormat="1" ht="16.5" customHeight="1" x14ac:dyDescent="0.2">
      <c r="B5" s="35" t="s">
        <v>259</v>
      </c>
      <c r="C5" s="253">
        <v>958</v>
      </c>
      <c r="D5" s="253">
        <v>4712</v>
      </c>
      <c r="E5" s="253">
        <v>4403</v>
      </c>
      <c r="F5" s="254">
        <f>C5+D5+E5</f>
        <v>10073</v>
      </c>
      <c r="G5" s="255">
        <v>837.83333333333337</v>
      </c>
      <c r="H5" s="255">
        <v>3660.8333333333335</v>
      </c>
      <c r="I5" s="255">
        <v>3667.6666666666665</v>
      </c>
      <c r="J5" s="256">
        <f>G5+H5+I5</f>
        <v>8166.3333333333339</v>
      </c>
      <c r="K5" s="257">
        <f>610976.5/G5/12</f>
        <v>60.769494728466277</v>
      </c>
      <c r="L5" s="257">
        <f>2038496.69/H5/12</f>
        <v>46.403293648987024</v>
      </c>
      <c r="M5" s="257">
        <f>1777837.64/I5/12</f>
        <v>40.3943842588385</v>
      </c>
      <c r="N5" s="258">
        <f>4427310.83/J5/12</f>
        <v>45.1784851422507</v>
      </c>
      <c r="O5" s="253">
        <f>(K5*G5*12)+(L5*12*H5)+(M5*I5*12)</f>
        <v>4427310.83</v>
      </c>
      <c r="P5" s="259">
        <v>3.2411592382212597</v>
      </c>
      <c r="Q5" s="260">
        <f>R5*100/P5</f>
        <v>96.107249037955697</v>
      </c>
      <c r="R5" s="261">
        <f>S5/O5</f>
        <v>3.1149889807940139</v>
      </c>
      <c r="S5" s="262">
        <v>13791024.449999999</v>
      </c>
      <c r="T5" s="263">
        <v>401579.17</v>
      </c>
      <c r="U5" s="262">
        <v>1135408.4000000001</v>
      </c>
      <c r="V5" s="264">
        <f>S5+T5+U5</f>
        <v>15328012.02</v>
      </c>
      <c r="W5" s="239"/>
    </row>
    <row r="6" spans="2:26" s="36" customFormat="1" ht="16.5" customHeight="1" x14ac:dyDescent="0.2">
      <c r="B6" s="35" t="s">
        <v>260</v>
      </c>
      <c r="C6" s="253">
        <v>1001</v>
      </c>
      <c r="D6" s="253">
        <v>4969</v>
      </c>
      <c r="E6" s="253">
        <v>4652</v>
      </c>
      <c r="F6" s="254">
        <f>C6+D6+E6</f>
        <v>10622</v>
      </c>
      <c r="G6" s="255">
        <v>877.58333333333337</v>
      </c>
      <c r="H6" s="255">
        <v>3845.75</v>
      </c>
      <c r="I6" s="255">
        <v>3911.8333333333335</v>
      </c>
      <c r="J6" s="256">
        <f>G6+H6+I6</f>
        <v>8635.1666666666661</v>
      </c>
      <c r="K6" s="257">
        <f>648912.53/G6/12</f>
        <v>61.619269774950148</v>
      </c>
      <c r="L6" s="257">
        <f>2149103.11/H6/12</f>
        <v>46.568790439662827</v>
      </c>
      <c r="M6" s="257">
        <f>1954915.98/I6/12</f>
        <v>41.645349154275486</v>
      </c>
      <c r="N6" s="258">
        <f>4752931.62/J6/12</f>
        <v>45.867978035552305</v>
      </c>
      <c r="O6" s="253">
        <f>(K6*G6*12)+(L6*12*H6)+(M6*I6*12)</f>
        <v>4752931.6199999992</v>
      </c>
      <c r="P6" s="259">
        <v>3.2271476157885419</v>
      </c>
      <c r="Q6" s="260">
        <f>R6*100/P6</f>
        <v>96.322173589457691</v>
      </c>
      <c r="R6" s="261">
        <f>S6/O6</f>
        <v>3.1084587284678844</v>
      </c>
      <c r="S6" s="262">
        <v>14774291.779999999</v>
      </c>
      <c r="T6" s="263">
        <v>469239.67</v>
      </c>
      <c r="U6" s="262">
        <v>1219165.3799999999</v>
      </c>
      <c r="V6" s="264">
        <f>S6+T6+U6</f>
        <v>16462696.829999998</v>
      </c>
      <c r="W6" s="239"/>
      <c r="X6" s="239"/>
    </row>
    <row r="7" spans="2:26" s="265" customFormat="1" ht="16.5" customHeight="1" x14ac:dyDescent="0.2">
      <c r="B7" s="266" t="s">
        <v>261</v>
      </c>
      <c r="C7" s="267">
        <f t="shared" ref="C7:N7" si="0">(C6*100/C5)-100</f>
        <v>4.4885177453027154</v>
      </c>
      <c r="D7" s="267">
        <f t="shared" si="0"/>
        <v>5.4541595925297059</v>
      </c>
      <c r="E7" s="267">
        <f t="shared" si="0"/>
        <v>5.6552350669997793</v>
      </c>
      <c r="F7" s="267">
        <f t="shared" si="0"/>
        <v>5.4502134418743111</v>
      </c>
      <c r="G7" s="267">
        <f t="shared" si="0"/>
        <v>4.744380346130896</v>
      </c>
      <c r="H7" s="267">
        <f t="shared" si="0"/>
        <v>5.0512178465740902</v>
      </c>
      <c r="I7" s="267">
        <f t="shared" si="0"/>
        <v>6.6572752885576847</v>
      </c>
      <c r="J7" s="267">
        <f t="shared" si="0"/>
        <v>5.7410506551287739</v>
      </c>
      <c r="K7" s="267">
        <f t="shared" si="0"/>
        <v>1.3983579265894548</v>
      </c>
      <c r="L7" s="267">
        <f t="shared" si="0"/>
        <v>0.35664880154345724</v>
      </c>
      <c r="M7" s="267">
        <f t="shared" si="0"/>
        <v>3.0968782378784852</v>
      </c>
      <c r="N7" s="267">
        <f t="shared" si="0"/>
        <v>1.5261531924557517</v>
      </c>
      <c r="O7" s="268" t="s">
        <v>4</v>
      </c>
      <c r="P7" s="268" t="s">
        <v>4</v>
      </c>
      <c r="Q7" s="269">
        <f>(Q6*100/Q5)-100</f>
        <v>0.22362990685240902</v>
      </c>
      <c r="R7" s="266" t="s">
        <v>4</v>
      </c>
      <c r="S7" s="270" t="s">
        <v>4</v>
      </c>
      <c r="T7" s="271">
        <f>T6*100/T5-100</f>
        <v>16.848607959421798</v>
      </c>
      <c r="U7" s="270" t="s">
        <v>4</v>
      </c>
      <c r="V7" s="270" t="s">
        <v>4</v>
      </c>
      <c r="W7" s="272"/>
    </row>
    <row r="8" spans="2:26" ht="16.5" customHeight="1" thickBot="1" x14ac:dyDescent="0.25">
      <c r="B8" s="273">
        <v>2020</v>
      </c>
      <c r="C8" s="274">
        <f>ROUND((C6*(100+C7))/100,0)</f>
        <v>1046</v>
      </c>
      <c r="D8" s="274">
        <f>ROUND((D6*(100+D7))/100,0)</f>
        <v>5240</v>
      </c>
      <c r="E8" s="274">
        <f>ROUND((E6*(100+E7))/100,0)</f>
        <v>4915</v>
      </c>
      <c r="F8" s="275">
        <f>C8+D8+E8</f>
        <v>11201</v>
      </c>
      <c r="G8" s="276">
        <f>ROUND((G6*(100+G7))/100,0)</f>
        <v>919</v>
      </c>
      <c r="H8" s="276">
        <f>ROUND((H6*(100+H7))/100,0)</f>
        <v>4040</v>
      </c>
      <c r="I8" s="276">
        <f>ROUND((I6*(100+I7))/100,0)</f>
        <v>4172</v>
      </c>
      <c r="J8" s="277">
        <f>G8+H8+I8</f>
        <v>9131</v>
      </c>
      <c r="K8" s="278">
        <f>ROUND((K6*(100+K7))/100,2)</f>
        <v>62.48</v>
      </c>
      <c r="L8" s="278">
        <f>ROUND((L6*(100+L7))/100,2)</f>
        <v>46.73</v>
      </c>
      <c r="M8" s="278">
        <f>ROUND((M6*(100+M7))/100,2)</f>
        <v>42.94</v>
      </c>
      <c r="N8" s="279">
        <f>ROUND((N6*(100+N7))/100,2)</f>
        <v>46.57</v>
      </c>
      <c r="O8" s="280">
        <f>(K8*G8*12)+(L8*12*H8)+(M8*I8*12)</f>
        <v>5104248</v>
      </c>
      <c r="P8" s="281">
        <f>Sheet3!P8</f>
        <v>3.2095361458333325</v>
      </c>
      <c r="Q8" s="282">
        <f>ROUND((Q6*(100+Q7))/100,2)</f>
        <v>96.54</v>
      </c>
      <c r="R8" s="283">
        <f>Q8*P8/100</f>
        <v>3.0984861951874993</v>
      </c>
      <c r="S8" s="284">
        <f>R8*O8</f>
        <v>15815441.964813404</v>
      </c>
      <c r="T8" s="285">
        <f>ROUND((T6*(100+T7))/100,2)</f>
        <v>548300.02</v>
      </c>
      <c r="U8" s="284">
        <f>(S8+T8)*0.08</f>
        <v>1309099.3587850723</v>
      </c>
      <c r="V8" s="286">
        <f>S8+T8+U8</f>
        <v>17672841.343598478</v>
      </c>
      <c r="X8" s="196"/>
    </row>
    <row r="9" spans="2:26" ht="16.5" customHeight="1" thickBot="1" x14ac:dyDescent="0.25">
      <c r="B9" s="287">
        <v>2021</v>
      </c>
      <c r="C9" s="288">
        <f>ROUND((C8*(100+C7))/100,0)</f>
        <v>1093</v>
      </c>
      <c r="D9" s="288">
        <f>ROUND((D8*(100+D7))/100,0)</f>
        <v>5526</v>
      </c>
      <c r="E9" s="288">
        <f>ROUND((E8*(100+E7))/100,0)</f>
        <v>5193</v>
      </c>
      <c r="F9" s="289">
        <f>C9+D9+E9</f>
        <v>11812</v>
      </c>
      <c r="G9" s="288">
        <f>ROUND((G8*(100+G7))/100,0)</f>
        <v>963</v>
      </c>
      <c r="H9" s="288">
        <f>ROUND((H8*(100+H7))/100,0)</f>
        <v>4244</v>
      </c>
      <c r="I9" s="288">
        <f>ROUND((I8*(100+I7))/100,0)</f>
        <v>4450</v>
      </c>
      <c r="J9" s="289">
        <f>G9+H9+I9</f>
        <v>9657</v>
      </c>
      <c r="K9" s="290">
        <f>ROUND((K8*(100+K7))/100,2)</f>
        <v>63.35</v>
      </c>
      <c r="L9" s="290">
        <f>ROUND((L8*(100+L7))/100,2)</f>
        <v>46.9</v>
      </c>
      <c r="M9" s="290">
        <f>ROUND((M8*(100+M7))/100,2)</f>
        <v>44.27</v>
      </c>
      <c r="N9" s="291">
        <f>ROUND((N8*(100+N7))/100,2)</f>
        <v>47.28</v>
      </c>
      <c r="O9" s="292">
        <f>(K9*G9*12)+(L9*12*H9)+(M9*I9*12)</f>
        <v>5484613.7999999998</v>
      </c>
      <c r="P9" s="293">
        <f>'[1]3.74 euro_23.59%'!E17</f>
        <v>3.737377164692036</v>
      </c>
      <c r="Q9" s="294">
        <f>ROUND((Q8*(100+Q7))/100,2)</f>
        <v>96.76</v>
      </c>
      <c r="R9" s="295">
        <f>Q9*P9/100</f>
        <v>3.6162861445560139</v>
      </c>
      <c r="S9" s="296">
        <f>R9*O9</f>
        <v>19833932.893180709</v>
      </c>
      <c r="T9" s="297">
        <f>ROUND((T8*(100+T7))/100,2)</f>
        <v>640680.93999999994</v>
      </c>
      <c r="U9" s="296">
        <f>(S9+T9)*0.08</f>
        <v>1637969.1066544568</v>
      </c>
      <c r="V9" s="298">
        <f>S9+T9+U9</f>
        <v>22112582.939835168</v>
      </c>
      <c r="X9" s="196"/>
    </row>
    <row r="10" spans="2:26" ht="16.5" customHeight="1" x14ac:dyDescent="0.2">
      <c r="B10" s="299">
        <v>2022</v>
      </c>
      <c r="C10" s="300">
        <v>1093</v>
      </c>
      <c r="D10" s="300">
        <v>5526</v>
      </c>
      <c r="E10" s="300">
        <v>5193</v>
      </c>
      <c r="F10" s="301">
        <v>11812</v>
      </c>
      <c r="G10" s="302">
        <v>963</v>
      </c>
      <c r="H10" s="302">
        <v>4244</v>
      </c>
      <c r="I10" s="302">
        <v>4450</v>
      </c>
      <c r="J10" s="303">
        <v>9657</v>
      </c>
      <c r="K10" s="304">
        <v>63.35</v>
      </c>
      <c r="L10" s="304">
        <v>46.9</v>
      </c>
      <c r="M10" s="304">
        <v>44.27</v>
      </c>
      <c r="N10" s="305">
        <f>ROUND((N9*(100+N7))/100,2)</f>
        <v>48</v>
      </c>
      <c r="O10" s="306">
        <f>(K10*G10*12)+(L10*12*H10)+(M10*I10*12)</f>
        <v>5484613.7999999998</v>
      </c>
      <c r="P10" s="307">
        <f>P9</f>
        <v>3.737377164692036</v>
      </c>
      <c r="Q10" s="308">
        <v>96.76</v>
      </c>
      <c r="R10" s="309">
        <f>Q10*P10/100</f>
        <v>3.6162861445560139</v>
      </c>
      <c r="S10" s="310">
        <f>R10*O10</f>
        <v>19833932.893180709</v>
      </c>
      <c r="T10" s="311">
        <v>640680.93999999994</v>
      </c>
      <c r="U10" s="310">
        <f>(S10+T10)*0.08</f>
        <v>1637969.1066544568</v>
      </c>
      <c r="V10" s="312">
        <f>S10+T10+U10</f>
        <v>22112582.939835168</v>
      </c>
      <c r="X10" s="196"/>
    </row>
    <row r="11" spans="2:26" ht="16.5" customHeight="1" x14ac:dyDescent="0.2">
      <c r="B11" s="313">
        <v>2023</v>
      </c>
      <c r="C11" s="314">
        <v>1093</v>
      </c>
      <c r="D11" s="314">
        <v>5526</v>
      </c>
      <c r="E11" s="314">
        <v>5193</v>
      </c>
      <c r="F11" s="254">
        <v>11812</v>
      </c>
      <c r="G11" s="315">
        <v>963</v>
      </c>
      <c r="H11" s="315">
        <v>4244</v>
      </c>
      <c r="I11" s="315">
        <v>4450</v>
      </c>
      <c r="J11" s="256">
        <v>9657</v>
      </c>
      <c r="K11" s="316">
        <v>63.35</v>
      </c>
      <c r="L11" s="316">
        <v>46.9</v>
      </c>
      <c r="M11" s="316">
        <v>44.27</v>
      </c>
      <c r="N11" s="317">
        <f>ROUND((N10*(100+N7))/100,2)</f>
        <v>48.73</v>
      </c>
      <c r="O11" s="253">
        <f>(K11*G11*12)+(L11*12*H11)+(M11*I11*12)</f>
        <v>5484613.7999999998</v>
      </c>
      <c r="P11" s="318">
        <f>P10</f>
        <v>3.737377164692036</v>
      </c>
      <c r="Q11" s="319">
        <v>96.76</v>
      </c>
      <c r="R11" s="320">
        <f>Q11*P11/100</f>
        <v>3.6162861445560139</v>
      </c>
      <c r="S11" s="262">
        <f>R11*O11</f>
        <v>19833932.893180709</v>
      </c>
      <c r="T11" s="321">
        <v>640680.93999999994</v>
      </c>
      <c r="U11" s="262">
        <f>(S11+T11)*0.08</f>
        <v>1637969.1066544568</v>
      </c>
      <c r="V11" s="264">
        <f>S11+T11+U11</f>
        <v>22112582.939835168</v>
      </c>
      <c r="X11" s="196"/>
    </row>
    <row r="12" spans="2:26" ht="13.5" x14ac:dyDescent="0.25">
      <c r="B12" s="322" t="s">
        <v>262</v>
      </c>
      <c r="T12" s="323"/>
    </row>
    <row r="13" spans="2:26" x14ac:dyDescent="0.2">
      <c r="O13" s="196"/>
      <c r="U13" s="196"/>
      <c r="V13" s="196"/>
    </row>
    <row r="14" spans="2:26" x14ac:dyDescent="0.2">
      <c r="B14" s="197" t="s">
        <v>263</v>
      </c>
      <c r="C14" s="324">
        <v>2018</v>
      </c>
      <c r="D14" s="324">
        <v>2019</v>
      </c>
      <c r="E14" s="325" t="s">
        <v>264</v>
      </c>
      <c r="F14" s="324">
        <v>2020</v>
      </c>
      <c r="H14" s="324">
        <v>2021</v>
      </c>
      <c r="I14" s="324">
        <v>2022</v>
      </c>
      <c r="J14" s="324">
        <v>2023</v>
      </c>
      <c r="O14" s="196"/>
    </row>
    <row r="15" spans="2:26" x14ac:dyDescent="0.2">
      <c r="B15" s="193" t="s">
        <v>166</v>
      </c>
      <c r="C15" s="214">
        <v>1199944.5</v>
      </c>
      <c r="D15" s="214">
        <v>1300261.1800000002</v>
      </c>
      <c r="E15" s="326">
        <f t="shared" ref="E15:E26" si="1">D15*100/$D$27</f>
        <v>7.8982270853128522</v>
      </c>
      <c r="F15" s="214">
        <v>1395586.5699999998</v>
      </c>
      <c r="H15" s="196">
        <f t="shared" ref="H15:H26" si="2">$V$9*E15/100</f>
        <v>1746502.0150163302</v>
      </c>
      <c r="I15" s="196">
        <f t="shared" ref="I15:I26" si="3">$V$10*E15/100</f>
        <v>1746502.0150163302</v>
      </c>
      <c r="J15" s="196">
        <f t="shared" ref="J15:J26" si="4">$V$11*E15/100</f>
        <v>1746502.0150163302</v>
      </c>
      <c r="O15" s="327"/>
      <c r="P15" s="327"/>
      <c r="Q15" s="327"/>
    </row>
    <row r="16" spans="2:26" x14ac:dyDescent="0.2">
      <c r="B16" s="193" t="s">
        <v>167</v>
      </c>
      <c r="C16" s="214">
        <v>1246173.2699999998</v>
      </c>
      <c r="D16" s="214">
        <v>1345922.41</v>
      </c>
      <c r="E16" s="326">
        <f t="shared" si="1"/>
        <v>8.1755888716077401</v>
      </c>
      <c r="F16" s="214">
        <v>1454845.3399999999</v>
      </c>
      <c r="H16" s="196">
        <f t="shared" si="2"/>
        <v>1807833.8700541959</v>
      </c>
      <c r="I16" s="196">
        <f t="shared" si="3"/>
        <v>1807833.8700541959</v>
      </c>
      <c r="J16" s="196">
        <f t="shared" si="4"/>
        <v>1807833.8700541959</v>
      </c>
    </row>
    <row r="17" spans="2:23" x14ac:dyDescent="0.2">
      <c r="B17" s="193" t="s">
        <v>168</v>
      </c>
      <c r="C17" s="214">
        <v>1269994.5899999999</v>
      </c>
      <c r="D17" s="214">
        <v>1359789.78</v>
      </c>
      <c r="E17" s="326">
        <f t="shared" si="1"/>
        <v>8.2598239768471764</v>
      </c>
      <c r="F17" s="214">
        <v>1294574.5499999998</v>
      </c>
      <c r="H17" s="196">
        <f t="shared" si="2"/>
        <v>1826460.4275647234</v>
      </c>
      <c r="I17" s="196">
        <f t="shared" si="3"/>
        <v>1826460.4275647234</v>
      </c>
      <c r="J17" s="196">
        <f t="shared" si="4"/>
        <v>1826460.4275647234</v>
      </c>
    </row>
    <row r="18" spans="2:23" x14ac:dyDescent="0.2">
      <c r="B18" s="193" t="s">
        <v>169</v>
      </c>
      <c r="C18" s="214">
        <v>1314173.7699999998</v>
      </c>
      <c r="D18" s="214">
        <v>1455300.79</v>
      </c>
      <c r="E18" s="326">
        <f t="shared" si="1"/>
        <v>8.8399902216992974</v>
      </c>
      <c r="F18" s="214">
        <v>1393002.8399999999</v>
      </c>
      <c r="H18" s="196">
        <f>$V$9*E18/100</f>
        <v>1954750.169646576</v>
      </c>
      <c r="I18" s="196">
        <f t="shared" si="3"/>
        <v>1954750.169646576</v>
      </c>
      <c r="J18" s="196">
        <f t="shared" si="4"/>
        <v>1954750.169646576</v>
      </c>
    </row>
    <row r="19" spans="2:23" x14ac:dyDescent="0.2">
      <c r="B19" s="193" t="s">
        <v>170</v>
      </c>
      <c r="C19" s="214">
        <v>1324087.3800000001</v>
      </c>
      <c r="D19" s="214">
        <v>1424578.2500000002</v>
      </c>
      <c r="E19" s="326">
        <f t="shared" si="1"/>
        <v>8.6533711014102455</v>
      </c>
      <c r="F19" s="214">
        <v>1469074.4800000002</v>
      </c>
      <c r="H19" s="196">
        <f t="shared" si="2"/>
        <v>1913483.8618910685</v>
      </c>
      <c r="I19" s="196">
        <f t="shared" si="3"/>
        <v>1913483.8618910685</v>
      </c>
      <c r="J19" s="196">
        <f t="shared" si="4"/>
        <v>1913483.8618910685</v>
      </c>
    </row>
    <row r="20" spans="2:23" x14ac:dyDescent="0.2">
      <c r="B20" s="193" t="s">
        <v>171</v>
      </c>
      <c r="C20" s="214">
        <v>1201326.8599999999</v>
      </c>
      <c r="D20" s="214">
        <v>1357461.55</v>
      </c>
      <c r="E20" s="326">
        <f t="shared" si="1"/>
        <v>8.245681518755152</v>
      </c>
      <c r="F20" s="196">
        <f>(V8-F15-F16-F17-F18-F19)/7</f>
        <v>1523679.6519426394</v>
      </c>
      <c r="H20" s="196">
        <f t="shared" si="2"/>
        <v>1823333.1647893933</v>
      </c>
      <c r="I20" s="196">
        <f t="shared" si="3"/>
        <v>1823333.1647893933</v>
      </c>
      <c r="J20" s="196">
        <f t="shared" si="4"/>
        <v>1823333.1647893933</v>
      </c>
      <c r="M20" s="196"/>
      <c r="N20" s="196"/>
    </row>
    <row r="21" spans="2:23" x14ac:dyDescent="0.2">
      <c r="B21" s="193" t="s">
        <v>172</v>
      </c>
      <c r="C21" s="214">
        <v>1165615.3899999999</v>
      </c>
      <c r="D21" s="214">
        <v>1195371.06</v>
      </c>
      <c r="E21" s="326">
        <f t="shared" si="1"/>
        <v>7.2610889475998457</v>
      </c>
      <c r="F21" s="196">
        <f t="shared" ref="F21:F26" si="5">F20</f>
        <v>1523679.6519426394</v>
      </c>
      <c r="H21" s="196">
        <f t="shared" si="2"/>
        <v>1605614.3158732206</v>
      </c>
      <c r="I21" s="196">
        <f t="shared" si="3"/>
        <v>1605614.3158732206</v>
      </c>
      <c r="J21" s="196">
        <f t="shared" si="4"/>
        <v>1605614.3158732206</v>
      </c>
    </row>
    <row r="22" spans="2:23" x14ac:dyDescent="0.2">
      <c r="B22" s="193" t="s">
        <v>173</v>
      </c>
      <c r="C22" s="214">
        <v>1127479.07</v>
      </c>
      <c r="D22" s="214">
        <v>1254926.53</v>
      </c>
      <c r="E22" s="326">
        <f t="shared" si="1"/>
        <v>7.6228490566208169</v>
      </c>
      <c r="F22" s="196">
        <f t="shared" si="5"/>
        <v>1523679.6519426394</v>
      </c>
      <c r="H22" s="196">
        <f t="shared" si="2"/>
        <v>1685608.8200237209</v>
      </c>
      <c r="I22" s="196">
        <f t="shared" si="3"/>
        <v>1685608.8200237209</v>
      </c>
      <c r="J22" s="196">
        <f t="shared" si="4"/>
        <v>1685608.8200237209</v>
      </c>
    </row>
    <row r="23" spans="2:23" x14ac:dyDescent="0.2">
      <c r="B23" s="193" t="s">
        <v>174</v>
      </c>
      <c r="C23" s="214">
        <v>1360706.8699999999</v>
      </c>
      <c r="D23" s="214">
        <v>1385671.28</v>
      </c>
      <c r="E23" s="326">
        <f t="shared" si="1"/>
        <v>8.4170369794752524</v>
      </c>
      <c r="F23" s="196">
        <f t="shared" si="5"/>
        <v>1523679.6519426394</v>
      </c>
      <c r="H23" s="196">
        <f t="shared" si="2"/>
        <v>1861224.2831630621</v>
      </c>
      <c r="I23" s="196">
        <f t="shared" si="3"/>
        <v>1861224.2831630621</v>
      </c>
      <c r="J23" s="196">
        <f t="shared" si="4"/>
        <v>1861224.2831630621</v>
      </c>
    </row>
    <row r="24" spans="2:23" x14ac:dyDescent="0.2">
      <c r="B24" s="193" t="s">
        <v>175</v>
      </c>
      <c r="C24" s="214">
        <v>1274537.28</v>
      </c>
      <c r="D24" s="214">
        <v>1358207.77</v>
      </c>
      <c r="E24" s="326">
        <f t="shared" si="1"/>
        <v>8.2502143119402884</v>
      </c>
      <c r="F24" s="196">
        <f t="shared" si="5"/>
        <v>1523679.6519426394</v>
      </c>
      <c r="H24" s="196">
        <f t="shared" si="2"/>
        <v>1824335.4824419478</v>
      </c>
      <c r="I24" s="196">
        <f t="shared" si="3"/>
        <v>1824335.4824419478</v>
      </c>
      <c r="J24" s="196">
        <f t="shared" si="4"/>
        <v>1824335.4824419478</v>
      </c>
    </row>
    <row r="25" spans="2:23" x14ac:dyDescent="0.2">
      <c r="B25" s="193" t="s">
        <v>176</v>
      </c>
      <c r="C25" s="214">
        <f>1348317.61</f>
        <v>1348317.61</v>
      </c>
      <c r="D25" s="214">
        <v>1472437.48</v>
      </c>
      <c r="E25" s="326">
        <f t="shared" si="1"/>
        <v>8.94408428464026</v>
      </c>
      <c r="F25" s="196">
        <f t="shared" si="5"/>
        <v>1523679.6519426394</v>
      </c>
      <c r="H25" s="196">
        <f t="shared" si="2"/>
        <v>1977768.0556498405</v>
      </c>
      <c r="I25" s="196">
        <f t="shared" si="3"/>
        <v>1977768.0556498405</v>
      </c>
      <c r="J25" s="196">
        <f t="shared" si="4"/>
        <v>1977768.0556498405</v>
      </c>
    </row>
    <row r="26" spans="2:23" x14ac:dyDescent="0.2">
      <c r="B26" s="193" t="s">
        <v>177</v>
      </c>
      <c r="C26" s="214">
        <v>1495655.43</v>
      </c>
      <c r="D26" s="214">
        <v>1552768.75</v>
      </c>
      <c r="E26" s="326">
        <f t="shared" si="1"/>
        <v>9.4320436440910882</v>
      </c>
      <c r="F26" s="196">
        <f t="shared" si="5"/>
        <v>1523679.6519426394</v>
      </c>
      <c r="H26" s="196">
        <f t="shared" si="2"/>
        <v>2085668.4737210933</v>
      </c>
      <c r="I26" s="196">
        <f t="shared" si="3"/>
        <v>2085668.4737210933</v>
      </c>
      <c r="J26" s="196">
        <f t="shared" si="4"/>
        <v>2085668.4737210933</v>
      </c>
    </row>
    <row r="27" spans="2:23" s="197" customFormat="1" x14ac:dyDescent="0.2">
      <c r="C27" s="231">
        <f>SUM(C15:C26)</f>
        <v>15328012.019999998</v>
      </c>
      <c r="D27" s="231">
        <f>SUM(D15:D26)</f>
        <v>16462696.829999998</v>
      </c>
      <c r="E27" s="328">
        <f>SUM(E15:E26)</f>
        <v>100</v>
      </c>
      <c r="F27" s="214">
        <f>SUM(F15:F26)</f>
        <v>17672841.34359847</v>
      </c>
      <c r="H27" s="214">
        <f>SUM(H15:H26)</f>
        <v>22112582.939835172</v>
      </c>
      <c r="I27" s="214">
        <f>SUM(I15:I26)</f>
        <v>22112582.939835172</v>
      </c>
      <c r="J27" s="214">
        <f>SUM(J15:J26)</f>
        <v>22112582.939835172</v>
      </c>
      <c r="W27" s="214"/>
    </row>
    <row r="28" spans="2:23" x14ac:dyDescent="0.2">
      <c r="C28" s="196">
        <f>C27-V5</f>
        <v>0</v>
      </c>
      <c r="D28" s="196">
        <f>D27-V6</f>
        <v>0</v>
      </c>
      <c r="E28" s="329"/>
      <c r="F28" s="196">
        <f>F27-V8</f>
        <v>0</v>
      </c>
      <c r="H28" s="196">
        <f>H27-V9</f>
        <v>0</v>
      </c>
      <c r="I28" s="196">
        <f>I27-V10</f>
        <v>0</v>
      </c>
      <c r="J28" s="196">
        <f>J27-V11</f>
        <v>0</v>
      </c>
    </row>
    <row r="29" spans="2:23" ht="13.5" thickBot="1" x14ac:dyDescent="0.25"/>
    <row r="30" spans="2:23" x14ac:dyDescent="0.2">
      <c r="B30" s="330" t="s">
        <v>265</v>
      </c>
      <c r="C30" s="324">
        <v>2018</v>
      </c>
      <c r="D30" s="324">
        <v>2019</v>
      </c>
      <c r="E30" s="324"/>
      <c r="F30" s="324">
        <v>2020</v>
      </c>
      <c r="H30" s="331">
        <v>2021</v>
      </c>
      <c r="I30" s="324">
        <v>2022</v>
      </c>
      <c r="J30" s="324">
        <v>2023</v>
      </c>
    </row>
    <row r="31" spans="2:23" x14ac:dyDescent="0.2">
      <c r="B31" s="193" t="s">
        <v>166</v>
      </c>
      <c r="C31" s="214">
        <v>1164111.4099999999</v>
      </c>
      <c r="D31" s="214">
        <v>1495655.43</v>
      </c>
      <c r="F31" s="214">
        <f>D26</f>
        <v>1552768.75</v>
      </c>
      <c r="H31" s="332">
        <f>F26</f>
        <v>1523679.6519426394</v>
      </c>
      <c r="I31" s="196">
        <f>H26</f>
        <v>2085668.4737210933</v>
      </c>
      <c r="J31" s="196">
        <f>I26</f>
        <v>2085668.4737210933</v>
      </c>
      <c r="L31" s="327"/>
      <c r="O31" s="327"/>
      <c r="P31" s="327"/>
      <c r="Q31" s="327"/>
    </row>
    <row r="32" spans="2:23" x14ac:dyDescent="0.2">
      <c r="B32" s="193" t="s">
        <v>167</v>
      </c>
      <c r="C32" s="214">
        <v>1199944.5</v>
      </c>
      <c r="D32" s="214">
        <f>D15</f>
        <v>1300261.1800000002</v>
      </c>
      <c r="F32" s="214">
        <f t="shared" ref="F32:F42" si="6">F15</f>
        <v>1395586.5699999998</v>
      </c>
      <c r="H32" s="332">
        <f t="shared" ref="H32:J42" si="7">H15</f>
        <v>1746502.0150163302</v>
      </c>
      <c r="I32" s="196">
        <f t="shared" si="7"/>
        <v>1746502.0150163302</v>
      </c>
      <c r="J32" s="196">
        <f t="shared" si="7"/>
        <v>1746502.0150163302</v>
      </c>
      <c r="L32" s="327"/>
    </row>
    <row r="33" spans="2:23" x14ac:dyDescent="0.2">
      <c r="B33" s="193" t="s">
        <v>168</v>
      </c>
      <c r="C33" s="214">
        <v>1246173.2699999998</v>
      </c>
      <c r="D33" s="214">
        <f t="shared" ref="D33:D42" si="8">D16</f>
        <v>1345922.41</v>
      </c>
      <c r="F33" s="214">
        <f t="shared" si="6"/>
        <v>1454845.3399999999</v>
      </c>
      <c r="H33" s="332">
        <f t="shared" si="7"/>
        <v>1807833.8700541959</v>
      </c>
      <c r="I33" s="196">
        <f t="shared" si="7"/>
        <v>1807833.8700541959</v>
      </c>
      <c r="J33" s="196">
        <f t="shared" si="7"/>
        <v>1807833.8700541959</v>
      </c>
      <c r="L33" s="327"/>
    </row>
    <row r="34" spans="2:23" x14ac:dyDescent="0.2">
      <c r="B34" s="193" t="s">
        <v>169</v>
      </c>
      <c r="C34" s="214">
        <v>1269994.5899999999</v>
      </c>
      <c r="D34" s="214">
        <f t="shared" si="8"/>
        <v>1359789.78</v>
      </c>
      <c r="F34" s="214">
        <f t="shared" si="6"/>
        <v>1294574.5499999998</v>
      </c>
      <c r="H34" s="332">
        <f t="shared" si="7"/>
        <v>1826460.4275647234</v>
      </c>
      <c r="I34" s="196">
        <f t="shared" si="7"/>
        <v>1826460.4275647234</v>
      </c>
      <c r="J34" s="196">
        <f t="shared" si="7"/>
        <v>1826460.4275647234</v>
      </c>
      <c r="L34" s="327"/>
    </row>
    <row r="35" spans="2:23" x14ac:dyDescent="0.2">
      <c r="B35" s="193" t="s">
        <v>170</v>
      </c>
      <c r="C35" s="214">
        <v>1314173.7699999998</v>
      </c>
      <c r="D35" s="214">
        <f t="shared" si="8"/>
        <v>1455300.79</v>
      </c>
      <c r="F35" s="214">
        <f t="shared" si="6"/>
        <v>1393002.8399999999</v>
      </c>
      <c r="H35" s="332">
        <f t="shared" si="7"/>
        <v>1954750.169646576</v>
      </c>
      <c r="I35" s="196">
        <f t="shared" si="7"/>
        <v>1954750.169646576</v>
      </c>
      <c r="J35" s="196">
        <f t="shared" si="7"/>
        <v>1954750.169646576</v>
      </c>
      <c r="L35" s="327"/>
    </row>
    <row r="36" spans="2:23" x14ac:dyDescent="0.2">
      <c r="B36" s="193" t="s">
        <v>171</v>
      </c>
      <c r="C36" s="214">
        <v>1324087.3800000001</v>
      </c>
      <c r="D36" s="214">
        <f t="shared" si="8"/>
        <v>1424578.2500000002</v>
      </c>
      <c r="F36" s="214">
        <f t="shared" si="6"/>
        <v>1469074.4800000002</v>
      </c>
      <c r="H36" s="332">
        <f t="shared" si="7"/>
        <v>1913483.8618910685</v>
      </c>
      <c r="I36" s="196">
        <f t="shared" si="7"/>
        <v>1913483.8618910685</v>
      </c>
      <c r="J36" s="196">
        <f t="shared" si="7"/>
        <v>1913483.8618910685</v>
      </c>
      <c r="L36" s="327"/>
    </row>
    <row r="37" spans="2:23" x14ac:dyDescent="0.2">
      <c r="B37" s="193" t="s">
        <v>172</v>
      </c>
      <c r="C37" s="214">
        <v>1201326.8599999999</v>
      </c>
      <c r="D37" s="214">
        <f t="shared" si="8"/>
        <v>1357461.55</v>
      </c>
      <c r="F37" s="196">
        <f t="shared" si="6"/>
        <v>1523679.6519426394</v>
      </c>
      <c r="H37" s="332">
        <f t="shared" si="7"/>
        <v>1823333.1647893933</v>
      </c>
      <c r="I37" s="196">
        <f t="shared" si="7"/>
        <v>1823333.1647893933</v>
      </c>
      <c r="J37" s="196">
        <f t="shared" si="7"/>
        <v>1823333.1647893933</v>
      </c>
      <c r="L37" s="327"/>
    </row>
    <row r="38" spans="2:23" x14ac:dyDescent="0.2">
      <c r="B38" s="193" t="s">
        <v>173</v>
      </c>
      <c r="C38" s="214">
        <v>1165615.3899999999</v>
      </c>
      <c r="D38" s="214">
        <f t="shared" si="8"/>
        <v>1195371.06</v>
      </c>
      <c r="F38" s="196">
        <f t="shared" si="6"/>
        <v>1523679.6519426394</v>
      </c>
      <c r="H38" s="332">
        <f t="shared" si="7"/>
        <v>1605614.3158732206</v>
      </c>
      <c r="I38" s="196">
        <f t="shared" si="7"/>
        <v>1605614.3158732206</v>
      </c>
      <c r="J38" s="196">
        <f t="shared" si="7"/>
        <v>1605614.3158732206</v>
      </c>
      <c r="L38" s="327"/>
    </row>
    <row r="39" spans="2:23" x14ac:dyDescent="0.2">
      <c r="B39" s="193" t="s">
        <v>174</v>
      </c>
      <c r="C39" s="214">
        <v>1127479.07</v>
      </c>
      <c r="D39" s="214">
        <f t="shared" si="8"/>
        <v>1254926.53</v>
      </c>
      <c r="F39" s="196">
        <f t="shared" si="6"/>
        <v>1523679.6519426394</v>
      </c>
      <c r="H39" s="332">
        <f t="shared" si="7"/>
        <v>1685608.8200237209</v>
      </c>
      <c r="I39" s="196">
        <f t="shared" si="7"/>
        <v>1685608.8200237209</v>
      </c>
      <c r="J39" s="196">
        <f t="shared" si="7"/>
        <v>1685608.8200237209</v>
      </c>
      <c r="L39" s="327"/>
    </row>
    <row r="40" spans="2:23" x14ac:dyDescent="0.2">
      <c r="B40" s="193" t="s">
        <v>175</v>
      </c>
      <c r="C40" s="214">
        <v>1360706.8699999999</v>
      </c>
      <c r="D40" s="214">
        <f t="shared" si="8"/>
        <v>1385671.28</v>
      </c>
      <c r="F40" s="196">
        <f t="shared" si="6"/>
        <v>1523679.6519426394</v>
      </c>
      <c r="H40" s="332">
        <f t="shared" si="7"/>
        <v>1861224.2831630621</v>
      </c>
      <c r="I40" s="196">
        <f t="shared" si="7"/>
        <v>1861224.2831630621</v>
      </c>
      <c r="J40" s="196">
        <f t="shared" si="7"/>
        <v>1861224.2831630621</v>
      </c>
      <c r="L40" s="327"/>
    </row>
    <row r="41" spans="2:23" x14ac:dyDescent="0.2">
      <c r="B41" s="193" t="s">
        <v>176</v>
      </c>
      <c r="C41" s="214">
        <v>1274537.28</v>
      </c>
      <c r="D41" s="214">
        <f>D24</f>
        <v>1358207.77</v>
      </c>
      <c r="F41" s="196">
        <f t="shared" si="6"/>
        <v>1523679.6519426394</v>
      </c>
      <c r="H41" s="332">
        <f t="shared" si="7"/>
        <v>1824335.4824419478</v>
      </c>
      <c r="I41" s="196">
        <f t="shared" si="7"/>
        <v>1824335.4824419478</v>
      </c>
      <c r="J41" s="196">
        <f t="shared" si="7"/>
        <v>1824335.4824419478</v>
      </c>
      <c r="L41" s="327"/>
    </row>
    <row r="42" spans="2:23" x14ac:dyDescent="0.2">
      <c r="B42" s="193" t="s">
        <v>177</v>
      </c>
      <c r="C42" s="214">
        <v>1348317.61</v>
      </c>
      <c r="D42" s="214">
        <f t="shared" si="8"/>
        <v>1472437.48</v>
      </c>
      <c r="F42" s="196">
        <f t="shared" si="6"/>
        <v>1523679.6519426394</v>
      </c>
      <c r="H42" s="332">
        <f t="shared" si="7"/>
        <v>1977768.0556498405</v>
      </c>
      <c r="I42" s="196">
        <f t="shared" si="7"/>
        <v>1977768.0556498405</v>
      </c>
      <c r="J42" s="196">
        <f t="shared" si="7"/>
        <v>1977768.0556498405</v>
      </c>
      <c r="L42" s="327"/>
    </row>
    <row r="43" spans="2:23" s="197" customFormat="1" ht="13.5" thickBot="1" x14ac:dyDescent="0.25">
      <c r="C43" s="333">
        <f>SUM(C31:C42)</f>
        <v>14996467.999999998</v>
      </c>
      <c r="D43" s="333">
        <f>SUM(D31:D42)</f>
        <v>16405583.51</v>
      </c>
      <c r="F43" s="333">
        <f>SUM(F31:F42)</f>
        <v>17701930.441655833</v>
      </c>
      <c r="H43" s="334">
        <f>SUM(H31:H42)</f>
        <v>21550594.118056718</v>
      </c>
      <c r="I43" s="333">
        <f>SUM(I31:I42)</f>
        <v>22112582.939835172</v>
      </c>
      <c r="J43" s="333">
        <f>SUM(J31:J42)</f>
        <v>22112582.939835172</v>
      </c>
      <c r="L43" s="335"/>
      <c r="W43" s="214"/>
    </row>
    <row r="44" spans="2:23" s="336" customFormat="1" ht="12" thickBot="1" x14ac:dyDescent="0.25">
      <c r="B44" s="337" t="s">
        <v>266</v>
      </c>
      <c r="C44" s="338"/>
      <c r="D44" s="338"/>
      <c r="E44" s="338"/>
      <c r="F44" s="339">
        <f>Sheet3!F44</f>
        <v>17616217</v>
      </c>
      <c r="G44" s="339"/>
      <c r="H44" s="339">
        <f>Sheet3!H44</f>
        <v>18810639</v>
      </c>
      <c r="I44" s="339">
        <f>Sheet3!I44</f>
        <v>18810639</v>
      </c>
      <c r="J44" s="339">
        <f>Sheet3!J44</f>
        <v>18810639</v>
      </c>
      <c r="W44" s="340"/>
    </row>
    <row r="45" spans="2:23" s="341" customFormat="1" ht="13.5" thickBot="1" x14ac:dyDescent="0.25">
      <c r="E45" s="193"/>
      <c r="F45" s="342">
        <f>F44-F43</f>
        <v>-85713.441655833274</v>
      </c>
      <c r="G45" s="341" t="s">
        <v>23</v>
      </c>
      <c r="H45" s="343">
        <f>H44-H43</f>
        <v>-2739955.1180567183</v>
      </c>
      <c r="I45" s="342">
        <f>I44-I43</f>
        <v>-3301943.9398351721</v>
      </c>
      <c r="J45" s="342">
        <f>J44-J43</f>
        <v>-3301943.9398351721</v>
      </c>
      <c r="W45" s="344"/>
    </row>
    <row r="47" spans="2:23" ht="67.5" customHeight="1" x14ac:dyDescent="0.2">
      <c r="B47" s="536" t="s">
        <v>267</v>
      </c>
      <c r="C47" s="536"/>
      <c r="D47" s="536"/>
      <c r="E47" s="536"/>
      <c r="F47" s="536"/>
      <c r="G47" s="536"/>
      <c r="H47" s="536"/>
      <c r="I47" s="536"/>
      <c r="J47" s="536"/>
    </row>
    <row r="48" spans="2:23" ht="12.75" hidden="1" customHeight="1" x14ac:dyDescent="0.2">
      <c r="C48" s="327"/>
    </row>
    <row r="49" spans="2:2" ht="12.75" hidden="1" customHeight="1" x14ac:dyDescent="0.2">
      <c r="B49" s="345" t="s">
        <v>268</v>
      </c>
    </row>
    <row r="50" spans="2:2" ht="12.75" hidden="1" customHeight="1" x14ac:dyDescent="0.2">
      <c r="B50" s="345"/>
    </row>
    <row r="51" spans="2:2" ht="12.75" hidden="1" customHeight="1" x14ac:dyDescent="0.2"/>
  </sheetData>
  <mergeCells count="14">
    <mergeCell ref="T2:T3"/>
    <mergeCell ref="U2:U3"/>
    <mergeCell ref="V2:V3"/>
    <mergeCell ref="B47:J47"/>
    <mergeCell ref="B1:V1"/>
    <mergeCell ref="B2:B4"/>
    <mergeCell ref="C2:F2"/>
    <mergeCell ref="G2:J2"/>
    <mergeCell ref="K2:N2"/>
    <mergeCell ref="O2:O3"/>
    <mergeCell ref="P2:P3"/>
    <mergeCell ref="Q2:Q3"/>
    <mergeCell ref="R2:R3"/>
    <mergeCell ref="S2:S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Pielikums_Anot_III_kopsavilkums</vt:lpstr>
      <vt:lpstr>1.</vt:lpstr>
      <vt:lpstr>1.1.</vt:lpstr>
      <vt:lpstr>1.2.</vt:lpstr>
      <vt:lpstr>1.3.</vt:lpstr>
      <vt:lpstr>1.4.</vt:lpstr>
      <vt:lpstr>2</vt:lpstr>
      <vt:lpstr>Sheet5</vt:lpstr>
      <vt:lpstr>Sheet4</vt:lpstr>
      <vt:lpstr>Sheet3</vt:lpstr>
      <vt:lpstr>Sheet2</vt:lpstr>
      <vt:lpstr>Sheet1</vt:lpstr>
      <vt:lpstr>Sheet</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2020-09-29T06:29:58Z</dcterms:modified>
</cp:coreProperties>
</file>