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http://dauks.mk.gov.lv/Formjamie dokumenti/2020/MK rīkojumi/TA-2177/"/>
    </mc:Choice>
  </mc:AlternateContent>
  <xr:revisionPtr revIDLastSave="0" documentId="13_ncr:1_{F9AC9994-1F8C-429D-B666-9A062B4D46EC}" xr6:coauthVersionLast="45" xr6:coauthVersionMax="45" xr10:uidLastSave="{00000000-0000-0000-0000-000000000000}"/>
  <bookViews>
    <workbookView xWindow="-120" yWindow="-120" windowWidth="29040" windowHeight="15840" tabRatio="956" firstSheet="7" activeTab="30" xr2:uid="{00000000-000D-0000-FFFF-FFFF00000000}"/>
  </bookViews>
  <sheets>
    <sheet name="Kopā_valsts_budžets" sheetId="35" r:id="rId1"/>
    <sheet name="3.3." sheetId="37" r:id="rId2"/>
    <sheet name="3.3.1." sheetId="38" r:id="rId3"/>
    <sheet name="3.6." sheetId="34" r:id="rId4"/>
    <sheet name="3.6.1." sheetId="23" r:id="rId5"/>
    <sheet name="3.6.2." sheetId="24" r:id="rId6"/>
    <sheet name="3.6.3.1." sheetId="25" r:id="rId7"/>
    <sheet name="3.6.3.2." sheetId="26" r:id="rId8"/>
    <sheet name="3.6.4.1." sheetId="27" r:id="rId9"/>
    <sheet name="3.6.4.2." sheetId="28" r:id="rId10"/>
    <sheet name="3.6.5." sheetId="29" r:id="rId11"/>
    <sheet name="3.6.6." sheetId="32" r:id="rId12"/>
    <sheet name="3.6.7." sheetId="30" r:id="rId13"/>
    <sheet name="3.6.8." sheetId="31" r:id="rId14"/>
    <sheet name="4.1." sheetId="5" r:id="rId15"/>
    <sheet name="5.5." sheetId="6" r:id="rId16"/>
    <sheet name="5.5.1." sheetId="7" r:id="rId17"/>
    <sheet name="5.5.2." sheetId="10" r:id="rId18"/>
    <sheet name="5.5.3." sheetId="11" r:id="rId19"/>
    <sheet name="5.8." sheetId="4" r:id="rId20"/>
    <sheet name="5.9." sheetId="3" r:id="rId21"/>
    <sheet name="6.2." sheetId="39" r:id="rId22"/>
    <sheet name="6.2.1." sheetId="12" r:id="rId23"/>
    <sheet name="6.2.1.1." sheetId="13" r:id="rId24"/>
    <sheet name="6.2.1.2." sheetId="14" r:id="rId25"/>
    <sheet name="6.2.1.3." sheetId="15" r:id="rId26"/>
    <sheet name="6.2.1.4." sheetId="16" r:id="rId27"/>
    <sheet name="6.2.2." sheetId="17" r:id="rId28"/>
    <sheet name="6.2.2.1." sheetId="18" r:id="rId29"/>
    <sheet name="Sheet1" sheetId="45" r:id="rId30"/>
    <sheet name="Sheet2" sheetId="46" r:id="rId31"/>
    <sheet name="Sheet3" sheetId="47" r:id="rId32"/>
    <sheet name="Sheet4" sheetId="48" r:id="rId33"/>
    <sheet name="Sheet5" sheetId="49" r:id="rId34"/>
    <sheet name="Sheet6" sheetId="50" r:id="rId35"/>
    <sheet name="Sheet7" sheetId="51" r:id="rId36"/>
    <sheet name="Sheet8" sheetId="52" r:id="rId37"/>
    <sheet name="Sheet9" sheetId="53" r:id="rId38"/>
    <sheet name="Sheet10" sheetId="54" r:id="rId39"/>
    <sheet name="6.2.2.2." sheetId="19" r:id="rId40"/>
    <sheet name="6.2.2.3." sheetId="20" r:id="rId41"/>
    <sheet name="6.2.2.4." sheetId="21" r:id="rId42"/>
    <sheet name="6.3." sheetId="40" r:id="rId43"/>
    <sheet name="6.4." sheetId="41" r:id="rId44"/>
    <sheet name="6.5." sheetId="42" r:id="rId45"/>
    <sheet name="7.3." sheetId="22" r:id="rId46"/>
    <sheet name="8.1." sheetId="43" r:id="rId47"/>
    <sheet name="9.1." sheetId="44" r:id="rId48"/>
  </sheets>
  <externalReferences>
    <externalReference r:id="rId49"/>
    <externalReference r:id="rId50"/>
    <externalReference r:id="rId51"/>
    <externalReference r:id="rId52"/>
    <externalReference r:id="rId53"/>
    <externalReference r:id="rId54"/>
  </externalReferences>
  <definedNames>
    <definedName name="_1_2_d_NMP_lim" localSheetId="11">#REF!</definedName>
    <definedName name="_1_2_d_NMP_lim" localSheetId="13">#REF!</definedName>
    <definedName name="_1_2_d_NMP_lim" localSheetId="45">#REF!</definedName>
    <definedName name="_1_2_d_NMP_lim">#REF!</definedName>
    <definedName name="_xlnm._FilterDatabase" localSheetId="0" hidden="1">Kopā_valsts_budžets!$A$15:$AH$39</definedName>
    <definedName name="_xlnm.Auto_Open" localSheetId="11">#REF!</definedName>
    <definedName name="_xlnm.Auto_Open" localSheetId="13">#REF!</definedName>
    <definedName name="_xlnm.Auto_Open" localSheetId="45">#REF!</definedName>
    <definedName name="_xlnm.Auto_Open">#REF!</definedName>
    <definedName name="b" localSheetId="11">#REF!</definedName>
    <definedName name="b" localSheetId="13">#REF!</definedName>
    <definedName name="b" localSheetId="45">#REF!</definedName>
    <definedName name="b">#REF!</definedName>
    <definedName name="bt" localSheetId="11">#REF!</definedName>
    <definedName name="bt" localSheetId="13">#REF!</definedName>
    <definedName name="bt" localSheetId="45">#REF!</definedName>
    <definedName name="bt">#REF!</definedName>
    <definedName name="BX" localSheetId="11">#REF!</definedName>
    <definedName name="BX" localSheetId="13">#REF!</definedName>
    <definedName name="BX" localSheetId="45">#REF!</definedName>
    <definedName name="BX">#REF!</definedName>
    <definedName name="ccc" localSheetId="11">#REF!</definedName>
    <definedName name="ccc" localSheetId="13">#REF!</definedName>
    <definedName name="ccc" localSheetId="45">#REF!</definedName>
    <definedName name="ccc">#REF!</definedName>
    <definedName name="d" localSheetId="11">#REF!</definedName>
    <definedName name="d" localSheetId="13">#REF!</definedName>
    <definedName name="d" localSheetId="45">#REF!</definedName>
    <definedName name="d">#REF!</definedName>
    <definedName name="D_Evija3" localSheetId="11">#REF!</definedName>
    <definedName name="D_Evija3" localSheetId="13">#REF!</definedName>
    <definedName name="D_Evija3" localSheetId="45">#REF!</definedName>
    <definedName name="D_Evija3">#REF!</definedName>
    <definedName name="de" localSheetId="11">#REF!</definedName>
    <definedName name="de" localSheetId="13">#REF!</definedName>
    <definedName name="de" localSheetId="45">#REF!</definedName>
    <definedName name="de">#REF!</definedName>
    <definedName name="dff">#NAME?</definedName>
    <definedName name="dgdfs" localSheetId="11">#REF!</definedName>
    <definedName name="dgdfs" localSheetId="13">#REF!</definedName>
    <definedName name="dgdfs">#REF!</definedName>
    <definedName name="DRGNAMES" localSheetId="11">#REF!</definedName>
    <definedName name="DRGNAMES" localSheetId="13">#REF!</definedName>
    <definedName name="DRGNAMES" localSheetId="45">#REF!</definedName>
    <definedName name="DRGNAMES">#REF!</definedName>
    <definedName name="e" localSheetId="11">#REF!</definedName>
    <definedName name="e" localSheetId="13">#REF!</definedName>
    <definedName name="e" localSheetId="45">#REF!</definedName>
    <definedName name="e">#REF!</definedName>
    <definedName name="ee" localSheetId="11">#REF!</definedName>
    <definedName name="ee" localSheetId="13">#REF!</definedName>
    <definedName name="ee" localSheetId="45">#REF!</definedName>
    <definedName name="ee">#REF!</definedName>
    <definedName name="gad_skaits" localSheetId="11">#REF!</definedName>
    <definedName name="gad_skaits" localSheetId="13">#REF!</definedName>
    <definedName name="gad_skaits" localSheetId="45">#REF!</definedName>
    <definedName name="gad_skaits">#REF!</definedName>
    <definedName name="gad_skaits_1" localSheetId="11">#REF!</definedName>
    <definedName name="gad_skaits_1" localSheetId="13">#REF!</definedName>
    <definedName name="gad_skaits_1" localSheetId="45">#REF!</definedName>
    <definedName name="gad_skaits_1">#REF!</definedName>
    <definedName name="gggg" localSheetId="11">#REF!</definedName>
    <definedName name="gggg" localSheetId="13">#REF!</definedName>
    <definedName name="gggg">#REF!</definedName>
    <definedName name="ghy" localSheetId="11">#REF!</definedName>
    <definedName name="ghy" localSheetId="13">#REF!</definedName>
    <definedName name="ghy" localSheetId="45">#REF!</definedName>
    <definedName name="ghy">#REF!</definedName>
    <definedName name="h" localSheetId="11">#REF!</definedName>
    <definedName name="h" localSheetId="13">#REF!</definedName>
    <definedName name="h" localSheetId="45">#REF!</definedName>
    <definedName name="h">#REF!</definedName>
    <definedName name="hh" localSheetId="11">#REF!</definedName>
    <definedName name="hh" localSheetId="13">#REF!</definedName>
    <definedName name="hh">#REF!</definedName>
    <definedName name="hjh" localSheetId="11">#REF!</definedName>
    <definedName name="hjh" localSheetId="13">#REF!</definedName>
    <definedName name="hjh" localSheetId="45">#REF!</definedName>
    <definedName name="hjh">#REF!</definedName>
    <definedName name="hyh" localSheetId="11">#REF!</definedName>
    <definedName name="hyh" localSheetId="13">#REF!</definedName>
    <definedName name="hyh" localSheetId="45">#REF!</definedName>
    <definedName name="hyh">#REF!</definedName>
    <definedName name="i" localSheetId="11">#REF!</definedName>
    <definedName name="i" localSheetId="13">#REF!</definedName>
    <definedName name="i" localSheetId="45">#REF!</definedName>
    <definedName name="i">#REF!</definedName>
    <definedName name="izm.kods" localSheetId="11">#REF!</definedName>
    <definedName name="izm.kods" localSheetId="13">#REF!</definedName>
    <definedName name="izm.kods">#REF!</definedName>
    <definedName name="izm.kods_1">[1]izm.posteni!$A$2:$A$216</definedName>
    <definedName name="izm.nos" localSheetId="11">#REF!</definedName>
    <definedName name="izm.nos" localSheetId="13">#REF!</definedName>
    <definedName name="izm.nos">#REF!</definedName>
    <definedName name="izm.nos_1">[1]izm.posteni!$B$2:$B$216</definedName>
    <definedName name="jhg" localSheetId="11">#REF!</definedName>
    <definedName name="jhg" localSheetId="13">#REF!</definedName>
    <definedName name="jhg" localSheetId="45">#REF!</definedName>
    <definedName name="jhg">#REF!</definedName>
    <definedName name="kk" localSheetId="11">#REF!</definedName>
    <definedName name="kk" localSheetId="13">#REF!</definedName>
    <definedName name="kk" localSheetId="45">#REF!</definedName>
    <definedName name="kk">#REF!</definedName>
    <definedName name="l" localSheetId="11">#REF!</definedName>
    <definedName name="l" localSheetId="13">#REF!</definedName>
    <definedName name="l" localSheetId="45">#REF!</definedName>
    <definedName name="l">#REF!</definedName>
    <definedName name="Limeni_7_9group" localSheetId="11">#REF!</definedName>
    <definedName name="Limeni_7_9group" localSheetId="13">#REF!</definedName>
    <definedName name="Limeni_7_9group" localSheetId="45">#REF!</definedName>
    <definedName name="Limeni_7_9group">#REF!</definedName>
    <definedName name="n" localSheetId="11">#REF!</definedName>
    <definedName name="n" localSheetId="13">#REF!</definedName>
    <definedName name="n" localSheetId="45">#REF!</definedName>
    <definedName name="n">#REF!</definedName>
    <definedName name="P_Dati_rikojums" localSheetId="11">#REF!</definedName>
    <definedName name="P_Dati_rikojums" localSheetId="13">#REF!</definedName>
    <definedName name="P_Dati_rikojums">#REF!</definedName>
    <definedName name="pp" localSheetId="11">#REF!</definedName>
    <definedName name="pp" localSheetId="13">#REF!</definedName>
    <definedName name="pp" localSheetId="45">#REF!</definedName>
    <definedName name="pp">#REF!</definedName>
    <definedName name="Recover">[2]Macro1!$A$80</definedName>
    <definedName name="Rikojums2222">[3]Macro1!$A$106</definedName>
    <definedName name="rr" localSheetId="11">#REF!</definedName>
    <definedName name="rr" localSheetId="13">#REF!</definedName>
    <definedName name="rr" localSheetId="45">#REF!</definedName>
    <definedName name="rr">#REF!</definedName>
    <definedName name="rt" localSheetId="11">#REF!</definedName>
    <definedName name="rt" localSheetId="13">#REF!</definedName>
    <definedName name="rt" localSheetId="45">#REF!</definedName>
    <definedName name="rt">#REF!</definedName>
    <definedName name="rty" localSheetId="11">#REF!</definedName>
    <definedName name="rty" localSheetId="13">#REF!</definedName>
    <definedName name="rty" localSheetId="45">#REF!</definedName>
    <definedName name="rty">#REF!</definedName>
    <definedName name="S5\" localSheetId="11">#REF!</definedName>
    <definedName name="S5\" localSheetId="13">#REF!</definedName>
    <definedName name="S5\" localSheetId="45">#REF!</definedName>
    <definedName name="S5\">#REF!</definedName>
    <definedName name="ss" localSheetId="11">#REF!</definedName>
    <definedName name="ss" localSheetId="13">#REF!</definedName>
    <definedName name="ss" localSheetId="45">#REF!</definedName>
    <definedName name="ss">#REF!</definedName>
    <definedName name="Str." localSheetId="11">#REF!</definedName>
    <definedName name="Str." localSheetId="13">#REF!</definedName>
    <definedName name="Str.">#REF!</definedName>
    <definedName name="Str.vien.nos." localSheetId="11">#REF!</definedName>
    <definedName name="Str.vien.nos." localSheetId="13">#REF!</definedName>
    <definedName name="Str.vien.nos.">#REF!</definedName>
    <definedName name="Struktura" localSheetId="11">#REF!</definedName>
    <definedName name="Struktura" localSheetId="13">#REF!</definedName>
    <definedName name="Struktura">#REF!</definedName>
    <definedName name="Struktūrvien.kodi2" localSheetId="11">#REF!</definedName>
    <definedName name="Struktūrvien.kodi2" localSheetId="13">#REF!</definedName>
    <definedName name="Struktūrvien.kodi2">#REF!</definedName>
    <definedName name="Struktūrvien.kodi2_1">[1]strukturkodi!$B$2:$B$232</definedName>
    <definedName name="Struktūrvien.kods" localSheetId="11">#REF!</definedName>
    <definedName name="Struktūrvien.kods" localSheetId="13">#REF!</definedName>
    <definedName name="Struktūrvien.kods">#REF!</definedName>
    <definedName name="Struktūrvien.kods_1">[1]strukturkodi!$A$2:$A$232</definedName>
    <definedName name="TableName">"Dummy"</definedName>
    <definedName name="ty" localSheetId="11">#REF!</definedName>
    <definedName name="ty" localSheetId="13">#REF!</definedName>
    <definedName name="ty" localSheetId="45">#REF!</definedName>
    <definedName name="ty">#REF!</definedName>
    <definedName name="tyuj" localSheetId="11">#REF!</definedName>
    <definedName name="tyuj" localSheetId="13">#REF!</definedName>
    <definedName name="tyuj" localSheetId="45">#REF!</definedName>
    <definedName name="tyuj">#REF!</definedName>
    <definedName name="u" localSheetId="11">#REF!</definedName>
    <definedName name="u" localSheetId="13">#REF!</definedName>
    <definedName name="u" localSheetId="45">#REF!</definedName>
    <definedName name="u">#REF!</definedName>
    <definedName name="U_N_A" localSheetId="11">#REF!</definedName>
    <definedName name="U_N_A" localSheetId="13">#REF!</definedName>
    <definedName name="U_N_A" localSheetId="45">#REF!</definedName>
    <definedName name="U_N_A">#REF!</definedName>
    <definedName name="wedr" localSheetId="11">#REF!</definedName>
    <definedName name="wedr" localSheetId="13">#REF!</definedName>
    <definedName name="wedr" localSheetId="45">#REF!</definedName>
    <definedName name="wedr">#REF!</definedName>
    <definedName name="x" localSheetId="11">#REF!</definedName>
    <definedName name="x" localSheetId="13">#REF!</definedName>
    <definedName name="x" localSheetId="45">#REF!</definedName>
    <definedName name="x">#REF!</definedName>
    <definedName name="XBD">[4]Dati!$B$6</definedName>
    <definedName name="XDD">[4]Dati!$B$4</definedName>
    <definedName name="XDS">[4]Dati!$B$5</definedName>
    <definedName name="XSVD">[4]Dati!$B$7</definedName>
    <definedName name="xxxx" localSheetId="11">#REF!</definedName>
    <definedName name="xxxx" localSheetId="13">#REF!</definedName>
    <definedName name="xxxx" localSheetId="45">#REF!</definedName>
    <definedName name="xxxx">#REF!</definedName>
    <definedName name="yuh" localSheetId="11">#REF!</definedName>
    <definedName name="yuh" localSheetId="13">#REF!</definedName>
    <definedName name="yuh" localSheetId="45">#REF!</definedName>
    <definedName name="yuh">#REF!</definedName>
    <definedName name="yyyy" localSheetId="11">#REF!</definedName>
    <definedName name="yyyy" localSheetId="13">#REF!</definedName>
    <definedName name="yyyy" localSheetId="45">#REF!</definedName>
    <definedName name="yyyy">#REF!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34" i="44" l="1"/>
  <c r="G34" i="44"/>
  <c r="G33" i="44"/>
  <c r="G32" i="44"/>
  <c r="G31" i="44"/>
  <c r="G30" i="44"/>
  <c r="G29" i="44"/>
  <c r="G26" i="44"/>
  <c r="G27" i="44"/>
  <c r="G25" i="44"/>
  <c r="G17" i="44"/>
  <c r="G18" i="44"/>
  <c r="G20" i="44"/>
  <c r="G21" i="44"/>
  <c r="G22" i="44"/>
  <c r="G23" i="44"/>
  <c r="G16" i="44"/>
  <c r="J35" i="44"/>
  <c r="J34" i="44"/>
  <c r="K34" i="44" s="1"/>
  <c r="F28" i="44"/>
  <c r="F19" i="44"/>
  <c r="K35" i="44" l="1"/>
  <c r="F24" i="44"/>
  <c r="G28" i="44"/>
  <c r="G24" i="44" s="1"/>
  <c r="G19" i="44"/>
  <c r="G15" i="44" s="1"/>
  <c r="F15" i="44"/>
  <c r="F36" i="44" s="1"/>
  <c r="L34" i="44"/>
  <c r="M34" i="44" s="1"/>
  <c r="H36" i="44" l="1"/>
  <c r="G36" i="44"/>
  <c r="G35" i="44" s="1"/>
  <c r="N34" i="44"/>
  <c r="O34" i="44" s="1"/>
  <c r="J36" i="44" l="1"/>
  <c r="I36" i="44"/>
  <c r="K36" i="44" s="1"/>
  <c r="H15" i="44"/>
  <c r="P34" i="44"/>
  <c r="Q34" i="44" s="1"/>
  <c r="D17" i="43"/>
  <c r="I20" i="42"/>
  <c r="J20" i="42" s="1"/>
  <c r="K20" i="42"/>
  <c r="H9" i="14"/>
  <c r="D32" i="4"/>
  <c r="J34" i="6"/>
  <c r="K34" i="6" s="1"/>
  <c r="G19" i="6"/>
  <c r="F22" i="6"/>
  <c r="D22" i="6"/>
  <c r="E22" i="6" s="1"/>
  <c r="L12" i="5"/>
  <c r="J17" i="25"/>
  <c r="P17" i="25" s="1"/>
  <c r="V17" i="25" s="1"/>
  <c r="H18" i="24"/>
  <c r="D12" i="38"/>
  <c r="D15" i="38"/>
  <c r="D11" i="38"/>
  <c r="L20" i="42" l="1"/>
  <c r="I18" i="24"/>
  <c r="M34" i="6"/>
  <c r="N34" i="6" s="1"/>
  <c r="N16" i="44"/>
  <c r="O16" i="44" s="1"/>
  <c r="P17" i="44"/>
  <c r="Q17" i="44" s="1"/>
  <c r="L17" i="44"/>
  <c r="M17" i="44" s="1"/>
  <c r="P18" i="44"/>
  <c r="Q18" i="44" s="1"/>
  <c r="L18" i="44"/>
  <c r="M18" i="44" s="1"/>
  <c r="P23" i="44"/>
  <c r="Q23" i="44" s="1"/>
  <c r="P19" i="44"/>
  <c r="Q19" i="44" s="1"/>
  <c r="H19" i="44"/>
  <c r="I19" i="44" s="1"/>
  <c r="H21" i="44"/>
  <c r="I21" i="44" s="1"/>
  <c r="P20" i="44"/>
  <c r="Q20" i="44" s="1"/>
  <c r="L20" i="44"/>
  <c r="M20" i="44" s="1"/>
  <c r="P21" i="44"/>
  <c r="Q21" i="44" s="1"/>
  <c r="L21" i="44"/>
  <c r="M21" i="44" s="1"/>
  <c r="P22" i="44"/>
  <c r="Q22" i="44" s="1"/>
  <c r="L22" i="44"/>
  <c r="M22" i="44" s="1"/>
  <c r="L23" i="44"/>
  <c r="M23" i="44" s="1"/>
  <c r="N23" i="44"/>
  <c r="O23" i="44" s="1"/>
  <c r="P16" i="44"/>
  <c r="Q16" i="44" s="1"/>
  <c r="L16" i="44"/>
  <c r="M16" i="44" s="1"/>
  <c r="N17" i="44"/>
  <c r="O17" i="44" s="1"/>
  <c r="H20" i="44"/>
  <c r="I20" i="44" s="1"/>
  <c r="N18" i="44"/>
  <c r="O18" i="44" s="1"/>
  <c r="H17" i="44"/>
  <c r="I17" i="44" s="1"/>
  <c r="L19" i="44"/>
  <c r="M19" i="44" s="1"/>
  <c r="H18" i="44"/>
  <c r="I18" i="44" s="1"/>
  <c r="N20" i="44"/>
  <c r="O20" i="44" s="1"/>
  <c r="H23" i="44"/>
  <c r="I23" i="44" s="1"/>
  <c r="N21" i="44"/>
  <c r="O21" i="44" s="1"/>
  <c r="H16" i="44"/>
  <c r="I16" i="44" s="1"/>
  <c r="N22" i="44"/>
  <c r="O22" i="44" s="1"/>
  <c r="N19" i="44"/>
  <c r="O19" i="44" s="1"/>
  <c r="H22" i="44"/>
  <c r="H33" i="44"/>
  <c r="I33" i="44" s="1"/>
  <c r="J33" i="44"/>
  <c r="K33" i="44" s="1"/>
  <c r="L24" i="44"/>
  <c r="H24" i="44"/>
  <c r="N24" i="44"/>
  <c r="P24" i="44"/>
  <c r="L36" i="44"/>
  <c r="M36" i="44" s="1"/>
  <c r="M42" i="44" l="1"/>
  <c r="M15" i="44"/>
  <c r="M43" i="44" s="1"/>
  <c r="I22" i="44"/>
  <c r="I15" i="44" s="1"/>
  <c r="I35" i="44" s="1"/>
  <c r="N31" i="44"/>
  <c r="O31" i="44" s="1"/>
  <c r="L27" i="44"/>
  <c r="M27" i="44" s="1"/>
  <c r="L30" i="44"/>
  <c r="M30" i="44" s="1"/>
  <c r="H26" i="44"/>
  <c r="I26" i="44" s="1"/>
  <c r="L31" i="44"/>
  <c r="M31" i="44" s="1"/>
  <c r="L25" i="44"/>
  <c r="M25" i="44" s="1"/>
  <c r="L28" i="44"/>
  <c r="M28" i="44" s="1"/>
  <c r="P32" i="44"/>
  <c r="Q32" i="44" s="1"/>
  <c r="L29" i="44"/>
  <c r="M29" i="44" s="1"/>
  <c r="N30" i="44"/>
  <c r="O30" i="44" s="1"/>
  <c r="H31" i="44"/>
  <c r="I31" i="44" s="1"/>
  <c r="N25" i="44"/>
  <c r="O25" i="44" s="1"/>
  <c r="N28" i="44"/>
  <c r="O28" i="44" s="1"/>
  <c r="N29" i="44"/>
  <c r="O29" i="44" s="1"/>
  <c r="N27" i="44"/>
  <c r="O27" i="44" s="1"/>
  <c r="P28" i="44"/>
  <c r="Q28" i="44" s="1"/>
  <c r="P27" i="44"/>
  <c r="Q27" i="44" s="1"/>
  <c r="P30" i="44"/>
  <c r="Q30" i="44" s="1"/>
  <c r="N26" i="44"/>
  <c r="O26" i="44" s="1"/>
  <c r="P31" i="44"/>
  <c r="Q31" i="44" s="1"/>
  <c r="P25" i="44"/>
  <c r="Q25" i="44" s="1"/>
  <c r="H30" i="44"/>
  <c r="I30" i="44" s="1"/>
  <c r="P29" i="44"/>
  <c r="Q29" i="44" s="1"/>
  <c r="H27" i="44"/>
  <c r="I27" i="44" s="1"/>
  <c r="L26" i="44"/>
  <c r="M26" i="44" s="1"/>
  <c r="P26" i="44"/>
  <c r="Q26" i="44" s="1"/>
  <c r="H25" i="44"/>
  <c r="I25" i="44" s="1"/>
  <c r="H28" i="44"/>
  <c r="I28" i="44" s="1"/>
  <c r="H32" i="44"/>
  <c r="I32" i="44" s="1"/>
  <c r="H29" i="44"/>
  <c r="I29" i="44" s="1"/>
  <c r="N32" i="44"/>
  <c r="O32" i="44" s="1"/>
  <c r="L32" i="44"/>
  <c r="M32" i="44" s="1"/>
  <c r="Q15" i="44"/>
  <c r="O43" i="44" s="1"/>
  <c r="O15" i="44"/>
  <c r="N43" i="44" s="1"/>
  <c r="M35" i="44"/>
  <c r="E39" i="35" s="1"/>
  <c r="L15" i="44"/>
  <c r="N36" i="44"/>
  <c r="H38" i="35"/>
  <c r="H15" i="35" s="1"/>
  <c r="K7" i="43"/>
  <c r="J7" i="43"/>
  <c r="D18" i="43"/>
  <c r="I38" i="35" s="1"/>
  <c r="I15" i="35" s="1"/>
  <c r="D19" i="43"/>
  <c r="L7" i="43" s="1"/>
  <c r="J38" i="35" l="1"/>
  <c r="L38" i="35" s="1"/>
  <c r="L15" i="35" s="1"/>
  <c r="M44" i="44"/>
  <c r="F39" i="35"/>
  <c r="F14" i="35" s="1"/>
  <c r="G39" i="35"/>
  <c r="G14" i="35" s="1"/>
  <c r="E14" i="35"/>
  <c r="L33" i="44"/>
  <c r="M33" i="44" s="1"/>
  <c r="Q24" i="44"/>
  <c r="M24" i="44"/>
  <c r="O24" i="44"/>
  <c r="I24" i="44"/>
  <c r="P36" i="44"/>
  <c r="O36" i="44"/>
  <c r="O35" i="44" s="1"/>
  <c r="N15" i="44"/>
  <c r="J15" i="35"/>
  <c r="W18" i="25"/>
  <c r="Y18" i="25" s="1"/>
  <c r="W17" i="25"/>
  <c r="Y17" i="25" s="1"/>
  <c r="V17" i="26"/>
  <c r="X17" i="26" s="1"/>
  <c r="V17" i="28"/>
  <c r="N33" i="44" l="1"/>
  <c r="O33" i="44" s="1"/>
  <c r="O42" i="44" s="1"/>
  <c r="M45" i="44"/>
  <c r="N42" i="44"/>
  <c r="N44" i="44" s="1"/>
  <c r="Q36" i="44"/>
  <c r="Q35" i="44" s="1"/>
  <c r="P15" i="44"/>
  <c r="P33" i="44" s="1"/>
  <c r="J26" i="35"/>
  <c r="L26" i="35" s="1"/>
  <c r="I26" i="35"/>
  <c r="Z19" i="32"/>
  <c r="X19" i="32"/>
  <c r="V19" i="32"/>
  <c r="Z18" i="32"/>
  <c r="X18" i="32"/>
  <c r="V18" i="32"/>
  <c r="V16" i="32"/>
  <c r="Z15" i="32"/>
  <c r="Z17" i="32" s="1"/>
  <c r="X15" i="32"/>
  <c r="X16" i="32" s="1"/>
  <c r="V15" i="32"/>
  <c r="V17" i="32" s="1"/>
  <c r="T15" i="32"/>
  <c r="L21" i="32"/>
  <c r="L20" i="32"/>
  <c r="T19" i="32"/>
  <c r="L19" i="32"/>
  <c r="T18" i="32"/>
  <c r="L18" i="32"/>
  <c r="N17" i="32"/>
  <c r="L17" i="32" s="1"/>
  <c r="N16" i="32"/>
  <c r="L16" i="32" s="1"/>
  <c r="J16" i="32"/>
  <c r="N15" i="32"/>
  <c r="M15" i="32"/>
  <c r="F15" i="32"/>
  <c r="E15" i="32"/>
  <c r="H15" i="32" s="1"/>
  <c r="J10" i="32"/>
  <c r="J19" i="32" s="1"/>
  <c r="I10" i="32"/>
  <c r="I20" i="32" s="1"/>
  <c r="H10" i="32"/>
  <c r="H21" i="32" s="1"/>
  <c r="J16" i="29"/>
  <c r="J15" i="29"/>
  <c r="E15" i="29"/>
  <c r="J14" i="29"/>
  <c r="E14" i="29"/>
  <c r="J13" i="29"/>
  <c r="E13" i="29"/>
  <c r="J12" i="29"/>
  <c r="E12" i="29"/>
  <c r="X17" i="28"/>
  <c r="I11" i="28"/>
  <c r="I17" i="28" s="1"/>
  <c r="H11" i="28"/>
  <c r="H17" i="28" s="1"/>
  <c r="G11" i="28"/>
  <c r="G17" i="28" s="1"/>
  <c r="V17" i="27"/>
  <c r="X17" i="27" s="1"/>
  <c r="R17" i="27"/>
  <c r="G17" i="27"/>
  <c r="I11" i="27"/>
  <c r="I17" i="27" s="1"/>
  <c r="H11" i="27"/>
  <c r="H17" i="27" s="1"/>
  <c r="G11" i="27"/>
  <c r="I11" i="26"/>
  <c r="I17" i="26" s="1"/>
  <c r="H11" i="26"/>
  <c r="H17" i="26" s="1"/>
  <c r="G11" i="26"/>
  <c r="G17" i="26" s="1"/>
  <c r="J17" i="28" l="1"/>
  <c r="J17" i="29"/>
  <c r="I21" i="29" s="1"/>
  <c r="X17" i="32"/>
  <c r="H18" i="32"/>
  <c r="J20" i="32"/>
  <c r="J17" i="26"/>
  <c r="E16" i="29"/>
  <c r="H19" i="32"/>
  <c r="P19" i="32" s="1"/>
  <c r="L6" i="44"/>
  <c r="H39" i="35" s="1"/>
  <c r="Q33" i="44"/>
  <c r="O45" i="44" s="1"/>
  <c r="N6" i="44" s="1"/>
  <c r="J39" i="35" s="1"/>
  <c r="N45" i="44"/>
  <c r="M6" i="44" s="1"/>
  <c r="I39" i="35" s="1"/>
  <c r="O44" i="44"/>
  <c r="L15" i="32"/>
  <c r="D20" i="29"/>
  <c r="G25" i="29" s="1"/>
  <c r="F6" i="29" s="1"/>
  <c r="P11" i="34" s="1"/>
  <c r="J22" i="35" s="1"/>
  <c r="L22" i="35" s="1"/>
  <c r="D19" i="29"/>
  <c r="D18" i="29"/>
  <c r="I19" i="29"/>
  <c r="I20" i="29"/>
  <c r="I21" i="32"/>
  <c r="I15" i="32"/>
  <c r="K15" i="32" s="1"/>
  <c r="Z16" i="32"/>
  <c r="J17" i="32"/>
  <c r="J15" i="32"/>
  <c r="H16" i="32"/>
  <c r="J18" i="32"/>
  <c r="I19" i="32"/>
  <c r="H20" i="32"/>
  <c r="I17" i="32"/>
  <c r="I18" i="32"/>
  <c r="J21" i="32"/>
  <c r="I16" i="32"/>
  <c r="H17" i="32"/>
  <c r="I18" i="29"/>
  <c r="D17" i="29"/>
  <c r="J17" i="27"/>
  <c r="O17" i="28"/>
  <c r="N17" i="28"/>
  <c r="M17" i="28"/>
  <c r="P17" i="28"/>
  <c r="N17" i="27"/>
  <c r="M17" i="27"/>
  <c r="O17" i="27"/>
  <c r="N17" i="26"/>
  <c r="O17" i="26"/>
  <c r="M17" i="26"/>
  <c r="P17" i="26" l="1"/>
  <c r="K21" i="32"/>
  <c r="U17" i="26"/>
  <c r="G6" i="26" s="1"/>
  <c r="R18" i="32"/>
  <c r="P21" i="32"/>
  <c r="K18" i="32"/>
  <c r="R21" i="32"/>
  <c r="L39" i="35"/>
  <c r="P17" i="27"/>
  <c r="U17" i="27" s="1"/>
  <c r="G23" i="29"/>
  <c r="D6" i="29" s="1"/>
  <c r="N11" i="34" s="1"/>
  <c r="H22" i="35" s="1"/>
  <c r="G24" i="29"/>
  <c r="E6" i="29" s="1"/>
  <c r="O11" i="34" s="1"/>
  <c r="I22" i="35" s="1"/>
  <c r="K19" i="32"/>
  <c r="R19" i="32"/>
  <c r="K16" i="32"/>
  <c r="P16" i="32"/>
  <c r="R16" i="32"/>
  <c r="Q16" i="32"/>
  <c r="Q21" i="32"/>
  <c r="P15" i="32"/>
  <c r="P20" i="32"/>
  <c r="K20" i="32"/>
  <c r="Q20" i="32"/>
  <c r="R20" i="32"/>
  <c r="R15" i="32"/>
  <c r="R17" i="32"/>
  <c r="P17" i="32"/>
  <c r="Q17" i="32"/>
  <c r="K17" i="32"/>
  <c r="P18" i="32"/>
  <c r="Q15" i="32"/>
  <c r="Q18" i="32"/>
  <c r="Q19" i="32"/>
  <c r="G6" i="27"/>
  <c r="Y17" i="28"/>
  <c r="I6" i="28" s="1"/>
  <c r="U17" i="28"/>
  <c r="G6" i="28" s="1"/>
  <c r="W17" i="28"/>
  <c r="H6" i="28" s="1"/>
  <c r="S17" i="28"/>
  <c r="Y17" i="27"/>
  <c r="W17" i="27"/>
  <c r="S17" i="27"/>
  <c r="Y17" i="26"/>
  <c r="I6" i="26" s="1"/>
  <c r="W17" i="26"/>
  <c r="H6" i="26" s="1"/>
  <c r="S17" i="26"/>
  <c r="S21" i="32" l="1"/>
  <c r="S16" i="32"/>
  <c r="S18" i="32"/>
  <c r="S17" i="32"/>
  <c r="AA17" i="32" s="1"/>
  <c r="AK17" i="32" s="1"/>
  <c r="S20" i="32"/>
  <c r="U20" i="32" s="1"/>
  <c r="S15" i="32"/>
  <c r="Y15" i="32" s="1"/>
  <c r="Y16" i="32"/>
  <c r="AI16" i="32" s="1"/>
  <c r="AA16" i="32"/>
  <c r="AK16" i="32" s="1"/>
  <c r="W16" i="32"/>
  <c r="AG16" i="32" s="1"/>
  <c r="U16" i="32"/>
  <c r="AE16" i="32" s="1"/>
  <c r="AA21" i="32"/>
  <c r="W21" i="32"/>
  <c r="U21" i="32"/>
  <c r="Y21" i="32"/>
  <c r="AA18" i="32"/>
  <c r="Y18" i="32"/>
  <c r="W18" i="32"/>
  <c r="U18" i="32"/>
  <c r="W20" i="32"/>
  <c r="AA20" i="32"/>
  <c r="Y20" i="32"/>
  <c r="U17" i="32"/>
  <c r="AE17" i="32" s="1"/>
  <c r="S19" i="32"/>
  <c r="N10" i="34"/>
  <c r="H21" i="35" s="1"/>
  <c r="H6" i="27"/>
  <c r="O10" i="34"/>
  <c r="I21" i="35" s="1"/>
  <c r="I6" i="27"/>
  <c r="P10" i="34"/>
  <c r="J21" i="35" s="1"/>
  <c r="L21" i="35" s="1"/>
  <c r="Y17" i="32" l="1"/>
  <c r="AI17" i="32" s="1"/>
  <c r="W17" i="32"/>
  <c r="AG17" i="32" s="1"/>
  <c r="W15" i="32"/>
  <c r="AG15" i="32" s="1"/>
  <c r="U15" i="32"/>
  <c r="AE15" i="32" s="1"/>
  <c r="AA15" i="32"/>
  <c r="AK15" i="32" s="1"/>
  <c r="AH20" i="32"/>
  <c r="AI20" i="32"/>
  <c r="AH21" i="32"/>
  <c r="AI21" i="32"/>
  <c r="AF18" i="32"/>
  <c r="AG18" i="32"/>
  <c r="AF20" i="32"/>
  <c r="AG20" i="32"/>
  <c r="AH18" i="32"/>
  <c r="AI18" i="32"/>
  <c r="AG21" i="32"/>
  <c r="AF21" i="32"/>
  <c r="AD18" i="32"/>
  <c r="AE18" i="32"/>
  <c r="AK20" i="32"/>
  <c r="AJ20" i="32"/>
  <c r="AE21" i="32"/>
  <c r="AD21" i="32"/>
  <c r="Y19" i="32"/>
  <c r="Y22" i="32" s="1"/>
  <c r="G6" i="32" s="1"/>
  <c r="O12" i="34" s="1"/>
  <c r="U19" i="32"/>
  <c r="AA19" i="32"/>
  <c r="W19" i="32"/>
  <c r="AD20" i="32"/>
  <c r="AE20" i="32"/>
  <c r="AJ18" i="32"/>
  <c r="AK18" i="32"/>
  <c r="AK21" i="32"/>
  <c r="AJ21" i="32"/>
  <c r="AI15" i="32"/>
  <c r="W22" i="32" l="1"/>
  <c r="F6" i="32" s="1"/>
  <c r="N12" i="34" s="1"/>
  <c r="U22" i="32"/>
  <c r="AK19" i="32"/>
  <c r="AK22" i="32" s="1"/>
  <c r="J23" i="35" s="1"/>
  <c r="L23" i="35" s="1"/>
  <c r="AJ19" i="32"/>
  <c r="AJ22" i="32" s="1"/>
  <c r="J24" i="35" s="1"/>
  <c r="L24" i="35" s="1"/>
  <c r="AE19" i="32"/>
  <c r="AD19" i="32"/>
  <c r="AF19" i="32"/>
  <c r="AF22" i="32" s="1"/>
  <c r="H24" i="35" s="1"/>
  <c r="AG19" i="32"/>
  <c r="AG22" i="32" s="1"/>
  <c r="H23" i="35" s="1"/>
  <c r="AE22" i="32"/>
  <c r="AI19" i="32"/>
  <c r="AI22" i="32" s="1"/>
  <c r="I23" i="35" s="1"/>
  <c r="AH19" i="32"/>
  <c r="AH22" i="32" s="1"/>
  <c r="I24" i="35" s="1"/>
  <c r="AD22" i="32"/>
  <c r="AA22" i="32"/>
  <c r="H6" i="32" s="1"/>
  <c r="P12" i="34" s="1"/>
  <c r="Z18" i="25" l="1"/>
  <c r="Z17" i="25"/>
  <c r="X18" i="25"/>
  <c r="X17" i="25"/>
  <c r="V18" i="25"/>
  <c r="V19" i="25" s="1"/>
  <c r="G6" i="25" s="1"/>
  <c r="N9" i="34" s="1"/>
  <c r="H20" i="35" s="1"/>
  <c r="X19" i="25" l="1"/>
  <c r="H6" i="25" s="1"/>
  <c r="O9" i="34" s="1"/>
  <c r="I20" i="35" s="1"/>
  <c r="Z19" i="25"/>
  <c r="I6" i="25" s="1"/>
  <c r="P9" i="34" s="1"/>
  <c r="J20" i="35" s="1"/>
  <c r="L20" i="35" s="1"/>
  <c r="J18" i="24"/>
  <c r="K18" i="24" s="1"/>
  <c r="G6" i="24" l="1"/>
  <c r="F13" i="23" l="1"/>
  <c r="H13" i="23" s="1"/>
  <c r="F12" i="23"/>
  <c r="F11" i="23" s="1"/>
  <c r="E11" i="23"/>
  <c r="I13" i="23"/>
  <c r="K13" i="23" s="1"/>
  <c r="L13" i="23" s="1"/>
  <c r="D13" i="23"/>
  <c r="I12" i="23"/>
  <c r="K12" i="23" s="1"/>
  <c r="G11" i="23"/>
  <c r="C11" i="23"/>
  <c r="D12" i="23" l="1"/>
  <c r="D11" i="23" s="1"/>
  <c r="H12" i="23"/>
  <c r="L12" i="23"/>
  <c r="L11" i="23"/>
  <c r="H5" i="23" s="1"/>
  <c r="P7" i="34" s="1"/>
  <c r="J18" i="35" s="1"/>
  <c r="L18" i="35" s="1"/>
  <c r="K11" i="23"/>
  <c r="H11" i="23"/>
  <c r="F5" i="23" s="1"/>
  <c r="N7" i="34" s="1"/>
  <c r="H18" i="35" s="1"/>
  <c r="J13" i="23"/>
  <c r="I11" i="23"/>
  <c r="J12" i="23"/>
  <c r="K11" i="35"/>
  <c r="F12" i="35"/>
  <c r="G12" i="35"/>
  <c r="I12" i="35"/>
  <c r="J12" i="35"/>
  <c r="K12" i="35"/>
  <c r="L12" i="35"/>
  <c r="E12" i="35"/>
  <c r="K10" i="35"/>
  <c r="F9" i="35"/>
  <c r="G9" i="35"/>
  <c r="K9" i="35"/>
  <c r="E9" i="35"/>
  <c r="K8" i="35"/>
  <c r="F7" i="35"/>
  <c r="G7" i="35"/>
  <c r="K7" i="35"/>
  <c r="E7" i="35"/>
  <c r="E13" i="35"/>
  <c r="F13" i="35"/>
  <c r="G13" i="35"/>
  <c r="K14" i="35"/>
  <c r="K13" i="35" s="1"/>
  <c r="D85" i="42"/>
  <c r="D86" i="42" s="1"/>
  <c r="D81" i="42" s="1"/>
  <c r="D65" i="42"/>
  <c r="D69" i="42" s="1"/>
  <c r="E75" i="42" s="1"/>
  <c r="D64" i="42"/>
  <c r="D68" i="42" s="1"/>
  <c r="E74" i="42" s="1"/>
  <c r="E54" i="42"/>
  <c r="F40" i="42"/>
  <c r="E46" i="42" s="1"/>
  <c r="E49" i="42" s="1"/>
  <c r="J11" i="23" l="1"/>
  <c r="G5" i="23" s="1"/>
  <c r="O7" i="34" s="1"/>
  <c r="I18" i="35" s="1"/>
  <c r="L7" i="35"/>
  <c r="K6" i="35"/>
  <c r="E73" i="42"/>
  <c r="E76" i="42"/>
  <c r="E77" i="42"/>
  <c r="E35" i="42"/>
  <c r="E38" i="42" s="1"/>
  <c r="E52" i="42"/>
  <c r="E55" i="42" s="1"/>
  <c r="E78" i="42" l="1"/>
  <c r="E60" i="42" s="1"/>
  <c r="G33" i="42"/>
  <c r="F31" i="42" l="1"/>
  <c r="D47" i="41"/>
  <c r="J42" i="41"/>
  <c r="H37" i="41"/>
  <c r="H42" i="41" s="1"/>
  <c r="G37" i="41"/>
  <c r="G42" i="41" s="1"/>
  <c r="F37" i="41"/>
  <c r="F42" i="41" s="1"/>
  <c r="D26" i="41"/>
  <c r="D27" i="41"/>
  <c r="D25" i="41"/>
  <c r="J21" i="41"/>
  <c r="J20" i="41"/>
  <c r="J19" i="41"/>
  <c r="H14" i="41"/>
  <c r="H19" i="41" s="1"/>
  <c r="G14" i="41"/>
  <c r="G19" i="41" s="1"/>
  <c r="F14" i="41"/>
  <c r="F21" i="41" s="1"/>
  <c r="J58" i="40"/>
  <c r="K63" i="40"/>
  <c r="L63" i="40" s="1"/>
  <c r="F63" i="40"/>
  <c r="H53" i="40"/>
  <c r="H58" i="40" s="1"/>
  <c r="G53" i="40"/>
  <c r="G58" i="40" s="1"/>
  <c r="F53" i="40"/>
  <c r="F58" i="40" s="1"/>
  <c r="F35" i="40"/>
  <c r="L21" i="42" l="1"/>
  <c r="I42" i="41"/>
  <c r="Q42" i="41"/>
  <c r="O42" i="41"/>
  <c r="P42" i="41"/>
  <c r="F19" i="41"/>
  <c r="I19" i="41" s="1"/>
  <c r="G21" i="41"/>
  <c r="H20" i="41"/>
  <c r="F20" i="41"/>
  <c r="G20" i="41"/>
  <c r="H21" i="41"/>
  <c r="O21" i="41" s="1"/>
  <c r="I58" i="40"/>
  <c r="P58" i="40"/>
  <c r="Q58" i="40"/>
  <c r="O58" i="40"/>
  <c r="H8" i="42" l="1"/>
  <c r="H6" i="42" s="1"/>
  <c r="I36" i="35" s="1"/>
  <c r="J36" i="35" s="1"/>
  <c r="L36" i="35" s="1"/>
  <c r="G8" i="42"/>
  <c r="G6" i="42" s="1"/>
  <c r="H36" i="35" s="1"/>
  <c r="P19" i="41"/>
  <c r="O19" i="41"/>
  <c r="R19" i="41" s="1"/>
  <c r="Q19" i="41"/>
  <c r="R42" i="41"/>
  <c r="S42" i="41" s="1"/>
  <c r="C47" i="41" s="1"/>
  <c r="I21" i="41"/>
  <c r="P20" i="41"/>
  <c r="O20" i="41"/>
  <c r="Q20" i="41"/>
  <c r="P21" i="41"/>
  <c r="Q21" i="41"/>
  <c r="I20" i="41"/>
  <c r="R58" i="40"/>
  <c r="S58" i="40" s="1"/>
  <c r="E63" i="40" s="1"/>
  <c r="G63" i="40" s="1"/>
  <c r="M63" i="40" s="1"/>
  <c r="H48" i="40" s="1"/>
  <c r="N48" i="41" l="1"/>
  <c r="M31" i="41" s="1"/>
  <c r="M48" i="41"/>
  <c r="L31" i="41" s="1"/>
  <c r="L48" i="41"/>
  <c r="K31" i="41" s="1"/>
  <c r="R20" i="41"/>
  <c r="C26" i="41" s="1"/>
  <c r="H26" i="41" s="1"/>
  <c r="R21" i="41"/>
  <c r="S21" i="41" s="1"/>
  <c r="H47" i="41"/>
  <c r="S19" i="41"/>
  <c r="C25" i="41"/>
  <c r="H25" i="41" s="1"/>
  <c r="S20" i="41" l="1"/>
  <c r="C27" i="41"/>
  <c r="H27" i="41" s="1"/>
  <c r="H28" i="41" s="1"/>
  <c r="N8" i="41" s="1"/>
  <c r="J6" i="41" l="1"/>
  <c r="H35" i="35" s="1"/>
  <c r="K6" i="41"/>
  <c r="I35" i="35" s="1"/>
  <c r="L6" i="41"/>
  <c r="J35" i="35" s="1"/>
  <c r="L35" i="35" s="1"/>
  <c r="K45" i="40"/>
  <c r="F45" i="40"/>
  <c r="J40" i="40"/>
  <c r="H40" i="40"/>
  <c r="G40" i="40"/>
  <c r="F40" i="40"/>
  <c r="H35" i="40"/>
  <c r="G35" i="40"/>
  <c r="J20" i="40"/>
  <c r="K27" i="40"/>
  <c r="L27" i="40" s="1"/>
  <c r="F27" i="40"/>
  <c r="K26" i="40"/>
  <c r="F26" i="40"/>
  <c r="J21" i="40"/>
  <c r="H21" i="40"/>
  <c r="H20" i="40"/>
  <c r="H15" i="40"/>
  <c r="G15" i="40"/>
  <c r="G21" i="40" s="1"/>
  <c r="F15" i="40"/>
  <c r="F20" i="40" s="1"/>
  <c r="L26" i="40" l="1"/>
  <c r="L45" i="40"/>
  <c r="I40" i="40"/>
  <c r="O40" i="40"/>
  <c r="Q40" i="40"/>
  <c r="P40" i="40"/>
  <c r="L28" i="40"/>
  <c r="E34" i="35" s="1"/>
  <c r="F21" i="40"/>
  <c r="G20" i="40"/>
  <c r="O20" i="40" s="1"/>
  <c r="G34" i="35" l="1"/>
  <c r="G8" i="35" s="1"/>
  <c r="E8" i="35"/>
  <c r="F34" i="35"/>
  <c r="F8" i="35" s="1"/>
  <c r="I20" i="40"/>
  <c r="R20" i="40" s="1"/>
  <c r="R40" i="40"/>
  <c r="S40" i="40" s="1"/>
  <c r="E45" i="40" s="1"/>
  <c r="G45" i="40" s="1"/>
  <c r="M45" i="40" s="1"/>
  <c r="J30" i="40" s="1"/>
  <c r="Q20" i="40"/>
  <c r="P21" i="40"/>
  <c r="Q21" i="40"/>
  <c r="O21" i="40"/>
  <c r="I21" i="40"/>
  <c r="P20" i="40"/>
  <c r="S20" i="40" l="1"/>
  <c r="E26" i="40" s="1"/>
  <c r="G26" i="40" s="1"/>
  <c r="M26" i="40" s="1"/>
  <c r="R21" i="40"/>
  <c r="S21" i="40" s="1"/>
  <c r="E27" i="40" s="1"/>
  <c r="G27" i="40" s="1"/>
  <c r="M27" i="40" s="1"/>
  <c r="M28" i="40" l="1"/>
  <c r="H8" i="40" s="1"/>
  <c r="L6" i="40" s="1"/>
  <c r="H34" i="35" s="1"/>
  <c r="J34" i="35" l="1"/>
  <c r="I34" i="35"/>
  <c r="L34" i="35"/>
  <c r="E33" i="35"/>
  <c r="G33" i="35" s="1"/>
  <c r="I9" i="17"/>
  <c r="I10" i="12"/>
  <c r="E32" i="35" s="1"/>
  <c r="G32" i="35" s="1"/>
  <c r="E30" i="35"/>
  <c r="G30" i="35" s="1"/>
  <c r="J12" i="6"/>
  <c r="F30" i="35" l="1"/>
  <c r="F32" i="35"/>
  <c r="F33" i="35"/>
  <c r="U26" i="5"/>
  <c r="U28" i="5" s="1"/>
  <c r="E27" i="35" s="1"/>
  <c r="U27" i="5"/>
  <c r="U25" i="5"/>
  <c r="E12" i="5"/>
  <c r="F12" i="5" s="1"/>
  <c r="E10" i="35" l="1"/>
  <c r="G27" i="35"/>
  <c r="G10" i="35" s="1"/>
  <c r="F27" i="35"/>
  <c r="F10" i="35" s="1"/>
  <c r="C12" i="6"/>
  <c r="F30" i="7"/>
  <c r="G30" i="7" s="1"/>
  <c r="J29" i="7"/>
  <c r="J28" i="7"/>
  <c r="J27" i="7"/>
  <c r="F27" i="7"/>
  <c r="G27" i="7" s="1"/>
  <c r="J26" i="7"/>
  <c r="F26" i="7"/>
  <c r="G26" i="7" s="1"/>
  <c r="F25" i="7"/>
  <c r="G25" i="7" s="1"/>
  <c r="F20" i="7"/>
  <c r="E18" i="7"/>
  <c r="I17" i="7"/>
  <c r="I16" i="7"/>
  <c r="I15" i="7"/>
  <c r="I14" i="7"/>
  <c r="F14" i="7"/>
  <c r="F18" i="7" s="1"/>
  <c r="I13" i="7"/>
  <c r="I12" i="7"/>
  <c r="I11" i="7"/>
  <c r="I10" i="7"/>
  <c r="I9" i="7"/>
  <c r="I8" i="7"/>
  <c r="E6" i="7"/>
  <c r="F35" i="18"/>
  <c r="J34" i="18" s="1"/>
  <c r="I34" i="18"/>
  <c r="G34" i="18"/>
  <c r="I33" i="18"/>
  <c r="G33" i="18"/>
  <c r="F29" i="18"/>
  <c r="G29" i="18" s="1"/>
  <c r="J28" i="18"/>
  <c r="J27" i="18"/>
  <c r="J26" i="18"/>
  <c r="G26" i="18"/>
  <c r="J25" i="18"/>
  <c r="G25" i="18"/>
  <c r="G24" i="18"/>
  <c r="F18" i="18"/>
  <c r="E18" i="18"/>
  <c r="I17" i="18"/>
  <c r="I16" i="18"/>
  <c r="I15" i="18"/>
  <c r="I14" i="18"/>
  <c r="F14" i="18"/>
  <c r="I13" i="18"/>
  <c r="I12" i="18"/>
  <c r="I11" i="18"/>
  <c r="I10" i="18"/>
  <c r="I9" i="18"/>
  <c r="I8" i="18"/>
  <c r="E6" i="18"/>
  <c r="G17" i="18" s="1"/>
  <c r="B10" i="12"/>
  <c r="N28" i="13"/>
  <c r="F31" i="13"/>
  <c r="G31" i="13" s="1"/>
  <c r="N30" i="13"/>
  <c r="J30" i="13"/>
  <c r="N29" i="13"/>
  <c r="J29" i="13"/>
  <c r="J28" i="13"/>
  <c r="G28" i="13"/>
  <c r="J27" i="13"/>
  <c r="G27" i="13"/>
  <c r="G26" i="13"/>
  <c r="F21" i="13"/>
  <c r="F19" i="13"/>
  <c r="E19" i="13"/>
  <c r="I18" i="13"/>
  <c r="I17" i="13"/>
  <c r="I16" i="13"/>
  <c r="I15" i="13"/>
  <c r="I14" i="13"/>
  <c r="I13" i="13"/>
  <c r="I12" i="13"/>
  <c r="I11" i="13"/>
  <c r="I10" i="13"/>
  <c r="I9" i="13"/>
  <c r="I8" i="13"/>
  <c r="E6" i="13"/>
  <c r="G18" i="13" s="1"/>
  <c r="I18" i="18" l="1"/>
  <c r="G17" i="7"/>
  <c r="G8" i="7"/>
  <c r="G35" i="18"/>
  <c r="I35" i="18"/>
  <c r="I18" i="7"/>
  <c r="H17" i="7"/>
  <c r="K17" i="7" s="1"/>
  <c r="J17" i="7"/>
  <c r="L17" i="7" s="1"/>
  <c r="M17" i="7" s="1"/>
  <c r="G9" i="7"/>
  <c r="G10" i="7"/>
  <c r="G11" i="7"/>
  <c r="G12" i="7"/>
  <c r="G13" i="7"/>
  <c r="G14" i="7"/>
  <c r="G15" i="7"/>
  <c r="G16" i="7"/>
  <c r="J17" i="18"/>
  <c r="H17" i="18"/>
  <c r="K17" i="18" s="1"/>
  <c r="G8" i="18"/>
  <c r="G9" i="18"/>
  <c r="G10" i="18"/>
  <c r="G11" i="18"/>
  <c r="G12" i="18"/>
  <c r="G13" i="18"/>
  <c r="G14" i="18"/>
  <c r="G15" i="18"/>
  <c r="G16" i="18"/>
  <c r="I19" i="13"/>
  <c r="H18" i="13"/>
  <c r="K18" i="13" s="1"/>
  <c r="J18" i="13"/>
  <c r="G8" i="13"/>
  <c r="G9" i="13"/>
  <c r="G10" i="13"/>
  <c r="G11" i="13"/>
  <c r="G12" i="13"/>
  <c r="G13" i="13"/>
  <c r="G14" i="13"/>
  <c r="G15" i="13"/>
  <c r="G16" i="13"/>
  <c r="G17" i="13"/>
  <c r="H8" i="7" l="1"/>
  <c r="J8" i="7"/>
  <c r="G36" i="18"/>
  <c r="E20" i="18" s="1"/>
  <c r="J35" i="18"/>
  <c r="F20" i="18" s="1"/>
  <c r="H15" i="7"/>
  <c r="K15" i="7" s="1"/>
  <c r="J15" i="7"/>
  <c r="H11" i="7"/>
  <c r="K11" i="7" s="1"/>
  <c r="J11" i="7"/>
  <c r="L11" i="7" s="1"/>
  <c r="M11" i="7" s="1"/>
  <c r="N17" i="7"/>
  <c r="H14" i="7"/>
  <c r="K14" i="7" s="1"/>
  <c r="J14" i="7"/>
  <c r="H10" i="7"/>
  <c r="K10" i="7" s="1"/>
  <c r="J10" i="7"/>
  <c r="H13" i="7"/>
  <c r="K13" i="7" s="1"/>
  <c r="J13" i="7"/>
  <c r="H9" i="7"/>
  <c r="K9" i="7" s="1"/>
  <c r="J9" i="7"/>
  <c r="H16" i="7"/>
  <c r="K16" i="7" s="1"/>
  <c r="J16" i="7"/>
  <c r="H12" i="7"/>
  <c r="K12" i="7" s="1"/>
  <c r="J12" i="7"/>
  <c r="G18" i="7"/>
  <c r="J15" i="18"/>
  <c r="H15" i="18"/>
  <c r="K15" i="18" s="1"/>
  <c r="H11" i="18"/>
  <c r="K11" i="18" s="1"/>
  <c r="J11" i="18"/>
  <c r="L11" i="18" s="1"/>
  <c r="M11" i="18" s="1"/>
  <c r="H14" i="18"/>
  <c r="K14" i="18" s="1"/>
  <c r="J14" i="18"/>
  <c r="H10" i="18"/>
  <c r="K10" i="18" s="1"/>
  <c r="J10" i="18"/>
  <c r="L10" i="18" s="1"/>
  <c r="M10" i="18" s="1"/>
  <c r="H13" i="18"/>
  <c r="K13" i="18" s="1"/>
  <c r="J13" i="18"/>
  <c r="H9" i="18"/>
  <c r="K9" i="18" s="1"/>
  <c r="J9" i="18"/>
  <c r="L9" i="18" s="1"/>
  <c r="M9" i="18" s="1"/>
  <c r="J16" i="18"/>
  <c r="H16" i="18"/>
  <c r="K16" i="18" s="1"/>
  <c r="H12" i="18"/>
  <c r="K12" i="18" s="1"/>
  <c r="J12" i="18"/>
  <c r="L12" i="18" s="1"/>
  <c r="M12" i="18" s="1"/>
  <c r="H8" i="18"/>
  <c r="G18" i="18"/>
  <c r="J8" i="18"/>
  <c r="L17" i="18"/>
  <c r="M17" i="18" s="1"/>
  <c r="L18" i="13"/>
  <c r="M18" i="13" s="1"/>
  <c r="H15" i="13"/>
  <c r="K15" i="13" s="1"/>
  <c r="J15" i="13"/>
  <c r="H11" i="13"/>
  <c r="K11" i="13" s="1"/>
  <c r="J11" i="13"/>
  <c r="N18" i="13"/>
  <c r="H14" i="13"/>
  <c r="K14" i="13" s="1"/>
  <c r="J14" i="13"/>
  <c r="H10" i="13"/>
  <c r="K10" i="13" s="1"/>
  <c r="J10" i="13"/>
  <c r="L10" i="13" s="1"/>
  <c r="M10" i="13" s="1"/>
  <c r="H17" i="13"/>
  <c r="K17" i="13" s="1"/>
  <c r="J17" i="13"/>
  <c r="H13" i="13"/>
  <c r="K13" i="13" s="1"/>
  <c r="J13" i="13"/>
  <c r="L13" i="13" s="1"/>
  <c r="M13" i="13" s="1"/>
  <c r="H9" i="13"/>
  <c r="K9" i="13" s="1"/>
  <c r="J9" i="13"/>
  <c r="H16" i="13"/>
  <c r="K16" i="13" s="1"/>
  <c r="J16" i="13"/>
  <c r="L16" i="13" s="1"/>
  <c r="M16" i="13" s="1"/>
  <c r="H12" i="13"/>
  <c r="K12" i="13" s="1"/>
  <c r="J12" i="13"/>
  <c r="G19" i="13"/>
  <c r="J8" i="13"/>
  <c r="H8" i="13"/>
  <c r="N27" i="18" l="1"/>
  <c r="B9" i="17"/>
  <c r="N29" i="18"/>
  <c r="N28" i="18"/>
  <c r="N32" i="18"/>
  <c r="N30" i="18"/>
  <c r="N31" i="18"/>
  <c r="L15" i="13"/>
  <c r="M15" i="13" s="1"/>
  <c r="L16" i="18"/>
  <c r="M16" i="18" s="1"/>
  <c r="L15" i="18"/>
  <c r="M15" i="18" s="1"/>
  <c r="L16" i="7"/>
  <c r="M16" i="7" s="1"/>
  <c r="L13" i="7"/>
  <c r="M13" i="7" s="1"/>
  <c r="L14" i="7"/>
  <c r="M14" i="7" s="1"/>
  <c r="N11" i="7"/>
  <c r="H18" i="7"/>
  <c r="K8" i="7"/>
  <c r="K18" i="7" s="1"/>
  <c r="N14" i="7"/>
  <c r="L12" i="7"/>
  <c r="M12" i="7" s="1"/>
  <c r="L9" i="7"/>
  <c r="M9" i="7" s="1"/>
  <c r="L10" i="7"/>
  <c r="M10" i="7" s="1"/>
  <c r="L15" i="7"/>
  <c r="M15" i="7" s="1"/>
  <c r="J18" i="7"/>
  <c r="H18" i="18"/>
  <c r="K8" i="18"/>
  <c r="K18" i="18" s="1"/>
  <c r="N12" i="18"/>
  <c r="N10" i="18"/>
  <c r="J18" i="18"/>
  <c r="N16" i="18"/>
  <c r="N15" i="18"/>
  <c r="N17" i="18"/>
  <c r="N9" i="18"/>
  <c r="N11" i="18"/>
  <c r="L13" i="18"/>
  <c r="M13" i="18" s="1"/>
  <c r="L14" i="18"/>
  <c r="M14" i="18" s="1"/>
  <c r="L12" i="13"/>
  <c r="M12" i="13" s="1"/>
  <c r="N12" i="13" s="1"/>
  <c r="L9" i="13"/>
  <c r="M9" i="13" s="1"/>
  <c r="L17" i="13"/>
  <c r="M17" i="13" s="1"/>
  <c r="L14" i="13"/>
  <c r="L11" i="13"/>
  <c r="M11" i="13" s="1"/>
  <c r="J19" i="13"/>
  <c r="N13" i="13"/>
  <c r="N10" i="13"/>
  <c r="N9" i="13"/>
  <c r="K8" i="13"/>
  <c r="K19" i="13" s="1"/>
  <c r="H19" i="13"/>
  <c r="N16" i="13"/>
  <c r="N13" i="7" l="1"/>
  <c r="N16" i="7"/>
  <c r="N15" i="13"/>
  <c r="N11" i="13"/>
  <c r="M14" i="13"/>
  <c r="N14" i="13" s="1"/>
  <c r="L8" i="7"/>
  <c r="N9" i="7"/>
  <c r="N12" i="7"/>
  <c r="N15" i="7"/>
  <c r="N10" i="7"/>
  <c r="N14" i="18"/>
  <c r="N13" i="18"/>
  <c r="L8" i="18"/>
  <c r="M8" i="18" s="1"/>
  <c r="N17" i="13"/>
  <c r="L8" i="13"/>
  <c r="M8" i="13" s="1"/>
  <c r="K5" i="35"/>
  <c r="M8" i="7" l="1"/>
  <c r="N8" i="7"/>
  <c r="L18" i="7"/>
  <c r="M18" i="7"/>
  <c r="M18" i="18"/>
  <c r="L18" i="18"/>
  <c r="M19" i="13"/>
  <c r="L19" i="13"/>
  <c r="H70" i="38"/>
  <c r="I38" i="38"/>
  <c r="H65" i="38" s="1"/>
  <c r="E36" i="38"/>
  <c r="H36" i="38" s="1"/>
  <c r="I36" i="38" s="1"/>
  <c r="E34" i="38"/>
  <c r="H34" i="38" s="1"/>
  <c r="I34" i="38" s="1"/>
  <c r="F34" i="38" s="1"/>
  <c r="E33" i="38"/>
  <c r="H33" i="38" s="1"/>
  <c r="I33" i="38" s="1"/>
  <c r="H31" i="38"/>
  <c r="I31" i="38" s="1"/>
  <c r="D31" i="38"/>
  <c r="I30" i="38"/>
  <c r="E27" i="38"/>
  <c r="F27" i="38" s="1"/>
  <c r="H26" i="38"/>
  <c r="I26" i="38" s="1"/>
  <c r="F26" i="38"/>
  <c r="E15" i="38"/>
  <c r="H15" i="38" s="1"/>
  <c r="I15" i="38" s="1"/>
  <c r="C13" i="38"/>
  <c r="E12" i="38"/>
  <c r="H12" i="38" s="1"/>
  <c r="I12" i="38" s="1"/>
  <c r="E11" i="38"/>
  <c r="H11" i="38" s="1"/>
  <c r="I11" i="38" s="1"/>
  <c r="G10" i="38"/>
  <c r="F10" i="38"/>
  <c r="E37" i="38" s="1"/>
  <c r="F37" i="38" s="1"/>
  <c r="I37" i="38" s="1"/>
  <c r="H66" i="38" s="1"/>
  <c r="F29" i="37"/>
  <c r="F28" i="37"/>
  <c r="F27" i="37"/>
  <c r="F26" i="37"/>
  <c r="F25" i="37"/>
  <c r="F24" i="37"/>
  <c r="F23" i="37"/>
  <c r="D22" i="37"/>
  <c r="F22" i="37" s="1"/>
  <c r="F30" i="38" l="1"/>
  <c r="F29" i="38" s="1"/>
  <c r="H63" i="38"/>
  <c r="C14" i="38"/>
  <c r="D14" i="38" s="1"/>
  <c r="D13" i="38"/>
  <c r="E13" i="38" s="1"/>
  <c r="H13" i="38" s="1"/>
  <c r="I13" i="38" s="1"/>
  <c r="I29" i="38"/>
  <c r="F25" i="38"/>
  <c r="F38" i="38"/>
  <c r="N18" i="7"/>
  <c r="N21" i="7" s="1"/>
  <c r="N8" i="18"/>
  <c r="N18" i="18" s="1"/>
  <c r="N21" i="18" s="1"/>
  <c r="N8" i="13"/>
  <c r="F33" i="38"/>
  <c r="F32" i="38" s="1"/>
  <c r="H62" i="38"/>
  <c r="I32" i="38"/>
  <c r="H64" i="38"/>
  <c r="I35" i="38"/>
  <c r="F36" i="38"/>
  <c r="H27" i="38"/>
  <c r="I27" i="38" s="1"/>
  <c r="I25" i="38" s="1"/>
  <c r="I24" i="38" s="1"/>
  <c r="E14" i="38" l="1"/>
  <c r="H14" i="38" s="1"/>
  <c r="I14" i="38" s="1"/>
  <c r="H60" i="38" s="1"/>
  <c r="F35" i="38"/>
  <c r="N19" i="13"/>
  <c r="N22" i="13" s="1"/>
  <c r="Q34" i="7"/>
  <c r="N34" i="7" s="1"/>
  <c r="Q32" i="7"/>
  <c r="N32" i="7" s="1"/>
  <c r="Q33" i="7"/>
  <c r="N33" i="7" s="1"/>
  <c r="Q38" i="18"/>
  <c r="N38" i="18" s="1"/>
  <c r="Q39" i="18"/>
  <c r="N39" i="18" s="1"/>
  <c r="Q37" i="18"/>
  <c r="N37" i="18" s="1"/>
  <c r="H61" i="38"/>
  <c r="F24" i="38"/>
  <c r="I10" i="38"/>
  <c r="I46" i="38" s="1"/>
  <c r="H10" i="38"/>
  <c r="Q36" i="13" l="1"/>
  <c r="N36" i="13" s="1"/>
  <c r="Q35" i="13"/>
  <c r="N35" i="13" s="1"/>
  <c r="H67" i="38"/>
  <c r="Q34" i="13"/>
  <c r="N34" i="13" s="1"/>
  <c r="F46" i="38"/>
  <c r="F52" i="38" s="1"/>
  <c r="F58" i="38" s="1"/>
  <c r="I52" i="38"/>
  <c r="H58" i="38" s="1"/>
  <c r="J60" i="38" l="1"/>
  <c r="J67" i="38"/>
  <c r="H68" i="38" l="1"/>
  <c r="H72" i="38" s="1"/>
  <c r="F18" i="37" s="1"/>
  <c r="E22" i="37" s="1"/>
  <c r="H73" i="38" l="1"/>
  <c r="J68" i="38"/>
  <c r="E24" i="37" l="1"/>
  <c r="E27" i="37"/>
  <c r="B12" i="37" s="1"/>
  <c r="B7" i="37"/>
  <c r="E29" i="37"/>
  <c r="B14" i="37" s="1"/>
  <c r="E23" i="37"/>
  <c r="B8" i="37" s="1"/>
  <c r="E26" i="37"/>
  <c r="B11" i="37" s="1"/>
  <c r="E25" i="37"/>
  <c r="B10" i="37" s="1"/>
  <c r="E28" i="37"/>
  <c r="B13" i="37" s="1"/>
  <c r="B9" i="37" l="1"/>
  <c r="L16" i="35"/>
  <c r="H16" i="35"/>
  <c r="H14" i="35" l="1"/>
  <c r="H13" i="35" s="1"/>
  <c r="J16" i="35"/>
  <c r="I16" i="35"/>
  <c r="H7" i="35"/>
  <c r="H22" i="6"/>
  <c r="G22" i="6"/>
  <c r="I22" i="6" s="1"/>
  <c r="I14" i="35" l="1"/>
  <c r="I13" i="35" s="1"/>
  <c r="H19" i="6"/>
  <c r="I19" i="6" s="1"/>
  <c r="J22" i="6"/>
  <c r="J14" i="35"/>
  <c r="L14" i="35" s="1"/>
  <c r="L13" i="35" s="1"/>
  <c r="J7" i="35"/>
  <c r="I7" i="35"/>
  <c r="J13" i="35" l="1"/>
  <c r="C11" i="22"/>
  <c r="J36" i="6"/>
  <c r="J19" i="6"/>
  <c r="D11" i="22" l="1"/>
  <c r="I11" i="22"/>
  <c r="P36" i="6"/>
  <c r="K36" i="6"/>
  <c r="H9" i="31"/>
  <c r="D6" i="31" s="1"/>
  <c r="N14" i="34" s="1"/>
  <c r="H26" i="35" s="1"/>
  <c r="K15" i="30"/>
  <c r="I10" i="30"/>
  <c r="I15" i="30" s="1"/>
  <c r="H10" i="30"/>
  <c r="H15" i="30" s="1"/>
  <c r="G10" i="30"/>
  <c r="G15" i="30" s="1"/>
  <c r="H12" i="35" l="1"/>
  <c r="Q15" i="30"/>
  <c r="R15" i="30"/>
  <c r="P15" i="30"/>
  <c r="J15" i="30"/>
  <c r="S15" i="30" l="1"/>
  <c r="H9" i="35"/>
  <c r="N8" i="34"/>
  <c r="H19" i="35" s="1"/>
  <c r="I9" i="35"/>
  <c r="L9" i="35"/>
  <c r="U15" i="30"/>
  <c r="W15" i="30" s="1"/>
  <c r="D6" i="30" s="1"/>
  <c r="N13" i="34" s="1"/>
  <c r="H25" i="35" l="1"/>
  <c r="H8" i="35" s="1"/>
  <c r="O13" i="34"/>
  <c r="J9" i="35"/>
  <c r="I5" i="34"/>
  <c r="O8" i="34"/>
  <c r="I13" i="22"/>
  <c r="I25" i="35" l="1"/>
  <c r="I8" i="35" s="1"/>
  <c r="P13" i="34"/>
  <c r="J25" i="35" s="1"/>
  <c r="P8" i="34"/>
  <c r="I19" i="35"/>
  <c r="J5" i="34"/>
  <c r="H17" i="35"/>
  <c r="I18" i="22"/>
  <c r="I17" i="22"/>
  <c r="I16" i="22"/>
  <c r="I15" i="22"/>
  <c r="I14" i="22"/>
  <c r="J19" i="35" l="1"/>
  <c r="L19" i="35" s="1"/>
  <c r="K5" i="34"/>
  <c r="L25" i="35"/>
  <c r="L8" i="35" s="1"/>
  <c r="J8" i="35"/>
  <c r="I19" i="22"/>
  <c r="L6" i="22" s="1"/>
  <c r="H37" i="35" s="1"/>
  <c r="I17" i="35"/>
  <c r="G20" i="21"/>
  <c r="G19" i="21"/>
  <c r="G18" i="21"/>
  <c r="G13" i="21"/>
  <c r="F13" i="21"/>
  <c r="E13" i="21"/>
  <c r="I12" i="21"/>
  <c r="H12" i="21"/>
  <c r="I11" i="21"/>
  <c r="H11" i="21"/>
  <c r="I10" i="21"/>
  <c r="H10" i="21"/>
  <c r="I9" i="21"/>
  <c r="H9" i="21"/>
  <c r="I8" i="21"/>
  <c r="H8" i="21"/>
  <c r="I7" i="21"/>
  <c r="I13" i="21" s="1"/>
  <c r="G15" i="21" s="1"/>
  <c r="H7" i="21"/>
  <c r="H13" i="21" s="1"/>
  <c r="F18" i="20"/>
  <c r="G18" i="20" s="1"/>
  <c r="F17" i="20"/>
  <c r="G17" i="20" s="1"/>
  <c r="F16" i="20"/>
  <c r="G16" i="20" s="1"/>
  <c r="F14" i="20"/>
  <c r="G14" i="20" s="1"/>
  <c r="F13" i="20"/>
  <c r="G13" i="20" s="1"/>
  <c r="F12" i="20"/>
  <c r="G12" i="20" s="1"/>
  <c r="F11" i="20"/>
  <c r="G11" i="20" s="1"/>
  <c r="F10" i="20"/>
  <c r="G10" i="20" s="1"/>
  <c r="F9" i="20"/>
  <c r="G9" i="20" s="1"/>
  <c r="F8" i="20"/>
  <c r="G8" i="20" s="1"/>
  <c r="F216" i="19"/>
  <c r="E208" i="19"/>
  <c r="E209" i="19" s="1"/>
  <c r="F207" i="19"/>
  <c r="F206" i="19"/>
  <c r="F205" i="19"/>
  <c r="F208" i="19" s="1"/>
  <c r="F200" i="19"/>
  <c r="E190" i="19"/>
  <c r="F189" i="19"/>
  <c r="F188" i="19"/>
  <c r="E185" i="19"/>
  <c r="E186" i="19" s="1"/>
  <c r="F184" i="19"/>
  <c r="F183" i="19"/>
  <c r="F182" i="19"/>
  <c r="F181" i="19"/>
  <c r="F180" i="19"/>
  <c r="F179" i="19"/>
  <c r="F178" i="19"/>
  <c r="F177" i="19"/>
  <c r="F176" i="19"/>
  <c r="E173" i="19"/>
  <c r="E174" i="19" s="1"/>
  <c r="F172" i="19"/>
  <c r="F171" i="19"/>
  <c r="F170" i="19"/>
  <c r="F169" i="19"/>
  <c r="F168" i="19"/>
  <c r="F167" i="19"/>
  <c r="F166" i="19"/>
  <c r="F165" i="19"/>
  <c r="F164" i="19"/>
  <c r="F163" i="19"/>
  <c r="F162" i="19"/>
  <c r="F161" i="19"/>
  <c r="F160" i="19"/>
  <c r="F159" i="19"/>
  <c r="F158" i="19"/>
  <c r="F157" i="19"/>
  <c r="F156" i="19"/>
  <c r="F155" i="19"/>
  <c r="F154" i="19"/>
  <c r="F153" i="19"/>
  <c r="F152" i="19"/>
  <c r="F151" i="19"/>
  <c r="F150" i="19"/>
  <c r="F149" i="19"/>
  <c r="F148" i="19"/>
  <c r="F147" i="19"/>
  <c r="F146" i="19"/>
  <c r="F145" i="19"/>
  <c r="F144" i="19"/>
  <c r="F143" i="19"/>
  <c r="F142" i="19"/>
  <c r="F141" i="19"/>
  <c r="F140" i="19"/>
  <c r="F139" i="19"/>
  <c r="F138" i="19"/>
  <c r="F137" i="19"/>
  <c r="F136" i="19"/>
  <c r="F135" i="19"/>
  <c r="F134" i="19"/>
  <c r="F133" i="19"/>
  <c r="F132" i="19"/>
  <c r="F131" i="19"/>
  <c r="F130" i="19"/>
  <c r="F129" i="19"/>
  <c r="F128" i="19"/>
  <c r="F127" i="19"/>
  <c r="F126" i="19"/>
  <c r="F125" i="19"/>
  <c r="F124" i="19"/>
  <c r="F123" i="19"/>
  <c r="F122" i="19"/>
  <c r="F121" i="19"/>
  <c r="F120" i="19"/>
  <c r="F119" i="19"/>
  <c r="F118" i="19"/>
  <c r="F117" i="19"/>
  <c r="F116" i="19"/>
  <c r="F115" i="19"/>
  <c r="F114" i="19"/>
  <c r="F113" i="19"/>
  <c r="E110" i="19"/>
  <c r="E111" i="19" s="1"/>
  <c r="F109" i="19"/>
  <c r="F108" i="19"/>
  <c r="F107" i="19"/>
  <c r="F106" i="19"/>
  <c r="F105" i="19"/>
  <c r="F104" i="19"/>
  <c r="F103" i="19"/>
  <c r="F102" i="19"/>
  <c r="F101" i="19"/>
  <c r="F100" i="19"/>
  <c r="F99" i="19"/>
  <c r="F98" i="19"/>
  <c r="F97" i="19"/>
  <c r="F96" i="19"/>
  <c r="F95" i="19"/>
  <c r="F94" i="19"/>
  <c r="F93" i="19"/>
  <c r="F92" i="19"/>
  <c r="F91" i="19"/>
  <c r="F90" i="19"/>
  <c r="F89" i="19"/>
  <c r="F88" i="19"/>
  <c r="E85" i="19"/>
  <c r="E86" i="19" s="1"/>
  <c r="F84" i="19"/>
  <c r="F83" i="19"/>
  <c r="F82" i="19"/>
  <c r="F81" i="19"/>
  <c r="F80" i="19"/>
  <c r="F79" i="19"/>
  <c r="F78" i="19"/>
  <c r="F77" i="19"/>
  <c r="F76" i="19"/>
  <c r="F75" i="19"/>
  <c r="F74" i="19"/>
  <c r="F73" i="19"/>
  <c r="F72" i="19"/>
  <c r="F71" i="19"/>
  <c r="F70" i="19"/>
  <c r="F69" i="19"/>
  <c r="F68" i="19"/>
  <c r="F67" i="19"/>
  <c r="F66" i="19"/>
  <c r="F65" i="19"/>
  <c r="F64" i="19"/>
  <c r="F63" i="19"/>
  <c r="F62" i="19"/>
  <c r="F61" i="19"/>
  <c r="F60" i="19"/>
  <c r="F59" i="19"/>
  <c r="F58" i="19"/>
  <c r="F57" i="19"/>
  <c r="F56" i="19"/>
  <c r="F55" i="19"/>
  <c r="F54" i="19"/>
  <c r="F53" i="19"/>
  <c r="F52" i="19"/>
  <c r="F51" i="19"/>
  <c r="F50" i="19"/>
  <c r="F49" i="19"/>
  <c r="F48" i="19"/>
  <c r="E45" i="19"/>
  <c r="E46" i="19" s="1"/>
  <c r="F44" i="19"/>
  <c r="F43" i="19"/>
  <c r="F42" i="19"/>
  <c r="F41" i="19"/>
  <c r="F40" i="19"/>
  <c r="F39" i="19"/>
  <c r="F38" i="19"/>
  <c r="F37" i="19"/>
  <c r="F36" i="19"/>
  <c r="F35" i="19"/>
  <c r="F34" i="19"/>
  <c r="F33" i="19"/>
  <c r="F32" i="19"/>
  <c r="F31" i="19"/>
  <c r="F30" i="19"/>
  <c r="F29" i="19"/>
  <c r="F28" i="19"/>
  <c r="F27" i="19"/>
  <c r="F26" i="19"/>
  <c r="F25" i="19"/>
  <c r="F24" i="19"/>
  <c r="F23" i="19"/>
  <c r="F22" i="19"/>
  <c r="F21" i="19"/>
  <c r="F20" i="19"/>
  <c r="F19" i="19"/>
  <c r="F18" i="19"/>
  <c r="F17" i="19"/>
  <c r="E14" i="19"/>
  <c r="F13" i="19"/>
  <c r="F12" i="19"/>
  <c r="F11" i="19"/>
  <c r="F10" i="19"/>
  <c r="G19" i="20" l="1"/>
  <c r="N35" i="18" s="1"/>
  <c r="J17" i="35"/>
  <c r="L17" i="35"/>
  <c r="F45" i="19"/>
  <c r="F47" i="19" s="1"/>
  <c r="N25" i="18" s="1"/>
  <c r="F190" i="19"/>
  <c r="F192" i="19" s="1"/>
  <c r="N34" i="18" s="1"/>
  <c r="J37" i="35"/>
  <c r="L37" i="35"/>
  <c r="I37" i="35"/>
  <c r="E193" i="19"/>
  <c r="E194" i="19" s="1"/>
  <c r="F173" i="19"/>
  <c r="F14" i="19"/>
  <c r="F16" i="19" s="1"/>
  <c r="N24" i="18" s="1"/>
  <c r="F110" i="19"/>
  <c r="F111" i="19" s="1"/>
  <c r="G16" i="21"/>
  <c r="F210" i="19"/>
  <c r="F209" i="19"/>
  <c r="F46" i="19"/>
  <c r="E15" i="19"/>
  <c r="F85" i="19"/>
  <c r="F185" i="19"/>
  <c r="F112" i="19" l="1"/>
  <c r="F15" i="19"/>
  <c r="F174" i="19"/>
  <c r="F175" i="19"/>
  <c r="G24" i="21"/>
  <c r="G22" i="21"/>
  <c r="G23" i="21"/>
  <c r="N36" i="18" s="1"/>
  <c r="F187" i="19"/>
  <c r="N33" i="18" s="1"/>
  <c r="F186" i="19"/>
  <c r="F193" i="19"/>
  <c r="F194" i="19" s="1"/>
  <c r="F87" i="19"/>
  <c r="N26" i="18" s="1"/>
  <c r="F86" i="19"/>
  <c r="N40" i="18" l="1"/>
  <c r="E9" i="17" s="1"/>
  <c r="F9" i="17" s="1"/>
  <c r="G9" i="17" s="1"/>
  <c r="J9" i="17" s="1"/>
  <c r="L6" i="17" s="1"/>
  <c r="H33" i="35" s="1"/>
  <c r="J33" i="35" l="1"/>
  <c r="L33" i="35"/>
  <c r="I33" i="35"/>
  <c r="G20" i="16" l="1"/>
  <c r="G19" i="16"/>
  <c r="G18" i="16"/>
  <c r="G13" i="16"/>
  <c r="F13" i="16"/>
  <c r="E13" i="16"/>
  <c r="I12" i="16"/>
  <c r="H12" i="16"/>
  <c r="I11" i="16"/>
  <c r="H11" i="16"/>
  <c r="I10" i="16"/>
  <c r="H10" i="16"/>
  <c r="I9" i="16"/>
  <c r="H9" i="16"/>
  <c r="I8" i="16"/>
  <c r="H8" i="16"/>
  <c r="I7" i="16"/>
  <c r="H7" i="16"/>
  <c r="D18" i="15"/>
  <c r="E18" i="15" s="1"/>
  <c r="E17" i="15"/>
  <c r="D17" i="15"/>
  <c r="D16" i="15"/>
  <c r="E16" i="15" s="1"/>
  <c r="D14" i="15"/>
  <c r="E14" i="15" s="1"/>
  <c r="E13" i="15"/>
  <c r="D13" i="15"/>
  <c r="D12" i="15"/>
  <c r="E12" i="15" s="1"/>
  <c r="D11" i="15"/>
  <c r="E11" i="15" s="1"/>
  <c r="D10" i="15"/>
  <c r="E10" i="15" s="1"/>
  <c r="D9" i="15"/>
  <c r="E9" i="15" s="1"/>
  <c r="D8" i="15"/>
  <c r="E8" i="15" s="1"/>
  <c r="F101" i="14"/>
  <c r="T94" i="14"/>
  <c r="S94" i="14"/>
  <c r="V94" i="14" s="1"/>
  <c r="R93" i="14"/>
  <c r="R94" i="14" s="1"/>
  <c r="U94" i="14" s="1"/>
  <c r="Q93" i="14"/>
  <c r="Q94" i="14" s="1"/>
  <c r="P93" i="14"/>
  <c r="P94" i="14" s="1"/>
  <c r="O93" i="14"/>
  <c r="O94" i="14" s="1"/>
  <c r="N93" i="14"/>
  <c r="N94" i="14" s="1"/>
  <c r="M93" i="14"/>
  <c r="M94" i="14" s="1"/>
  <c r="K93" i="14"/>
  <c r="K94" i="14" s="1"/>
  <c r="X94" i="14" s="1"/>
  <c r="J93" i="14"/>
  <c r="J94" i="14" s="1"/>
  <c r="I93" i="14"/>
  <c r="I94" i="14" s="1"/>
  <c r="E93" i="14"/>
  <c r="E94" i="14" s="1"/>
  <c r="F92" i="14"/>
  <c r="F91" i="14"/>
  <c r="F86" i="14"/>
  <c r="O77" i="14"/>
  <c r="T76" i="14"/>
  <c r="T77" i="14" s="1"/>
  <c r="S76" i="14"/>
  <c r="S77" i="14" s="1"/>
  <c r="V77" i="14" s="1"/>
  <c r="R76" i="14"/>
  <c r="R77" i="14" s="1"/>
  <c r="U77" i="14" s="1"/>
  <c r="Q76" i="14"/>
  <c r="Q77" i="14" s="1"/>
  <c r="P76" i="14"/>
  <c r="P77" i="14" s="1"/>
  <c r="O76" i="14"/>
  <c r="N76" i="14"/>
  <c r="N77" i="14" s="1"/>
  <c r="M76" i="14"/>
  <c r="M77" i="14" s="1"/>
  <c r="K76" i="14"/>
  <c r="K77" i="14" s="1"/>
  <c r="X77" i="14" s="1"/>
  <c r="J76" i="14"/>
  <c r="J77" i="14" s="1"/>
  <c r="I76" i="14"/>
  <c r="I77" i="14" s="1"/>
  <c r="W77" i="14" s="1"/>
  <c r="E76" i="14"/>
  <c r="E77" i="14" s="1"/>
  <c r="L75" i="14"/>
  <c r="H75" i="14"/>
  <c r="F75" i="14"/>
  <c r="L74" i="14"/>
  <c r="H74" i="14"/>
  <c r="F74" i="14"/>
  <c r="T71" i="14"/>
  <c r="T72" i="14" s="1"/>
  <c r="S71" i="14"/>
  <c r="S72" i="14" s="1"/>
  <c r="V72" i="14" s="1"/>
  <c r="R71" i="14"/>
  <c r="R72" i="14" s="1"/>
  <c r="U72" i="14" s="1"/>
  <c r="Q71" i="14"/>
  <c r="Q72" i="14" s="1"/>
  <c r="P71" i="14"/>
  <c r="P72" i="14" s="1"/>
  <c r="O71" i="14"/>
  <c r="N71" i="14"/>
  <c r="N72" i="14" s="1"/>
  <c r="M71" i="14"/>
  <c r="M72" i="14" s="1"/>
  <c r="K71" i="14"/>
  <c r="K72" i="14" s="1"/>
  <c r="X72" i="14" s="1"/>
  <c r="J71" i="14"/>
  <c r="J72" i="14" s="1"/>
  <c r="I71" i="14"/>
  <c r="E71" i="14"/>
  <c r="E72" i="14" s="1"/>
  <c r="L70" i="14"/>
  <c r="H70" i="14"/>
  <c r="F70" i="14"/>
  <c r="L69" i="14"/>
  <c r="H69" i="14"/>
  <c r="F69" i="14"/>
  <c r="L68" i="14"/>
  <c r="H68" i="14"/>
  <c r="F68" i="14"/>
  <c r="L67" i="14"/>
  <c r="H67" i="14"/>
  <c r="F67" i="14"/>
  <c r="L66" i="14"/>
  <c r="H66" i="14"/>
  <c r="F66" i="14"/>
  <c r="L65" i="14"/>
  <c r="H65" i="14"/>
  <c r="F65" i="14"/>
  <c r="L64" i="14"/>
  <c r="H64" i="14"/>
  <c r="F64" i="14"/>
  <c r="L63" i="14"/>
  <c r="H63" i="14"/>
  <c r="F63" i="14"/>
  <c r="L62" i="14"/>
  <c r="H62" i="14"/>
  <c r="F62" i="14"/>
  <c r="L61" i="14"/>
  <c r="H61" i="14"/>
  <c r="F61" i="14"/>
  <c r="L60" i="14"/>
  <c r="H60" i="14"/>
  <c r="F60" i="14"/>
  <c r="L59" i="14"/>
  <c r="H59" i="14"/>
  <c r="F59" i="14"/>
  <c r="L58" i="14"/>
  <c r="H58" i="14"/>
  <c r="F58" i="14"/>
  <c r="L57" i="14"/>
  <c r="H57" i="14"/>
  <c r="F57" i="14"/>
  <c r="L56" i="14"/>
  <c r="H56" i="14"/>
  <c r="F56" i="14"/>
  <c r="L55" i="14"/>
  <c r="H55" i="14"/>
  <c r="F55" i="14"/>
  <c r="L54" i="14"/>
  <c r="H54" i="14"/>
  <c r="F54" i="14"/>
  <c r="L53" i="14"/>
  <c r="H53" i="14"/>
  <c r="F53" i="14"/>
  <c r="L52" i="14"/>
  <c r="H52" i="14"/>
  <c r="F52" i="14"/>
  <c r="L51" i="14"/>
  <c r="H51" i="14"/>
  <c r="F51" i="14"/>
  <c r="L50" i="14"/>
  <c r="H50" i="14"/>
  <c r="F50" i="14"/>
  <c r="T47" i="14"/>
  <c r="T48" i="14" s="1"/>
  <c r="S47" i="14"/>
  <c r="S48" i="14" s="1"/>
  <c r="V48" i="14" s="1"/>
  <c r="R47" i="14"/>
  <c r="R48" i="14" s="1"/>
  <c r="U48" i="14" s="1"/>
  <c r="Q47" i="14"/>
  <c r="Q48" i="14" s="1"/>
  <c r="P47" i="14"/>
  <c r="P48" i="14" s="1"/>
  <c r="O47" i="14"/>
  <c r="N47" i="14"/>
  <c r="N48" i="14" s="1"/>
  <c r="M47" i="14"/>
  <c r="M48" i="14" s="1"/>
  <c r="K47" i="14"/>
  <c r="K48" i="14" s="1"/>
  <c r="X48" i="14" s="1"/>
  <c r="J47" i="14"/>
  <c r="J48" i="14" s="1"/>
  <c r="I47" i="14"/>
  <c r="E47" i="14"/>
  <c r="E48" i="14" s="1"/>
  <c r="L46" i="14"/>
  <c r="H46" i="14"/>
  <c r="F46" i="14"/>
  <c r="L45" i="14"/>
  <c r="H45" i="14"/>
  <c r="F45" i="14"/>
  <c r="L44" i="14"/>
  <c r="H44" i="14"/>
  <c r="F44" i="14"/>
  <c r="L43" i="14"/>
  <c r="H43" i="14"/>
  <c r="F43" i="14"/>
  <c r="L42" i="14"/>
  <c r="H42" i="14"/>
  <c r="F42" i="14"/>
  <c r="L41" i="14"/>
  <c r="H41" i="14"/>
  <c r="F41" i="14"/>
  <c r="L40" i="14"/>
  <c r="H40" i="14"/>
  <c r="F40" i="14"/>
  <c r="T37" i="14"/>
  <c r="T38" i="14" s="1"/>
  <c r="S37" i="14"/>
  <c r="S38" i="14" s="1"/>
  <c r="V38" i="14" s="1"/>
  <c r="R37" i="14"/>
  <c r="R38" i="14" s="1"/>
  <c r="U38" i="14" s="1"/>
  <c r="Q37" i="14"/>
  <c r="Q38" i="14" s="1"/>
  <c r="P37" i="14"/>
  <c r="P38" i="14" s="1"/>
  <c r="O37" i="14"/>
  <c r="N37" i="14"/>
  <c r="N38" i="14" s="1"/>
  <c r="M37" i="14"/>
  <c r="M38" i="14" s="1"/>
  <c r="K37" i="14"/>
  <c r="K38" i="14" s="1"/>
  <c r="X38" i="14" s="1"/>
  <c r="J37" i="14"/>
  <c r="J38" i="14" s="1"/>
  <c r="I37" i="14"/>
  <c r="E37" i="14"/>
  <c r="E38" i="14" s="1"/>
  <c r="L36" i="14"/>
  <c r="H36" i="14"/>
  <c r="F36" i="14"/>
  <c r="L35" i="14"/>
  <c r="H35" i="14"/>
  <c r="F35" i="14"/>
  <c r="L34" i="14"/>
  <c r="H34" i="14"/>
  <c r="F34" i="14"/>
  <c r="L33" i="14"/>
  <c r="H33" i="14"/>
  <c r="F33" i="14"/>
  <c r="L32" i="14"/>
  <c r="H32" i="14"/>
  <c r="F32" i="14"/>
  <c r="L31" i="14"/>
  <c r="H31" i="14"/>
  <c r="F31" i="14"/>
  <c r="L30" i="14"/>
  <c r="H30" i="14"/>
  <c r="F30" i="14"/>
  <c r="L29" i="14"/>
  <c r="H29" i="14"/>
  <c r="F29" i="14"/>
  <c r="L28" i="14"/>
  <c r="H28" i="14"/>
  <c r="F28" i="14"/>
  <c r="L27" i="14"/>
  <c r="H27" i="14"/>
  <c r="F27" i="14"/>
  <c r="T24" i="14"/>
  <c r="S24" i="14"/>
  <c r="R24" i="14"/>
  <c r="Q24" i="14"/>
  <c r="P24" i="14"/>
  <c r="O24" i="14"/>
  <c r="N24" i="14"/>
  <c r="M24" i="14"/>
  <c r="M25" i="14" s="1"/>
  <c r="K24" i="14"/>
  <c r="J24" i="14"/>
  <c r="I24" i="14"/>
  <c r="I25" i="14" s="1"/>
  <c r="E24" i="14"/>
  <c r="E25" i="14" s="1"/>
  <c r="L23" i="14"/>
  <c r="H23" i="14"/>
  <c r="F23" i="14"/>
  <c r="L22" i="14"/>
  <c r="H22" i="14"/>
  <c r="F22" i="14"/>
  <c r="L21" i="14"/>
  <c r="H21" i="14"/>
  <c r="F21" i="14"/>
  <c r="L20" i="14"/>
  <c r="H20" i="14"/>
  <c r="F20" i="14"/>
  <c r="L19" i="14"/>
  <c r="H19" i="14"/>
  <c r="F19" i="14"/>
  <c r="L18" i="14"/>
  <c r="H18" i="14"/>
  <c r="F18" i="14"/>
  <c r="L17" i="14"/>
  <c r="H17" i="14"/>
  <c r="F17" i="14"/>
  <c r="L16" i="14"/>
  <c r="H16" i="14"/>
  <c r="F16" i="14"/>
  <c r="L15" i="14"/>
  <c r="H15" i="14"/>
  <c r="F15" i="14"/>
  <c r="L14" i="14"/>
  <c r="H14" i="14"/>
  <c r="F14" i="14"/>
  <c r="L13" i="14"/>
  <c r="H13" i="14"/>
  <c r="F13" i="14"/>
  <c r="L12" i="14"/>
  <c r="H12" i="14"/>
  <c r="F12" i="14"/>
  <c r="L11" i="14"/>
  <c r="H11" i="14"/>
  <c r="F11" i="14"/>
  <c r="L10" i="14"/>
  <c r="H10" i="14"/>
  <c r="F10" i="14"/>
  <c r="L9" i="14"/>
  <c r="F9" i="14"/>
  <c r="J79" i="14" l="1"/>
  <c r="J80" i="14" s="1"/>
  <c r="O79" i="14"/>
  <c r="O80" i="14" s="1"/>
  <c r="S79" i="14"/>
  <c r="S80" i="14" s="1"/>
  <c r="V80" i="14" s="1"/>
  <c r="I13" i="16"/>
  <c r="G15" i="16" s="1"/>
  <c r="G16" i="16" s="1"/>
  <c r="K79" i="14"/>
  <c r="K80" i="14" s="1"/>
  <c r="X80" i="14" s="1"/>
  <c r="Q79" i="14"/>
  <c r="Q80" i="14" s="1"/>
  <c r="W94" i="14"/>
  <c r="H13" i="16"/>
  <c r="N79" i="14"/>
  <c r="N80" i="14" s="1"/>
  <c r="Y77" i="14"/>
  <c r="Y94" i="14"/>
  <c r="J25" i="14"/>
  <c r="W25" i="14" s="1"/>
  <c r="F93" i="14"/>
  <c r="F95" i="14" s="1"/>
  <c r="N25" i="14"/>
  <c r="F37" i="14"/>
  <c r="F39" i="14" s="1"/>
  <c r="N26" i="13" s="1"/>
  <c r="F71" i="14"/>
  <c r="F73" i="14" s="1"/>
  <c r="H76" i="14"/>
  <c r="L76" i="14"/>
  <c r="E19" i="15"/>
  <c r="N32" i="13" s="1"/>
  <c r="F24" i="14"/>
  <c r="F26" i="14" s="1"/>
  <c r="N25" i="13" s="1"/>
  <c r="F47" i="14"/>
  <c r="F76" i="14"/>
  <c r="F78" i="14" s="1"/>
  <c r="N31" i="13" s="1"/>
  <c r="F49" i="14"/>
  <c r="N27" i="13" s="1"/>
  <c r="F48" i="14"/>
  <c r="Q25" i="14"/>
  <c r="I38" i="14"/>
  <c r="H37" i="14"/>
  <c r="O48" i="14"/>
  <c r="L48" i="14" s="1"/>
  <c r="L47" i="14"/>
  <c r="I72" i="14"/>
  <c r="H71" i="14"/>
  <c r="F77" i="14"/>
  <c r="Z77" i="14"/>
  <c r="I79" i="14"/>
  <c r="M79" i="14"/>
  <c r="M80" i="14" s="1"/>
  <c r="F94" i="14"/>
  <c r="E79" i="14"/>
  <c r="E80" i="14" s="1"/>
  <c r="H24" i="14"/>
  <c r="L24" i="14"/>
  <c r="P79" i="14"/>
  <c r="P80" i="14" s="1"/>
  <c r="L80" i="14" s="1"/>
  <c r="P25" i="14"/>
  <c r="R79" i="14"/>
  <c r="R80" i="14" s="1"/>
  <c r="U80" i="14" s="1"/>
  <c r="R25" i="14"/>
  <c r="U25" i="14" s="1"/>
  <c r="T79" i="14"/>
  <c r="T80" i="14" s="1"/>
  <c r="T25" i="14"/>
  <c r="K25" i="14"/>
  <c r="X25" i="14" s="1"/>
  <c r="O25" i="14"/>
  <c r="S25" i="14"/>
  <c r="V25" i="14" s="1"/>
  <c r="O38" i="14"/>
  <c r="L38" i="14" s="1"/>
  <c r="L37" i="14"/>
  <c r="I48" i="14"/>
  <c r="H47" i="14"/>
  <c r="O72" i="14"/>
  <c r="L72" i="14" s="1"/>
  <c r="L71" i="14"/>
  <c r="L77" i="14"/>
  <c r="H77" i="14"/>
  <c r="Z94" i="14" l="1"/>
  <c r="F25" i="14"/>
  <c r="F72" i="14"/>
  <c r="F38" i="14"/>
  <c r="H25" i="14"/>
  <c r="F79" i="14"/>
  <c r="F80" i="14" s="1"/>
  <c r="L25" i="14"/>
  <c r="L79" i="14"/>
  <c r="G24" i="16"/>
  <c r="N33" i="13" s="1"/>
  <c r="N37" i="13" s="1"/>
  <c r="E10" i="12" s="1"/>
  <c r="F10" i="12" s="1"/>
  <c r="G10" i="12" s="1"/>
  <c r="J10" i="12" s="1"/>
  <c r="K6" i="12" s="1"/>
  <c r="K6" i="39" s="1"/>
  <c r="G22" i="16"/>
  <c r="G23" i="16"/>
  <c r="W38" i="14"/>
  <c r="H38" i="14"/>
  <c r="W48" i="14"/>
  <c r="H48" i="14"/>
  <c r="I80" i="14"/>
  <c r="H79" i="14"/>
  <c r="W72" i="14"/>
  <c r="H72" i="14"/>
  <c r="Y25" i="14"/>
  <c r="Z25" i="14" s="1"/>
  <c r="H32" i="35" l="1"/>
  <c r="H31" i="35" s="1"/>
  <c r="I31" i="35" s="1"/>
  <c r="L31" i="35"/>
  <c r="J31" i="35"/>
  <c r="J32" i="35"/>
  <c r="I32" i="35"/>
  <c r="L32" i="35"/>
  <c r="Y72" i="14"/>
  <c r="Z72" i="14" s="1"/>
  <c r="W80" i="14"/>
  <c r="H80" i="14"/>
  <c r="Y48" i="14"/>
  <c r="Z48" i="14" s="1"/>
  <c r="Y38" i="14"/>
  <c r="Z38" i="14" s="1"/>
  <c r="Y80" i="14" l="1"/>
  <c r="Z80" i="14" s="1"/>
  <c r="G20" i="11" l="1"/>
  <c r="G19" i="11"/>
  <c r="G18" i="11"/>
  <c r="G13" i="11"/>
  <c r="F13" i="11"/>
  <c r="E13" i="11"/>
  <c r="I12" i="11"/>
  <c r="H12" i="11"/>
  <c r="I11" i="11"/>
  <c r="H11" i="11"/>
  <c r="I10" i="11"/>
  <c r="H10" i="11"/>
  <c r="I9" i="11"/>
  <c r="H9" i="11"/>
  <c r="I8" i="11"/>
  <c r="H8" i="11"/>
  <c r="I7" i="11"/>
  <c r="H7" i="11"/>
  <c r="F15" i="10"/>
  <c r="G15" i="10" s="1"/>
  <c r="F14" i="10"/>
  <c r="G14" i="10" s="1"/>
  <c r="F13" i="10"/>
  <c r="G13" i="10" s="1"/>
  <c r="F11" i="10"/>
  <c r="G11" i="10" s="1"/>
  <c r="F10" i="10"/>
  <c r="G10" i="10" s="1"/>
  <c r="F9" i="10"/>
  <c r="G9" i="10" s="1"/>
  <c r="F8" i="10"/>
  <c r="G8" i="10" s="1"/>
  <c r="J38" i="6"/>
  <c r="K38" i="6" s="1"/>
  <c r="R35" i="6"/>
  <c r="L35" i="6"/>
  <c r="L29" i="6"/>
  <c r="M29" i="6" s="1"/>
  <c r="G29" i="6"/>
  <c r="F29" i="6"/>
  <c r="L28" i="6"/>
  <c r="P34" i="6" s="1"/>
  <c r="Q34" i="6" s="1"/>
  <c r="G28" i="6"/>
  <c r="J40" i="6" s="1"/>
  <c r="K40" i="6" s="1"/>
  <c r="F28" i="6"/>
  <c r="G16" i="10" l="1"/>
  <c r="N30" i="7" s="1"/>
  <c r="H13" i="11"/>
  <c r="I13" i="11"/>
  <c r="G15" i="11" s="1"/>
  <c r="G16" i="11" s="1"/>
  <c r="J37" i="6"/>
  <c r="J35" i="6"/>
  <c r="P38" i="6"/>
  <c r="Q38" i="6" s="1"/>
  <c r="M28" i="6"/>
  <c r="M40" i="6"/>
  <c r="N40" i="6" s="1"/>
  <c r="S34" i="6"/>
  <c r="T34" i="6" s="1"/>
  <c r="N29" i="6"/>
  <c r="M36" i="6"/>
  <c r="N36" i="6" s="1"/>
  <c r="M38" i="6"/>
  <c r="N38" i="6" s="1"/>
  <c r="J39" i="6"/>
  <c r="K39" i="6" s="1"/>
  <c r="N28" i="6"/>
  <c r="G24" i="11" l="1"/>
  <c r="G23" i="11"/>
  <c r="K35" i="6"/>
  <c r="M35" i="6" s="1"/>
  <c r="N35" i="6" s="1"/>
  <c r="K37" i="6"/>
  <c r="M37" i="6" s="1"/>
  <c r="N37" i="6" s="1"/>
  <c r="G22" i="11"/>
  <c r="N31" i="7" s="1"/>
  <c r="N35" i="7" s="1"/>
  <c r="F12" i="6" s="1"/>
  <c r="G12" i="6" s="1"/>
  <c r="H12" i="6" s="1"/>
  <c r="K12" i="6" s="1"/>
  <c r="S38" i="6"/>
  <c r="T38" i="6" s="1"/>
  <c r="P35" i="6"/>
  <c r="Q35" i="6" s="1"/>
  <c r="S35" i="6" s="1"/>
  <c r="T35" i="6" s="1"/>
  <c r="P37" i="6"/>
  <c r="Q37" i="6" s="1"/>
  <c r="S37" i="6" s="1"/>
  <c r="T37" i="6" s="1"/>
  <c r="P40" i="6"/>
  <c r="P39" i="6"/>
  <c r="Q36" i="6"/>
  <c r="S36" i="6" s="1"/>
  <c r="T36" i="6" s="1"/>
  <c r="M39" i="6"/>
  <c r="N39" i="6" s="1"/>
  <c r="N41" i="6" l="1"/>
  <c r="M41" i="6"/>
  <c r="Q40" i="6"/>
  <c r="S40" i="6" s="1"/>
  <c r="T40" i="6" s="1"/>
  <c r="Q39" i="6"/>
  <c r="S39" i="6" s="1"/>
  <c r="T39" i="6" s="1"/>
  <c r="T41" i="6" s="1"/>
  <c r="E28" i="35" l="1"/>
  <c r="G28" i="35" s="1"/>
  <c r="G11" i="35" s="1"/>
  <c r="G6" i="35" s="1"/>
  <c r="G5" i="35" s="1"/>
  <c r="S41" i="6"/>
  <c r="U34" i="6" s="1"/>
  <c r="E11" i="35" l="1"/>
  <c r="E6" i="35" s="1"/>
  <c r="E5" i="35" s="1"/>
  <c r="F28" i="35"/>
  <c r="F11" i="35" s="1"/>
  <c r="F6" i="35" s="1"/>
  <c r="F5" i="35" s="1"/>
  <c r="M6" i="6"/>
  <c r="H28" i="35" s="1"/>
  <c r="H11" i="35" s="1"/>
  <c r="L28" i="35" l="1"/>
  <c r="L11" i="35" s="1"/>
  <c r="J28" i="35"/>
  <c r="J11" i="35" s="1"/>
  <c r="I28" i="35"/>
  <c r="I11" i="35" s="1"/>
  <c r="K41" i="5"/>
  <c r="K40" i="5"/>
  <c r="K39" i="5"/>
  <c r="I34" i="5"/>
  <c r="I41" i="5" s="1"/>
  <c r="H34" i="5"/>
  <c r="H41" i="5" s="1"/>
  <c r="G34" i="5"/>
  <c r="G41" i="5" s="1"/>
  <c r="K27" i="5"/>
  <c r="K26" i="5"/>
  <c r="K25" i="5"/>
  <c r="I20" i="5"/>
  <c r="I27" i="5" s="1"/>
  <c r="H20" i="5"/>
  <c r="H27" i="5" s="1"/>
  <c r="G20" i="5"/>
  <c r="G27" i="5" s="1"/>
  <c r="H25" i="5" l="1"/>
  <c r="Q27" i="5"/>
  <c r="R27" i="5"/>
  <c r="P27" i="5"/>
  <c r="J27" i="5"/>
  <c r="Q41" i="5"/>
  <c r="R41" i="5"/>
  <c r="P41" i="5"/>
  <c r="J41" i="5"/>
  <c r="H39" i="5"/>
  <c r="H40" i="5"/>
  <c r="G26" i="5"/>
  <c r="I26" i="5"/>
  <c r="G25" i="5"/>
  <c r="I25" i="5"/>
  <c r="H26" i="5"/>
  <c r="G39" i="5"/>
  <c r="I39" i="5"/>
  <c r="G40" i="5"/>
  <c r="I40" i="5"/>
  <c r="J26" i="5" l="1"/>
  <c r="J25" i="5"/>
  <c r="S41" i="5"/>
  <c r="V41" i="5" s="1"/>
  <c r="S27" i="5"/>
  <c r="V27" i="5" s="1"/>
  <c r="X27" i="5" s="1"/>
  <c r="Q25" i="5"/>
  <c r="R25" i="5"/>
  <c r="P25" i="5"/>
  <c r="R26" i="5"/>
  <c r="P26" i="5"/>
  <c r="Q26" i="5"/>
  <c r="Q40" i="5"/>
  <c r="R40" i="5"/>
  <c r="P40" i="5"/>
  <c r="J40" i="5"/>
  <c r="Q39" i="5"/>
  <c r="R39" i="5"/>
  <c r="P39" i="5"/>
  <c r="J39" i="5"/>
  <c r="S25" i="5" l="1"/>
  <c r="S26" i="5"/>
  <c r="V26" i="5" s="1"/>
  <c r="X26" i="5" s="1"/>
  <c r="S40" i="5"/>
  <c r="V40" i="5" s="1"/>
  <c r="S39" i="5"/>
  <c r="V39" i="5" s="1"/>
  <c r="V25" i="5"/>
  <c r="X25" i="5" s="1"/>
  <c r="X28" i="5" l="1"/>
  <c r="V42" i="5"/>
  <c r="D55" i="4"/>
  <c r="D49" i="4"/>
  <c r="E49" i="4" s="1"/>
  <c r="F55" i="4" s="1"/>
  <c r="G55" i="4" s="1"/>
  <c r="H55" i="4" s="1"/>
  <c r="H56" i="4" s="1"/>
  <c r="F58" i="4" s="1"/>
  <c r="E45" i="4"/>
  <c r="E46" i="4" s="1"/>
  <c r="E41" i="4"/>
  <c r="E40" i="4"/>
  <c r="C26" i="4"/>
  <c r="G26" i="4" s="1"/>
  <c r="G25" i="4"/>
  <c r="F25" i="4"/>
  <c r="G24" i="4"/>
  <c r="F24" i="4"/>
  <c r="E20" i="4"/>
  <c r="E21" i="4" s="1"/>
  <c r="E16" i="4"/>
  <c r="E15" i="4"/>
  <c r="F32" i="4" l="1"/>
  <c r="G32" i="4" s="1"/>
  <c r="H32" i="4" s="1"/>
  <c r="F7" i="5"/>
  <c r="H27" i="35" s="1"/>
  <c r="E17" i="4"/>
  <c r="E42" i="4"/>
  <c r="F26" i="4"/>
  <c r="F27" i="4" s="1"/>
  <c r="H33" i="4"/>
  <c r="F35" i="4" s="1"/>
  <c r="G49" i="4"/>
  <c r="G50" i="4" s="1"/>
  <c r="I27" i="35" l="1"/>
  <c r="F52" i="4"/>
  <c r="F29" i="4"/>
  <c r="F6" i="4" s="1"/>
  <c r="H29" i="35" s="1"/>
  <c r="H10" i="35" s="1"/>
  <c r="J27" i="35"/>
  <c r="L27" i="35"/>
  <c r="G16" i="3"/>
  <c r="E8" i="3" s="1"/>
  <c r="H30" i="35" s="1"/>
  <c r="J29" i="35" l="1"/>
  <c r="I29" i="35"/>
  <c r="L29" i="35"/>
  <c r="J30" i="35"/>
  <c r="I30" i="35"/>
  <c r="J10" i="35" l="1"/>
  <c r="I10" i="35"/>
  <c r="I6" i="35" s="1"/>
  <c r="I5" i="35" s="1"/>
  <c r="J6" i="35"/>
  <c r="J5" i="35" s="1"/>
  <c r="H6" i="35"/>
  <c r="H5" i="35" s="1"/>
  <c r="L30" i="35"/>
  <c r="L10" i="35" s="1"/>
  <c r="L6" i="35" s="1"/>
  <c r="L5" i="3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5" authorId="0" shapeId="0" xr:uid="{D1965399-4303-4F3B-8230-7D82636A2112}">
      <text>
        <r>
          <rPr>
            <b/>
            <sz val="9"/>
            <color indexed="81"/>
            <rFont val="Tahoma"/>
            <family val="2"/>
            <charset val="186"/>
          </rPr>
          <t>Author:</t>
        </r>
        <r>
          <rPr>
            <sz val="9"/>
            <color indexed="81"/>
            <rFont val="Tahoma"/>
            <family val="2"/>
            <charset val="186"/>
          </rPr>
          <t xml:space="preserve">
Kāds no komandas speciālistiem pilda komandas vadītāja pienākumus</t>
        </r>
      </text>
    </comment>
    <comment ref="D31" authorId="0" shapeId="0" xr:uid="{C3758F65-0F1D-401E-9885-ED11EA176CB0}">
      <text>
        <r>
          <rPr>
            <b/>
            <sz val="9"/>
            <color indexed="81"/>
            <rFont val="Tahoma"/>
            <family val="2"/>
            <charset val="186"/>
          </rPr>
          <t>Author:</t>
        </r>
        <r>
          <rPr>
            <sz val="9"/>
            <color indexed="81"/>
            <rFont val="Tahoma"/>
            <family val="2"/>
            <charset val="186"/>
          </rPr>
          <t xml:space="preserve">
izdevumi mēneši uz vienu komandu</t>
        </r>
      </text>
    </comment>
    <comment ref="F31" authorId="0" shapeId="0" xr:uid="{DD5EE02A-070D-4DD1-8E91-20B91D32EC2F}">
      <text>
        <r>
          <rPr>
            <b/>
            <sz val="9"/>
            <color indexed="81"/>
            <rFont val="Tahoma"/>
            <family val="2"/>
            <charset val="186"/>
          </rPr>
          <t>Author:</t>
        </r>
        <r>
          <rPr>
            <sz val="9"/>
            <color indexed="81"/>
            <rFont val="Tahoma"/>
            <family val="2"/>
            <charset val="186"/>
          </rPr>
          <t xml:space="preserve">
izdevumi mēnesī uz 1 komandu</t>
        </r>
      </text>
    </comment>
    <comment ref="H31" authorId="0" shapeId="0" xr:uid="{BAB0BA0F-D520-418C-ADA8-446B937D7CD3}">
      <text>
        <r>
          <rPr>
            <b/>
            <sz val="9"/>
            <color indexed="81"/>
            <rFont val="Tahoma"/>
            <family val="2"/>
            <charset val="186"/>
          </rPr>
          <t>Author:</t>
        </r>
        <r>
          <rPr>
            <sz val="9"/>
            <color indexed="81"/>
            <rFont val="Tahoma"/>
            <family val="2"/>
            <charset val="186"/>
          </rPr>
          <t xml:space="preserve">
mēnešu skaits gadā</t>
        </r>
      </text>
    </comment>
    <comment ref="E33" authorId="0" shapeId="0" xr:uid="{54583C18-E327-40B0-8603-91D752C88C0C}">
      <text>
        <r>
          <rPr>
            <b/>
            <sz val="9"/>
            <color indexed="81"/>
            <rFont val="Tahoma"/>
            <family val="2"/>
            <charset val="186"/>
          </rPr>
          <t>Author:</t>
        </r>
        <r>
          <rPr>
            <sz val="9"/>
            <color indexed="81"/>
            <rFont val="Tahoma"/>
            <family val="2"/>
            <charset val="186"/>
          </rPr>
          <t xml:space="preserve">
vidējais personu skaits mēnesī, kas apmeklē nodarbības</t>
        </r>
      </text>
    </comment>
    <comment ref="F33" authorId="0" shapeId="0" xr:uid="{6CE61A3D-7CCB-4DAD-A843-F77C304F35AD}">
      <text>
        <r>
          <rPr>
            <b/>
            <sz val="9"/>
            <color indexed="81"/>
            <rFont val="Tahoma"/>
            <family val="2"/>
            <charset val="186"/>
          </rPr>
          <t>Author:</t>
        </r>
        <r>
          <rPr>
            <sz val="9"/>
            <color indexed="81"/>
            <rFont val="Tahoma"/>
            <family val="2"/>
            <charset val="186"/>
          </rPr>
          <t xml:space="preserve">
vidējie izdevumi mēnesī par transporta kompensāciju klientiem braucot uz grupu nodarbībām</t>
        </r>
      </text>
    </comment>
    <comment ref="H33" authorId="0" shapeId="0" xr:uid="{E52E38C3-5DA8-48E1-A587-51FF68C031F7}">
      <text>
        <r>
          <rPr>
            <b/>
            <sz val="9"/>
            <color indexed="81"/>
            <rFont val="Tahoma"/>
            <family val="2"/>
            <charset val="186"/>
          </rPr>
          <t>Author:</t>
        </r>
        <r>
          <rPr>
            <sz val="9"/>
            <color indexed="81"/>
            <rFont val="Tahoma"/>
            <family val="2"/>
            <charset val="186"/>
          </rPr>
          <t xml:space="preserve">
200 reizes gadā kopā jābrauc uz nodarbībām, t.i., 20 personas x 10 nodarbības (1 komanda)</t>
        </r>
      </text>
    </comment>
    <comment ref="I33" authorId="0" shapeId="0" xr:uid="{2358837D-F22E-4F5B-B652-9CB8D24E37B0}">
      <text>
        <r>
          <rPr>
            <b/>
            <sz val="9"/>
            <color indexed="81"/>
            <rFont val="Tahoma"/>
            <family val="2"/>
            <charset val="186"/>
          </rPr>
          <t>Author:</t>
        </r>
        <r>
          <rPr>
            <sz val="9"/>
            <color indexed="81"/>
            <rFont val="Tahoma"/>
            <family val="2"/>
            <charset val="186"/>
          </rPr>
          <t xml:space="preserve">
Transporta kompensācijas max apmērs, ja grupu nodarbības apmeklē 20 personas gadā (2 grupas 2x10), 10 nodarbības = 20 personas *10 nodarbības * 7 euro = 1400 uz 1 komandu </t>
        </r>
      </text>
    </comment>
    <comment ref="E34" authorId="0" shapeId="0" xr:uid="{01E28E91-F548-442F-8D36-ADF2EFED5B6F}">
      <text>
        <r>
          <rPr>
            <b/>
            <sz val="9"/>
            <color indexed="81"/>
            <rFont val="Tahoma"/>
            <family val="2"/>
            <charset val="186"/>
          </rPr>
          <t>Author:</t>
        </r>
        <r>
          <rPr>
            <sz val="9"/>
            <color indexed="81"/>
            <rFont val="Tahoma"/>
            <family val="2"/>
            <charset val="186"/>
          </rPr>
          <t xml:space="preserve">
konsultāciju skaits vidēji mēnesī uz 1 komandu, kas saņemts speciālistu telpās</t>
        </r>
      </text>
    </comment>
    <comment ref="F34" authorId="0" shapeId="0" xr:uid="{FACA8768-DD1E-4478-8F1C-15133BC02257}">
      <text>
        <r>
          <rPr>
            <b/>
            <sz val="9"/>
            <color indexed="81"/>
            <rFont val="Tahoma"/>
            <family val="2"/>
            <charset val="186"/>
          </rPr>
          <t>Author:</t>
        </r>
        <r>
          <rPr>
            <sz val="9"/>
            <color indexed="81"/>
            <rFont val="Tahoma"/>
            <family val="2"/>
            <charset val="186"/>
          </rPr>
          <t xml:space="preserve">
izdevumi mēnesī 1 komandai par klientu apmeklējumu pie speciālistiem, lai saņemtu individuālās konsultācijas, t.i. Transporta kompensācijā izmaksātā max summa vidēji uz 1 komandu mēnesī 10 konsultācijas x 7 euro = 70 euro</t>
        </r>
      </text>
    </comment>
    <comment ref="H34" authorId="0" shapeId="0" xr:uid="{28D7468B-FA1B-4142-8AD1-190142328EC5}">
      <text>
        <r>
          <rPr>
            <b/>
            <sz val="9"/>
            <color indexed="81"/>
            <rFont val="Tahoma"/>
            <family val="2"/>
            <charset val="186"/>
          </rPr>
          <t>Author:</t>
        </r>
        <r>
          <rPr>
            <sz val="9"/>
            <color indexed="81"/>
            <rFont val="Tahoma"/>
            <family val="2"/>
            <charset val="186"/>
          </rPr>
          <t xml:space="preserve">
konsultāciju skaits vidēji gadā uz 1 komandu, kas saņemtas speciālistu telpās</t>
        </r>
      </text>
    </comment>
    <comment ref="E37" authorId="0" shapeId="0" xr:uid="{32B856CC-0C78-4972-9946-B7DC682E8786}">
      <text>
        <r>
          <rPr>
            <b/>
            <sz val="9"/>
            <color indexed="81"/>
            <rFont val="Tahoma"/>
            <family val="2"/>
            <charset val="186"/>
          </rPr>
          <t>Author:</t>
        </r>
        <r>
          <rPr>
            <sz val="9"/>
            <color indexed="81"/>
            <rFont val="Tahoma"/>
            <family val="2"/>
            <charset val="186"/>
          </rPr>
          <t xml:space="preserve">
darbinieku skaits komandā: vidēji 4 soc.darbinieki un 4 kapelāni + 1 no minētajiem speciālistiem pilda komandas vad. = 8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Liene Ābola</author>
  </authors>
  <commentList>
    <comment ref="U32" authorId="0" shapeId="0" xr:uid="{8BD02B2E-31E5-42D0-8C40-673ABD76E70D}">
      <text>
        <r>
          <rPr>
            <b/>
            <sz val="9"/>
            <color indexed="81"/>
            <rFont val="Tahoma"/>
            <family val="2"/>
            <charset val="186"/>
          </rPr>
          <t>Liene Ābola:</t>
        </r>
        <r>
          <rPr>
            <sz val="9"/>
            <color indexed="81"/>
            <rFont val="Tahoma"/>
            <family val="2"/>
            <charset val="186"/>
          </rPr>
          <t xml:space="preserve">
Kāpēc pus gadam?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63" authorId="0" shapeId="0" xr:uid="{1755DF5A-B2B0-4B00-95C6-5D2624CDCFA5}">
      <text>
        <r>
          <rPr>
            <sz val="8"/>
            <color indexed="81"/>
            <rFont val="Tahoma"/>
            <family val="2"/>
            <charset val="186"/>
          </rPr>
          <t>Tikai SIA Cilvēks manipulāciju skaits.</t>
        </r>
      </text>
    </comment>
  </commentList>
</comments>
</file>

<file path=xl/sharedStrings.xml><?xml version="1.0" encoding="utf-8"?>
<sst xmlns="http://schemas.openxmlformats.org/spreadsheetml/2006/main" count="2904" uniqueCount="1530">
  <si>
    <t>A</t>
  </si>
  <si>
    <t>D</t>
  </si>
  <si>
    <t>E</t>
  </si>
  <si>
    <t>Nr.</t>
  </si>
  <si>
    <t>-</t>
  </si>
  <si>
    <t>KOPĀ NEPIECIEŠAMAIS FINANSĒJUMS GADĀ, EURO</t>
  </si>
  <si>
    <t>EUR</t>
  </si>
  <si>
    <t>Pamatojums par ārstniecības līdzekļu izmaksām:</t>
  </si>
  <si>
    <t>Palielinoties pacientu skaitam paliatīvās aprūpes kabinetā, kā rezultātā ir palielinājušās izmaksas un kopējais medikamentu un ārstniecības līdzekļu izlietojums. VSIA "Bērnu klīniskās univeristātes slimnīca" 2020. gada sākumā iesniedza atskaiti par 2019. gadu medikamentu un ārstniecības līdzekļu izlietojumu paliatīvās aprūpes pacientu ambulatorai ārstēšanai.</t>
  </si>
  <si>
    <t>Pašreizējais finansējums ārstniecības līdzekļiem, euro</t>
  </si>
  <si>
    <t>Nepieciešamais finansējums ārstniecības līdzekļiem, ņemot vērā to faktisko izlietojumu (saskaņā ar BKUS iesniegtu atskaiti), euro</t>
  </si>
  <si>
    <t>PAPILDUS NEPIECIEŠAMAIS FINANSĒJUMS ĀRSTNIECĪBAS LĪDZEKĻIEM GADĀ, EURO</t>
  </si>
  <si>
    <t>KOPĒJĀS IZMAKSAS TRANSPOTA IZMAKSĀM BĒRNIEM UN PIEAUGUŠAJIEM</t>
  </si>
  <si>
    <t>Pamatojums par transporta izmaksām:</t>
  </si>
  <si>
    <t>VSIA "Bērnu klīniskā univeristātes slimnīca" informēja Dienestu, ka ar pašreizējo apamskas modeli netiek nosegtas iestādes transporta izmaksas, lai nodrošinātu Paliatīvās aprūpes kabineta uzskaitē esošiem pacientiem mājas vizītes. Tāpēc VSIA "Bērnu klīniskā universitātes slimnīca" 2019. gadā iesniedza vidējās transporta izmaksas, lai nodrošinātu Paliatīvās aprūpes kabineta uzskaitē esošajiem pacientiem mākslīgo plaušu ventilāciju mājas vizītes ietvaros.</t>
  </si>
  <si>
    <t>Transportlīdzekļa izmaksas</t>
  </si>
  <si>
    <t>Euro, gadā</t>
  </si>
  <si>
    <t>Vidējais nobraukums, km</t>
  </si>
  <si>
    <t>Vidēji uz 1 km</t>
  </si>
  <si>
    <t>Amortizācija</t>
  </si>
  <si>
    <t>Uzturēšana, t.sk. ekspluatācijas nodoklis un tehniskā apskate</t>
  </si>
  <si>
    <t>Degvielas patēriņš</t>
  </si>
  <si>
    <t>uz 100 km, litri</t>
  </si>
  <si>
    <t>Degvielas cena par 1 litru</t>
  </si>
  <si>
    <t>Izmaksas uz 1km</t>
  </si>
  <si>
    <t>Plānotais nobraukums gada laikā, km</t>
  </si>
  <si>
    <t>Pacientu skaits</t>
  </si>
  <si>
    <t>Vidējais attālums vienā virzienā, km</t>
  </si>
  <si>
    <t>Plānotais vizīšu skaits</t>
  </si>
  <si>
    <t>Nobrauktais attālums kopā</t>
  </si>
  <si>
    <t>Plānotais vizīšu skaits gadā</t>
  </si>
  <si>
    <t>Pacienti Rīgā</t>
  </si>
  <si>
    <t>Pacienti 60 km rādiusā ap Rīgu</t>
  </si>
  <si>
    <t>Pacienti citos Latvijas reģionos</t>
  </si>
  <si>
    <t>FINANSĒJUMS TRANSPORTAM GADĀ, EURO</t>
  </si>
  <si>
    <t>Transporta vadītāja atalgojums:</t>
  </si>
  <si>
    <t>Atalgojums mēnesī</t>
  </si>
  <si>
    <t>Stundas likme</t>
  </si>
  <si>
    <t>Ceļā patērētais laiks, min</t>
  </si>
  <si>
    <t>Kopējais patērētais laiks, min</t>
  </si>
  <si>
    <t>Kopējais patērētais laiks, stundās</t>
  </si>
  <si>
    <t>Alga EUR/ gadā</t>
  </si>
  <si>
    <t>FINANSĒJUMS TRANSPORTA VADĪTĀJA ATALGOJUMAMA GADĀ, EURO*</t>
  </si>
  <si>
    <r>
      <t xml:space="preserve">2) Paliatīvās aprūpes transporta izmaksas </t>
    </r>
    <r>
      <rPr>
        <b/>
        <u/>
        <sz val="15"/>
        <color theme="1"/>
        <rFont val="Times New Roman"/>
        <family val="1"/>
        <charset val="186"/>
      </rPr>
      <t>pieaugušajiem</t>
    </r>
  </si>
  <si>
    <t>Plānotais pacientu skaits 2020. gadā</t>
  </si>
  <si>
    <t>Plānotais pacientu skaits mājas vizītēm 2020. gadā</t>
  </si>
  <si>
    <t xml:space="preserve">Plānotais vizīšu skaits </t>
  </si>
  <si>
    <t>FINANSĒJUMS TRANSPORTA VADĪTĀJA ATALGOJUMAMA GADĀ, EURO</t>
  </si>
  <si>
    <t xml:space="preserve"> </t>
  </si>
  <si>
    <t>1) Ambulatorās veselības aprūpes pakalpojuma "Mājas aprūpe" plānotais apjoms:</t>
  </si>
  <si>
    <t>Plānotais fiansējums 2020.gadam</t>
  </si>
  <si>
    <t>plānotais izmeklējumu skaits 2020.gadam</t>
  </si>
  <si>
    <t>Finansējums 2020.gadam, EUR (15% pieaugums)</t>
  </si>
  <si>
    <t>Papildus nepieciešamais finansējums, EUR</t>
  </si>
  <si>
    <t>Pamatojums</t>
  </si>
  <si>
    <t>Pacientu skaits rindā</t>
  </si>
  <si>
    <t>faktiski veiktais darbs 2020.gada 1.cet, EUR ****</t>
  </si>
  <si>
    <t>faktiski veiktais izmeklējumu skaits 2020.gada 1.cet</t>
  </si>
  <si>
    <t>izpilde 2020.gada 1.cet</t>
  </si>
  <si>
    <t>veselības aprūpes pakalpojumiem mājās (AP41, AP42)***</t>
  </si>
  <si>
    <t>Ņemot vērā pakalpojumu pieprasījumu, pakalpojumu nodrošināšanai mājās pacientiem ar smagām slimībām, kur pacientu veselības stāvoklis nepieļauj gaidīšanas laiku pakalpojumu saņemšanai un līdz ar to arī navr veidot gaidīšanas rindas; Pakalpojuma nepārtrauktības nodrošināšanai nepieciešams finansējuma palielinājums par 15%</t>
  </si>
  <si>
    <t>*** mājas aprūpes pakalpojumiem 15% pieaugums</t>
  </si>
  <si>
    <t>**** veiktais darbs (izpildes) 2020.gada 1.cet. no rēķiniem</t>
  </si>
  <si>
    <t>2) Pārrēķinātie manipulāciju tarifi saistībā ar sniegtiem pakalpojumiem mājas aprūpē:</t>
  </si>
  <si>
    <t>Darba samaksa ārstam, euro</t>
  </si>
  <si>
    <t>Darba samaksa māsai, euro</t>
  </si>
  <si>
    <t>Darba samaksa jaunākajam personālam, euro</t>
  </si>
  <si>
    <t>Valsts sociālās apdrošināšanas obligātās iemaksas, %</t>
  </si>
  <si>
    <t xml:space="preserve">Pieskaitāmās un netiešās ražošanas izmaksas </t>
  </si>
  <si>
    <t xml:space="preserve">Administratīvās izmaksas </t>
  </si>
  <si>
    <t xml:space="preserve">Pārējo pamatlīdzekļu amortizācija </t>
  </si>
  <si>
    <t>Mēneša darba samaksa</t>
  </si>
  <si>
    <t>1 minūtes vērtība darba samaksai</t>
  </si>
  <si>
    <t>Koeficienti</t>
  </si>
  <si>
    <t>Manip. kods</t>
  </si>
  <si>
    <t>Manipulācijas nosaukums</t>
  </si>
  <si>
    <t>Darba laiks (minūtes)</t>
  </si>
  <si>
    <t>Darba samaksa D, euro</t>
  </si>
  <si>
    <t>Valsts sociālās adrošināšanas obligātās iemaksas S, euro</t>
  </si>
  <si>
    <t>Ārstniecības līdzekļi M, euro</t>
  </si>
  <si>
    <t>Iekārtu amortizācija N, euro</t>
  </si>
  <si>
    <t>Citi pieskaitāmie izdevumi, u', euro</t>
  </si>
  <si>
    <t>Pieskaitāmās un netiešās ražošanas izmaksas U, euro</t>
  </si>
  <si>
    <t>Administratīvās izmaksas A, euro</t>
  </si>
  <si>
    <t>Pārējo pamatlīdzekļu amortizācija n, euro</t>
  </si>
  <si>
    <t>Tarif, EUR</t>
  </si>
  <si>
    <t>Spēkā esošs tarifs, EUR</t>
  </si>
  <si>
    <t>Tarifa pieaugums, EUR</t>
  </si>
  <si>
    <t>Plānotais pacientu skaits gadā</t>
  </si>
  <si>
    <t>PAPILDUS NEPIECIEŠAMAIS FINANSĒJUMS GADĀ, EURO</t>
  </si>
  <si>
    <t>ārstam</t>
  </si>
  <si>
    <t>māsai</t>
  </si>
  <si>
    <t>jaunākajam personālām</t>
  </si>
  <si>
    <t>jaunākajam personālam</t>
  </si>
  <si>
    <t>ārstam, māsai un jaunākajam personālām kopā</t>
  </si>
  <si>
    <t>M kopā</t>
  </si>
  <si>
    <t>Medikamenti / reaģenti</t>
  </si>
  <si>
    <t>Materiāli</t>
  </si>
  <si>
    <t>10 = 11 + 12</t>
  </si>
  <si>
    <t>Speciālista vai ģimenes ārsta mājas vizīte pie pacienta, kuram nepieciešama ilgstoša mākslīgā plaušu ventilācija</t>
  </si>
  <si>
    <t>Ārstniecības un pacientu aprūpes personas mājas vizīte pie pacienta, kuram nepieciešama ilgstoša mākslīgā plaušu ventilācija</t>
  </si>
  <si>
    <t>Mākslīgās plaušu ventilācijas iekārtas izmantošana pacientam, kuram mājās nepieciešama ilgstoša mākslīgā plaušu ventilācija, iekļauti tikai ārstniecības līdzekļi (par vienu dienu)</t>
  </si>
  <si>
    <t>KOPĀ:</t>
  </si>
  <si>
    <t>3) Jaunie iesniegtie manipulāciju tarifi saistībā ar sniegtiem pakalpojumiem mājas aprūpē:</t>
  </si>
  <si>
    <t>Manip. kods (ja ir iezīmēts)</t>
  </si>
  <si>
    <t>Manipulācijas plānotais nosaukums</t>
  </si>
  <si>
    <t>Valsts sociālās apdrošināšanas obligātās iemaksas S, euro</t>
  </si>
  <si>
    <t>Iekārtu nolietojums N, euro</t>
  </si>
  <si>
    <t>Plānotais pakalpojumu skaits gadā</t>
  </si>
  <si>
    <t>Plānotais manipulāciju skaits vienam pacientam gadā</t>
  </si>
  <si>
    <t>Pozitīva spiediena elpceļos nodrošināšana mājas aprūpē, par vienu dienu (tikai ārstniecības līdzekļi)</t>
  </si>
  <si>
    <t>Skābekļa terapijas nodrošināšana mājas aprūpē, par vienu dienu (tikai ārstniecības līdzekļi)</t>
  </si>
  <si>
    <t>Inhalāciju nodrošināšana mājas aprūpē, par vienu dienu (tikai ārstniecības līdzekļi)</t>
  </si>
  <si>
    <t>PAPILDU NEPIECIEŠAMAIS FINANSĒJUMS KONKURĒTSPĒJĪGAM ATALGOJUMAM:</t>
  </si>
  <si>
    <t>Vidējais ārstēšanas ilgums</t>
  </si>
  <si>
    <t>Papildus npeieciešamais finansējums, EUR</t>
  </si>
  <si>
    <t>2) Paliatīvās aprūpes speciālista aprūpes epizožu tarifs:</t>
  </si>
  <si>
    <t>Specialitāte</t>
  </si>
  <si>
    <r>
      <t>Tarifs (</t>
    </r>
    <r>
      <rPr>
        <i/>
        <sz val="11"/>
        <rFont val="Times New Roman"/>
        <family val="1"/>
        <charset val="186"/>
      </rPr>
      <t>euro</t>
    </r>
    <r>
      <rPr>
        <sz val="11"/>
        <rFont val="Times New Roman"/>
        <family val="1"/>
        <charset val="186"/>
      </rPr>
      <t>)</t>
    </r>
  </si>
  <si>
    <t>Epizožu skaits 2019.gadā</t>
  </si>
  <si>
    <t>Finansējuma apmērs gadā (euro)</t>
  </si>
  <si>
    <r>
      <t>Paaugstināts tarifs (</t>
    </r>
    <r>
      <rPr>
        <i/>
        <sz val="11"/>
        <rFont val="Times New Roman"/>
        <family val="1"/>
        <charset val="186"/>
      </rPr>
      <t>euro</t>
    </r>
    <r>
      <rPr>
        <sz val="11"/>
        <rFont val="Times New Roman"/>
        <family val="1"/>
        <charset val="186"/>
      </rPr>
      <t>)</t>
    </r>
  </si>
  <si>
    <t>Finansējuma apmērs gadā ar paaugstinātu tarifu (euro)</t>
  </si>
  <si>
    <t>5.48.</t>
  </si>
  <si>
    <t>Paliatīvās aprūpes speciālists</t>
  </si>
  <si>
    <t>3) Paliatīvās aprūpes kabinets, palielinoties atalgojumam:</t>
  </si>
  <si>
    <t>1 slodze</t>
  </si>
  <si>
    <t>0.5 slodze</t>
  </si>
  <si>
    <t>0.25 slodze</t>
  </si>
  <si>
    <t>VSAOI</t>
  </si>
  <si>
    <t>Darba samaksa ārstam</t>
  </si>
  <si>
    <t>Darba samaksa ārstam ar 0.3 koef.</t>
  </si>
  <si>
    <t xml:space="preserve">Darba samaksa māsai </t>
  </si>
  <si>
    <t>Darba samaksa māsai ar 0.3 koef.</t>
  </si>
  <si>
    <t>Patreizējais finansējums</t>
  </si>
  <si>
    <t>Finansējums piemērojot koeficientu darba samaksai</t>
  </si>
  <si>
    <t>N.p.k.</t>
  </si>
  <si>
    <t>Ārstniecības iestāde</t>
  </si>
  <si>
    <t>Kabinetu skaits</t>
  </si>
  <si>
    <t>Ārsts</t>
  </si>
  <si>
    <t>Ārstniecības un pacientu aprūpes persona</t>
  </si>
  <si>
    <t>Darba samaksa, EUR</t>
  </si>
  <si>
    <t>Valsts sociālās apdrošināšanas obligātās iemaksas, EUR</t>
  </si>
  <si>
    <t xml:space="preserve">Darbības nodrošināšanai nepieciešamie līdzekļi, EUR </t>
  </si>
  <si>
    <t>Finansējuma gada apjoms, EUR</t>
  </si>
  <si>
    <t>Finansējuma apjoms 01.07.2020. līdz 31.12.2020., EUR</t>
  </si>
  <si>
    <t>Personu skaits</t>
  </si>
  <si>
    <t>Slodzes apjoms</t>
  </si>
  <si>
    <t xml:space="preserve">Slodzes apjoms </t>
  </si>
  <si>
    <t>Liepājas reģionālā slimnīca, SIA</t>
  </si>
  <si>
    <t>Daugavpils reģionālā slimnīca, SIA</t>
  </si>
  <si>
    <r>
      <t xml:space="preserve">Bērnu klīniskā universitātes slimnīca, VSIA </t>
    </r>
    <r>
      <rPr>
        <b/>
        <i/>
        <sz val="11"/>
        <rFont val="Times New Roman"/>
        <family val="1"/>
        <charset val="186"/>
      </rPr>
      <t>Rīgas nodaļa*</t>
    </r>
  </si>
  <si>
    <r>
      <t>Bērnu klīniskā universitātes slimnīca, VSIA</t>
    </r>
    <r>
      <rPr>
        <b/>
        <i/>
        <sz val="11"/>
        <rFont val="Times New Roman"/>
        <family val="1"/>
        <charset val="186"/>
      </rPr>
      <t xml:space="preserve"> Kurzemes nodaļa</t>
    </r>
  </si>
  <si>
    <r>
      <t>Kuldīgas slimnīca</t>
    </r>
    <r>
      <rPr>
        <b/>
        <sz val="11"/>
        <rFont val="Times New Roman"/>
        <family val="1"/>
        <charset val="186"/>
      </rPr>
      <t xml:space="preserve"> **</t>
    </r>
  </si>
  <si>
    <r>
      <t xml:space="preserve">Kuldīgas slimnīca </t>
    </r>
    <r>
      <rPr>
        <b/>
        <sz val="11"/>
        <rFont val="Times New Roman"/>
        <family val="1"/>
        <charset val="186"/>
      </rPr>
      <t>**</t>
    </r>
  </si>
  <si>
    <t>* BKUS aprēķinot darba algu tiek iekļauta (1) 3 ārsta slodzes dienā, 1.5 ārsta slodzes naktī, svētku un brīvdienu slodzes apjoms; (2) 3 māsas slodzes dienā, 1.5 māsas slodzes naktī, svētku un brīvdienu slodzes apjoms.</t>
  </si>
  <si>
    <t>** Kuldīgas slimnīcā Paliatīvās aprūpes kabinets sāks sniegt paliatīvās aprūpes pakalpojumus no 1.06.2020., kā rezultātā, finansējums 2020. gadam tiek aprēķinas uz 7 mēnešiem</t>
  </si>
  <si>
    <t>2020.g.</t>
  </si>
  <si>
    <t>Dienas</t>
  </si>
  <si>
    <t>Vidējā darba samaksa, EUR</t>
  </si>
  <si>
    <t>Gadā</t>
  </si>
  <si>
    <t>Ārsti</t>
  </si>
  <si>
    <t>gultasdienas</t>
  </si>
  <si>
    <t>Ārstniecības un pacientu aprūpes personas</t>
  </si>
  <si>
    <t>10 gultas</t>
  </si>
  <si>
    <t>Ārstniecības un pacientu aprūpes atbalsta personas</t>
  </si>
  <si>
    <t>8 gultas</t>
  </si>
  <si>
    <t>Diennaktī</t>
  </si>
  <si>
    <t>slodzes</t>
  </si>
  <si>
    <t>6 gultas</t>
  </si>
  <si>
    <t>Atvaļinājuma rezerves</t>
  </si>
  <si>
    <t>5 gultas</t>
  </si>
  <si>
    <t>Slodze KOPĀ</t>
  </si>
  <si>
    <t>1 slodze 9600 min. mēnesī</t>
  </si>
  <si>
    <t>1 gd min.</t>
  </si>
  <si>
    <t>Vienas gultasdienas izmaksas, EUR</t>
  </si>
  <si>
    <t xml:space="preserve">Normatīvs gultu skaits </t>
  </si>
  <si>
    <t>Paliatīvās aprūpes gulta</t>
  </si>
  <si>
    <t>Slodzes diennaktī</t>
  </si>
  <si>
    <r>
      <t xml:space="preserve">Pamatatalgojuma </t>
    </r>
    <r>
      <rPr>
        <b/>
        <u/>
        <sz val="11"/>
        <color theme="1"/>
        <rFont val="Times New Roman"/>
        <family val="1"/>
        <charset val="186"/>
      </rPr>
      <t>min.kopā</t>
    </r>
    <r>
      <rPr>
        <sz val="11"/>
        <color theme="1"/>
        <rFont val="Times New Roman"/>
        <family val="1"/>
        <charset val="186"/>
      </rPr>
      <t xml:space="preserve"> gadā</t>
    </r>
  </si>
  <si>
    <t>Atvaļinājuma rezerves min.</t>
  </si>
  <si>
    <t>Gultadienu skaits</t>
  </si>
  <si>
    <t>Pamatatalgojuma min.</t>
  </si>
  <si>
    <t>Darba samaksa</t>
  </si>
  <si>
    <t>Valsts sociālās apdrošināšanas obligātās iemaksas</t>
  </si>
  <si>
    <t>Atalgojums kopā</t>
  </si>
  <si>
    <t>Ārsts un māsa</t>
  </si>
  <si>
    <t>Funkcionālie speciālisti</t>
  </si>
  <si>
    <r>
      <t xml:space="preserve">Funkcionālais speciālists </t>
    </r>
    <r>
      <rPr>
        <vertAlign val="superscript"/>
        <sz val="11"/>
        <color theme="1"/>
        <rFont val="Times New Roman"/>
        <family val="1"/>
        <charset val="186"/>
      </rPr>
      <t>2</t>
    </r>
  </si>
  <si>
    <t>Uztura speciālists</t>
  </si>
  <si>
    <t>Atbalsta personāls</t>
  </si>
  <si>
    <t>Atbalsta personāls (māsu palīgs/ sanitārs)</t>
  </si>
  <si>
    <t>Apkopēji, sociālais darbinieks, sociālais aprūpētājs</t>
  </si>
  <si>
    <t>Nodaļas vadība</t>
  </si>
  <si>
    <t>Nodaļas vadītājs</t>
  </si>
  <si>
    <t>Virsmāsa</t>
  </si>
  <si>
    <t>Kopā</t>
  </si>
  <si>
    <t>Noslodze</t>
  </si>
  <si>
    <t>Vidējais ārstēšanas ilgums (dienas): Paliatīvais pacients</t>
  </si>
  <si>
    <t>Ēdināšana</t>
  </si>
  <si>
    <t>Ārstniecības iestāžu anketēšana</t>
  </si>
  <si>
    <t>Neatliekamā palīdzība</t>
  </si>
  <si>
    <t>Programmas izmaksas</t>
  </si>
  <si>
    <t>Anestēzijas pakalpojumi</t>
  </si>
  <si>
    <t>Pārējās ārstniecības manipulācijas</t>
  </si>
  <si>
    <t>Laboratorijas izmeklējumi</t>
  </si>
  <si>
    <t>2020 gada viens izmeklējums kopā ar histoloģiju vidēji izmaksā EUR 3.31. Vidēji vienam pacienta tiek veikti 13 izmeklējumi: 3.31*13 = EUR 43.03</t>
  </si>
  <si>
    <t>Elektrokardiogrāfija</t>
  </si>
  <si>
    <t>Viena izmeklējuma vidējās izmaksas (2020)</t>
  </si>
  <si>
    <t>Datortomogrāfija</t>
  </si>
  <si>
    <t>Rentgenoloģija</t>
  </si>
  <si>
    <t>USG</t>
  </si>
  <si>
    <t>Endoskopija</t>
  </si>
  <si>
    <t>Morfoloģija, toksikoloģija</t>
  </si>
  <si>
    <t>Tehniskie palīglīdzekļi</t>
  </si>
  <si>
    <t>Aprēķins; skat. Sheetu</t>
  </si>
  <si>
    <t>Transports uz mājām</t>
  </si>
  <si>
    <t>Administrācija</t>
  </si>
  <si>
    <t>Uzturēšana, t.sk. kopšanas līdzekļi</t>
  </si>
  <si>
    <t>KOPĀ</t>
  </si>
  <si>
    <t>2019,g. bāze</t>
  </si>
  <si>
    <t>Izmaksas kopā, EUR</t>
  </si>
  <si>
    <t>Laiks (min.)</t>
  </si>
  <si>
    <t>Slodzes</t>
  </si>
  <si>
    <t>Manip.kods</t>
  </si>
  <si>
    <t>Nosaukums</t>
  </si>
  <si>
    <t>Tarifs, EUR [2020]</t>
  </si>
  <si>
    <t>Manipulāciju skaits kopā</t>
  </si>
  <si>
    <t>[D+S]</t>
  </si>
  <si>
    <t xml:space="preserve">Darba samaksa </t>
  </si>
  <si>
    <t>Ārstniecības līdzekļi</t>
  </si>
  <si>
    <t>Izdevumi, saistīti ar pacientu ēdināšanu</t>
  </si>
  <si>
    <t>Netiešās izmaksas [U,A,N]</t>
  </si>
  <si>
    <t>Pieskaitāmās un netiešās ražošanas izmaksas</t>
  </si>
  <si>
    <t>Administratīvie izdevumi</t>
  </si>
  <si>
    <t>Tarifs</t>
  </si>
  <si>
    <t>Ārsta</t>
  </si>
  <si>
    <t>Māsas</t>
  </si>
  <si>
    <t>Pārējie</t>
  </si>
  <si>
    <t xml:space="preserve">D </t>
  </si>
  <si>
    <t>S</t>
  </si>
  <si>
    <t>M</t>
  </si>
  <si>
    <t>U</t>
  </si>
  <si>
    <t>N</t>
  </si>
  <si>
    <t>D+S</t>
  </si>
  <si>
    <t>03224</t>
  </si>
  <si>
    <t xml:space="preserve"> NEATLIEKAMĀ PALĪDZĪBA kopā</t>
  </si>
  <si>
    <t>Vidēji uz vienu pacientu</t>
  </si>
  <si>
    <t>Vidēji uz vienu GD</t>
  </si>
  <si>
    <t>04115</t>
  </si>
  <si>
    <t>04125</t>
  </si>
  <si>
    <t>04133</t>
  </si>
  <si>
    <t>04140</t>
  </si>
  <si>
    <t>04142</t>
  </si>
  <si>
    <t>04143</t>
  </si>
  <si>
    <t>04146</t>
  </si>
  <si>
    <t>04157</t>
  </si>
  <si>
    <t>04158</t>
  </si>
  <si>
    <t>04159</t>
  </si>
  <si>
    <t>04171</t>
  </si>
  <si>
    <t>04172</t>
  </si>
  <si>
    <t>04173</t>
  </si>
  <si>
    <t>04174</t>
  </si>
  <si>
    <t>04198</t>
  </si>
  <si>
    <t>04199</t>
  </si>
  <si>
    <t>ANESTĒZIJAS PAKALPOJUMI kopā</t>
  </si>
  <si>
    <t>06033</t>
  </si>
  <si>
    <t>08061</t>
  </si>
  <si>
    <t>08062</t>
  </si>
  <si>
    <t>08063</t>
  </si>
  <si>
    <t>08113</t>
  </si>
  <si>
    <t>08130</t>
  </si>
  <si>
    <t>08133</t>
  </si>
  <si>
    <t>08136</t>
  </si>
  <si>
    <t>20251</t>
  </si>
  <si>
    <t>21042</t>
  </si>
  <si>
    <t>23121</t>
  </si>
  <si>
    <t>31001</t>
  </si>
  <si>
    <t>31186</t>
  </si>
  <si>
    <t>31188</t>
  </si>
  <si>
    <t>41079</t>
  </si>
  <si>
    <t>44075</t>
  </si>
  <si>
    <t>46115</t>
  </si>
  <si>
    <t>46153</t>
  </si>
  <si>
    <t>46154</t>
  </si>
  <si>
    <t>46156</t>
  </si>
  <si>
    <t>46158</t>
  </si>
  <si>
    <t xml:space="preserve"> LABORATORIJAS IZMEKLĒJUMI kopā</t>
  </si>
  <si>
    <t>50118</t>
  </si>
  <si>
    <t>50144</t>
  </si>
  <si>
    <t>50145</t>
  </si>
  <si>
    <t>50146</t>
  </si>
  <si>
    <t>50152</t>
  </si>
  <si>
    <t>50165</t>
  </si>
  <si>
    <t>50239</t>
  </si>
  <si>
    <t>50274</t>
  </si>
  <si>
    <t>50403</t>
  </si>
  <si>
    <t>50509</t>
  </si>
  <si>
    <t>50515</t>
  </si>
  <si>
    <t>50521</t>
  </si>
  <si>
    <t>50529</t>
  </si>
  <si>
    <t>50531</t>
  </si>
  <si>
    <t>50533</t>
  </si>
  <si>
    <t>50540</t>
  </si>
  <si>
    <t>50552</t>
  </si>
  <si>
    <t>50556</t>
  </si>
  <si>
    <t>50557</t>
  </si>
  <si>
    <t>50569</t>
  </si>
  <si>
    <t>50573</t>
  </si>
  <si>
    <t>50574</t>
  </si>
  <si>
    <t>50577</t>
  </si>
  <si>
    <t>50578</t>
  </si>
  <si>
    <t>50582</t>
  </si>
  <si>
    <t>50587</t>
  </si>
  <si>
    <t>50605</t>
  </si>
  <si>
    <t>50606</t>
  </si>
  <si>
    <t>50609</t>
  </si>
  <si>
    <t>50610</t>
  </si>
  <si>
    <t>50611</t>
  </si>
  <si>
    <t>50629</t>
  </si>
  <si>
    <t>50630</t>
  </si>
  <si>
    <t>50720</t>
  </si>
  <si>
    <t>50724</t>
  </si>
  <si>
    <t>50725</t>
  </si>
  <si>
    <t>50726</t>
  </si>
  <si>
    <t>50824</t>
  </si>
  <si>
    <t>50829</t>
  </si>
  <si>
    <t>50831</t>
  </si>
  <si>
    <t>50834</t>
  </si>
  <si>
    <t>50836</t>
  </si>
  <si>
    <t>50845</t>
  </si>
  <si>
    <t>RADIOLOĢIJA kopā</t>
  </si>
  <si>
    <t>54001</t>
  </si>
  <si>
    <t>54007</t>
  </si>
  <si>
    <t>54008</t>
  </si>
  <si>
    <t>54009</t>
  </si>
  <si>
    <t>54010</t>
  </si>
  <si>
    <t>54016</t>
  </si>
  <si>
    <t>MORFOLOĢIJA, TOKSIKOLOĢIJA kopā</t>
  </si>
  <si>
    <t>Pacientu skaits:</t>
  </si>
  <si>
    <t>Gultasdienu skaits</t>
  </si>
  <si>
    <t>55155</t>
  </si>
  <si>
    <t>Fizikālās un rehabilitācijas medicīnas ārsta veikta pacienta funkcionālā novērtēšana (1 stunda)</t>
  </si>
  <si>
    <t>55156</t>
  </si>
  <si>
    <t>Funkcionālā speciālista nodarbība (15 minūtes)</t>
  </si>
  <si>
    <t>55182</t>
  </si>
  <si>
    <t>Individuāla rehabilitācijas plāna izstrādāšana stacionāram pacientam. Rehabilitācijas komandas apspriede, norāda katrs iesaistītais rehabilitācijas speciālists</t>
  </si>
  <si>
    <t xml:space="preserve">AKŪTA REHABILITĀCIJA kopā </t>
  </si>
  <si>
    <t>Paliatīvā aprūpe:</t>
  </si>
  <si>
    <t>Izmaksas:</t>
  </si>
  <si>
    <t>Nolietojums (dienās):</t>
  </si>
  <si>
    <t>Izmaksas uz 1 gultas dienu:</t>
  </si>
  <si>
    <t>B20-B24</t>
  </si>
  <si>
    <t>Humānā imūndeficīta vīrusa (HIV) infekcija</t>
  </si>
  <si>
    <t>Mobilitāte:</t>
  </si>
  <si>
    <t>C00-C97</t>
  </si>
  <si>
    <t>Ļaundabīgi audzēji</t>
  </si>
  <si>
    <t>Rolators</t>
  </si>
  <si>
    <t>Izmakasas un nolietojums no rehabilitācijas tarifiem</t>
  </si>
  <si>
    <t>D37- D48</t>
  </si>
  <si>
    <t>Neskaidras vai nezināmas dabas audzēji</t>
  </si>
  <si>
    <t>Manuālais riteņkrēsls</t>
  </si>
  <si>
    <t>G05</t>
  </si>
  <si>
    <t>Encefalīts, mielīts un encefalomielīts citur klasificētu slimību dēļ</t>
  </si>
  <si>
    <t>Komforta riteņkrēsls</t>
  </si>
  <si>
    <t>Vidējā izmaksas vienam riteņkrēslam</t>
  </si>
  <si>
    <t>G12</t>
  </si>
  <si>
    <t>Spināla muskuļu atrofija un citi radniecīgi sindromi</t>
  </si>
  <si>
    <t>Pārvietošanās galds</t>
  </si>
  <si>
    <t>G13</t>
  </si>
  <si>
    <t>Centrālās nervu sistēmas primāras sistemātikas atrofijas citur klasificētu slimību deļ</t>
  </si>
  <si>
    <t>Pašaprūpe:</t>
  </si>
  <si>
    <t>G35</t>
  </si>
  <si>
    <t>Multiplā skleroze</t>
  </si>
  <si>
    <t>Dušas krēsls</t>
  </si>
  <si>
    <t>G54.6</t>
  </si>
  <si>
    <t>Ekstremitātes fantoma sindroms ar sāpēm</t>
  </si>
  <si>
    <t>Tualetes krēsls</t>
  </si>
  <si>
    <t>Vidējā izmaksas vienam tualetes krēslam</t>
  </si>
  <si>
    <t>G55.0</t>
  </si>
  <si>
    <t>Nervu saknīšu un pinumu kompresija audzēja dēļ (C00-D48)</t>
  </si>
  <si>
    <t>Atbalsta rokturi tualetes telpām</t>
  </si>
  <si>
    <t>Vidējā izmaksas atbalsta rokturiem</t>
  </si>
  <si>
    <t>G60.0</t>
  </si>
  <si>
    <t>Pārmantota motoriska un sensoriska neiropātija</t>
  </si>
  <si>
    <t>G61.0</t>
  </si>
  <si>
    <r>
      <t>Gijēna - Barē (</t>
    </r>
    <r>
      <rPr>
        <i/>
        <sz val="12"/>
        <color theme="1"/>
        <rFont val="Times New Roman"/>
        <family val="1"/>
        <charset val="186"/>
      </rPr>
      <t>Guillain - Barre</t>
    </r>
    <r>
      <rPr>
        <sz val="12"/>
        <color theme="1"/>
        <rFont val="Times New Roman"/>
        <family val="1"/>
        <charset val="186"/>
      </rPr>
      <t>) sindroms</t>
    </r>
  </si>
  <si>
    <t>G63.1</t>
  </si>
  <si>
    <t>Polineiropātija audzēju dēļ</t>
  </si>
  <si>
    <t>G70</t>
  </si>
  <si>
    <r>
      <rPr>
        <i/>
        <sz val="12"/>
        <color theme="1"/>
        <rFont val="Times New Roman"/>
        <family val="1"/>
        <charset val="186"/>
      </rPr>
      <t>Myasthenia gravis</t>
    </r>
    <r>
      <rPr>
        <sz val="12"/>
        <color theme="1"/>
        <rFont val="Times New Roman"/>
        <family val="1"/>
        <charset val="186"/>
      </rPr>
      <t xml:space="preserve"> un citas mioneirālas patoloģijas</t>
    </r>
  </si>
  <si>
    <t>G95.1</t>
  </si>
  <si>
    <t>Vaskulāras mielopātijas</t>
  </si>
  <si>
    <t>G95.2</t>
  </si>
  <si>
    <t>Neprecizēta muguras smadzeņu kompresija</t>
  </si>
  <si>
    <t>G99.2</t>
  </si>
  <si>
    <t>Mielopātija citur klasificētu slimību dēļ</t>
  </si>
  <si>
    <t>I50</t>
  </si>
  <si>
    <t>Sirds mazspēja</t>
  </si>
  <si>
    <t>I69</t>
  </si>
  <si>
    <t>Cerebrovaskulāru slimību sekas</t>
  </si>
  <si>
    <t>K22.2</t>
  </si>
  <si>
    <t>Barības vada obstrukcija</t>
  </si>
  <si>
    <t>L89</t>
  </si>
  <si>
    <r>
      <t>Izgulējumi (</t>
    </r>
    <r>
      <rPr>
        <i/>
        <sz val="12"/>
        <color theme="1"/>
        <rFont val="Times New Roman"/>
        <family val="1"/>
        <charset val="186"/>
      </rPr>
      <t>decubitus</t>
    </r>
    <r>
      <rPr>
        <sz val="12"/>
        <color theme="1"/>
        <rFont val="Times New Roman"/>
        <family val="1"/>
        <charset val="186"/>
      </rPr>
      <t>)</t>
    </r>
  </si>
  <si>
    <t>T91.3</t>
  </si>
  <si>
    <t>Muguras smadzeņu bojājumu sekas</t>
  </si>
  <si>
    <t xml:space="preserve"> +b Z51.5</t>
  </si>
  <si>
    <t>Paliatīvā aprūpe</t>
  </si>
  <si>
    <t>Nr.p.k.</t>
  </si>
  <si>
    <t>Periods</t>
  </si>
  <si>
    <t>Nobraukto kilometru skaits</t>
  </si>
  <si>
    <t>Nogādāto pacientu skaits</t>
  </si>
  <si>
    <t>Viena kilometra cena*, EUR</t>
  </si>
  <si>
    <t>Plānotā apmaksa par periodu līdz 30.04., EUR</t>
  </si>
  <si>
    <t>Apr</t>
  </si>
  <si>
    <t>Vidzemes reģionālā slimnīca</t>
  </si>
  <si>
    <t>Bērnu klīniskā universitātes slimnīca</t>
  </si>
  <si>
    <t>Ogres slimnīca</t>
  </si>
  <si>
    <t>RAKUS_2</t>
  </si>
  <si>
    <t>RAKUS_1</t>
  </si>
  <si>
    <t>Daugavpils reģionālā slimnīca</t>
  </si>
  <si>
    <t>*t.sk. transporta vadītāja alga, IAL, auto izmaksas</t>
  </si>
  <si>
    <t>Vidēji nobrauktie km</t>
  </si>
  <si>
    <t>Viena brauciena izmaksas</t>
  </si>
  <si>
    <t>Vidējais ārstēšanas ilgums (dienas): Hroniskais pacients</t>
  </si>
  <si>
    <t>Vidējais ārstēšanas ilgums (dienas): Aprūpes pacients</t>
  </si>
  <si>
    <t>Transporta izmaksas uz 1 GD: Paliatīvais pacients</t>
  </si>
  <si>
    <t>Transporta izmaksas uz 1 GD: Hroniskais pacients</t>
  </si>
  <si>
    <t>Transporta izmaksas uz 1 GD: Aprūpes pacients</t>
  </si>
  <si>
    <t>PAPILDU NEPIECIEŠAMAIS FINANSĒJUMS APRŪPES GULTASDIENĀM:</t>
  </si>
  <si>
    <t>Aprūpes gulta</t>
  </si>
  <si>
    <t>Izmaksas kopā</t>
  </si>
  <si>
    <t>Izmaksu veids</t>
  </si>
  <si>
    <t>04106</t>
  </si>
  <si>
    <t>Spinālo nervu vada anestēzija</t>
  </si>
  <si>
    <t>04121</t>
  </si>
  <si>
    <t>Prolongētas epidurālās analgēzijas sistēmas uzlikšana. Nenorādīt kopā ar manipulācijām 04119, 04135</t>
  </si>
  <si>
    <t>04123</t>
  </si>
  <si>
    <t>Prolongētā epidurālā analgēzija ar zālēm bupivakaīnu (Bupivacaine) par pirmo diennakti</t>
  </si>
  <si>
    <t>Īslaicīga intravenozā anestēzija līdz 30 minūtēm. Nenorādīt kopā ar manipulācijām 04142 un 04143</t>
  </si>
  <si>
    <t>Vispārējā anestēzija ar endotraheālo metodi par pirmo stundu</t>
  </si>
  <si>
    <t>Piemaksa vispārējai anestēzijai ar endotraheālo metodi par katru nākamo stundu, sākot no otrās stundas</t>
  </si>
  <si>
    <t>Piemaksa par zāļu sevoflurāna (Sevoflurane) lietošanu pirmajā stundā</t>
  </si>
  <si>
    <t>Piemaksa par zāļu izoflurāna (Isoflurane) vai Sevoflurāna (Sevoflurane) lietošanu par katru nākamo stundu, sākot no otrās stundas</t>
  </si>
  <si>
    <t>04160</t>
  </si>
  <si>
    <t>Piemaksa par zāļu mivakūrija lietošanu par katru nākamo stundu, sākot no otrās stundas</t>
  </si>
  <si>
    <t>Centrālās vēnas punkcija un katetrizācija bez katetra vērtības</t>
  </si>
  <si>
    <t>Piemaksa par centrālās vēnas vienlūmena katetra lietošanu</t>
  </si>
  <si>
    <t>Piemaksa par centrālās vēnas divlūmenu katetra lietošanu</t>
  </si>
  <si>
    <t>04176</t>
  </si>
  <si>
    <t>Piemaksa par centrālās vēnas katetra ar antibakteriālu pārklājumu lietošanu</t>
  </si>
  <si>
    <t>Piemaksa par parenterālās barošanas maisījumu par vienu diennakti. Nenorādīt kopā ar manipulāciju 04199</t>
  </si>
  <si>
    <t>Piemaksa par enterālās barošanas maisījumu par vienu diennakti. Nenorādīt kopā ar manipulāciju 04198.</t>
  </si>
  <si>
    <t>Ehokardiogrāfija ar doplerogrāfiju</t>
  </si>
  <si>
    <t>Gastroskopija un/vai parciāla duodenoskopija ar parauga ekscīziju un/vai punkciju un ureāzes norādīšanu</t>
  </si>
  <si>
    <t>Resnās zarnas izmeklēšana ar elastīgiem endoskopiem, ieskaitot rektoskopiju un sigmoidoskopiju, parauga ekscīziju un/vai punkciju</t>
  </si>
  <si>
    <t>Piemaksa manipulācijām 08058, 08059, 08060, 08061, 08062, 08077, 08081, 08090, 08111, 08112, 08113, 08121, 08122 par videoendoskopijas aparatūras lietošanu</t>
  </si>
  <si>
    <t>Endoskopu automātiskā apstrāde (ieskaitot dezinfekcijas līdzekļus)</t>
  </si>
  <si>
    <t>20014</t>
  </si>
  <si>
    <t>Brūču primārā ķirurģiskā apdare, ieskaitot izgriešanu un noslēgšanu</t>
  </si>
  <si>
    <t>21043</t>
  </si>
  <si>
    <t>Distālā kuņģa rezekcija vai ekscīzija</t>
  </si>
  <si>
    <t>21132</t>
  </si>
  <si>
    <t>Piemaksa par mehānisko šūšanas aparātu – lineārais šuvējs</t>
  </si>
  <si>
    <t>21133</t>
  </si>
  <si>
    <t>Piemaksa par mehānisko šūšanas aparātu – lineārais griezējšuvējs (55 mm)</t>
  </si>
  <si>
    <t>Piemaksa par pacienta sildīšanas sistēmas un segas lietošanu vienai operācijai</t>
  </si>
  <si>
    <t>Antimikrosomālo antivielu noteikšana (ELISA)</t>
  </si>
  <si>
    <t>46132</t>
  </si>
  <si>
    <t>TSH receptoru antivielu noteikšana</t>
  </si>
  <si>
    <t>Audzēja marķieris CA-125</t>
  </si>
  <si>
    <t>Audzēja marķieris CA19-9</t>
  </si>
  <si>
    <t>PSA – prostatas specifiskais antigēns</t>
  </si>
  <si>
    <t>Audzēja marķieris CA15-3</t>
  </si>
  <si>
    <t>46159</t>
  </si>
  <si>
    <t>BMG – beta 2 mikroglobulīns</t>
  </si>
  <si>
    <t>Galvas, deguna blakusdobumu vai kakla mīksto audu CT bez kontrastēšanas</t>
  </si>
  <si>
    <t>Krūšu kurvja CT bez kontrastēšanas</t>
  </si>
  <si>
    <t>Vēdera dobuma, mazā iegurņa CT bez kontrastēšanas</t>
  </si>
  <si>
    <t>Mugurkaula trīs skriemeļu CT bez kontrastēšanas</t>
  </si>
  <si>
    <t>Ekstremitāšu un locītavu CT bez kontrastēšanas (vienai daļai)</t>
  </si>
  <si>
    <t>Piemaksa par mugurkaula nākamo trīs skriemeļu CT bez kontrastēšanas</t>
  </si>
  <si>
    <t>CT angiogrāfija</t>
  </si>
  <si>
    <t>Piemaksa par Bolus injektora lietošanu. Nenorādīt kopā ar manipulāciju 50551</t>
  </si>
  <si>
    <t>Piemaksa par kontrastvielu Iohexol 300 (50 ml)</t>
  </si>
  <si>
    <t>Piemaksa par kontrastvielu Iohexol 300 (100 ml)</t>
  </si>
  <si>
    <t>Piemaksa par kontrastvielu Iodixanol 270 (100 ml)</t>
  </si>
  <si>
    <t>Piemaksa manipulācijām 50509, 50515, 50521, 50529, 50531, 50504 un 50542 par izmeklējuma veikšanu ar CT aparātu no 16 līdz 64 slāņiem (neieskaitot). Piemaksu manipulācijai 50504 apmaksā vienu reizi vienam izmeklējumam</t>
  </si>
  <si>
    <t>Piemaksa manipulācijām 50509, 50515, 50521, 50529, 50531, 50539, 50504, 50540 un 50542 par izmeklējuma veikšanu ar CT aparātu, sākot no 64 slāņiem. Piemaksu manipulācijai 50504 apmaksā vienu reizi vienam izmeklējumam</t>
  </si>
  <si>
    <t>Krūšu kurvja CT ar i/v kontrastēšanu, par katru nākamo sēriju</t>
  </si>
  <si>
    <t>Vēdera dobuma, mazā iegurņa CT ar i/v kontrastēšanu, par katru nākamo sēriju</t>
  </si>
  <si>
    <t>Piemaksa manipulācijām 50609–50612 par izmeklējumu veikšanu ar CT aparātu no 16 līdz 64 slāņiem (neieskaitot), par katru nākamo sēriju</t>
  </si>
  <si>
    <t>Piemaksa manipulācijām 50609–50612 un 50614 par izmeklējumu veikšanu ar CT aparātu, sākot no 64 slāņiem, par katru nākamo sēriju.</t>
  </si>
  <si>
    <t>Piemaksa par papildu sērijām pēc kontrastvielas ievadīšanas ar 1,0 Teslas vai stiprāka lauka aparātu. Norāda vienu reizi apmeklējuma laikā</t>
  </si>
  <si>
    <t>MR izmeklējums vienai ķermeņa daļai bez kontrastēšanas ar 1,0 Teslas vai stiprāka magnētiskā lauka aparātiem. Viena apmeklējuma laikā vienam pacientam var norādīt tik reizes, cik ķermeņa daļām veikti izmeklējumi</t>
  </si>
  <si>
    <t>Piemaksa par i/v kontrastvielas ievadīšanu. Nenorādīt kopā ar manipulāciju 50834</t>
  </si>
  <si>
    <t>Piemaksa par kontrastvielu Gadobutrolum (7,5 ml)</t>
  </si>
  <si>
    <t>Operāciju un biopsiju materiāla primāra apstrāde, ieguldīšana parafīna blokos, preparātu izgatavošana, ielikšana arhīvā un mikroskopiskā izmeklēšana, no 2–20 preparātiem, kā arī endoskopiju laikā iegūtais materiāls un ļaundabīgo audzēju biopsijas neatkarīgi no preparātu skaita, ja izmantotas papildu krāsošanas metodes (sarežģīts izmeklējums ar diferenciāldiagnostiskas grūtībām). Mikroskopiska izmeklēšana, ielikšana blokos, preparātu izgatavošana un histoloģiskā diagnostika, ielikšana arhīvā (pēc objektiem, virs 10 preparātiem, tai skaitā histotopogrammas, intraoperācijas materiāls un endobiopsija, bronhobiopsija, trepanobiopsijas, nieru, aknu, oliņu, priekšdziedzeru, limfmezglu biopsijas, visu veidu ļaundabīgie audzēji neatkarīgi no preparātu skaita, ja izmantotas papildu krāsošanas metodes), 3. kategorija (sarežģīta), ja ir diferenciāldiagnostiskas grūtības</t>
  </si>
  <si>
    <t>54085</t>
  </si>
  <si>
    <t>Alkohola reibuma izmeklējumi izelpojamā gaisā</t>
  </si>
  <si>
    <t xml:space="preserve"> PAVISAM KOPĀ</t>
  </si>
  <si>
    <t>Akūtā rehabilitācija NO 2019,G. APRĪĻA</t>
  </si>
  <si>
    <t>Tehniskie palīglīdzekļi:</t>
  </si>
  <si>
    <t>Paduses atbalsta kruķi</t>
  </si>
  <si>
    <t>Vidējā izmaksas kruķiem</t>
  </si>
  <si>
    <t>Elkoņa atbalsta kruķi</t>
  </si>
  <si>
    <t>Staigāšanas rāmis</t>
  </si>
  <si>
    <t>PAPILDU NEPIECIEŠAMAIS FINANSĒJUMS HRONISKĀM GULTASDIENĀM:</t>
  </si>
  <si>
    <t>Hronisko pacientu gulta</t>
  </si>
  <si>
    <t>Citās sadaļās neiekļautās manipulācijas</t>
  </si>
  <si>
    <t>02107</t>
  </si>
  <si>
    <t>Pleiras dobuma punkcija</t>
  </si>
  <si>
    <t>03205</t>
  </si>
  <si>
    <t>Dzīvības pamatfunkciju uzturēšanas standarts –mākslīgā elpināšana mute–mutē vai ar masku un ekstratorakāla sirds masāža virs 20 minūtēm</t>
  </si>
  <si>
    <t>03206</t>
  </si>
  <si>
    <t>Izvērstais dzīvības pamatfunkciju uzturēšanas standarts (asistolijas, bezpulsa elektriskās aktivitātes, ventrikuļu fibrilācijas vai bezpulsa ventrikuļu tahikardijas)</t>
  </si>
  <si>
    <t>Piemaksa par traheostomas kaniles lietošanu</t>
  </si>
  <si>
    <t>Pacienta sedācija anesteziologa uzraudzībā dažādu manipulāciju laikā, par 30 minūtēm. Var norādīt kopā ar manipulāciju 04103</t>
  </si>
  <si>
    <t>Piemaksa reģionālajā anestēzijā par zāļu bupivakaīna (Bupivacaine) lietošanu pirmajās divās stundās</t>
  </si>
  <si>
    <t>04127</t>
  </si>
  <si>
    <t>Vispārējā anestēzija ar masku par pirmo stundu</t>
  </si>
  <si>
    <t>04128</t>
  </si>
  <si>
    <t>Piemaksa par katru nākamo stundu pie vispārējās anestēzijas ar masku, sākot no otrās stundas</t>
  </si>
  <si>
    <t>Spinālā anestēzija pirmās divas stundas</t>
  </si>
  <si>
    <t>04134</t>
  </si>
  <si>
    <t>Spinālā un epidurālā anestēzija par katru nākamo stundu, sākot no trešās stundas</t>
  </si>
  <si>
    <t>04138</t>
  </si>
  <si>
    <t>Kontrolētā analgēzija (PCA) vai sedācija ar perfuzoru, pirmās 24 stundas. Manipulāciju lieto pacientam, kuram nepieciešama atsāpināšana</t>
  </si>
  <si>
    <t>04141</t>
  </si>
  <si>
    <t>Īslaicīga intravenozā anestēzija par katrām nākamajām 30 minūtēm. Nenorādīt kopā ar manipulācijām 04142 un 04143</t>
  </si>
  <si>
    <t>Totālā intravenozā anestēzija (TIVA) par pirmo stundu. Nenorādīt kopā ar manipulācijām 04142 un 04143</t>
  </si>
  <si>
    <t>04147</t>
  </si>
  <si>
    <t>Totālā intravenozā anestēzija (TIVA) par katru nākamo stundu, sākot no otrās stundas. Nenorādīt kopā ar manipulācijām 04142 un 04143</t>
  </si>
  <si>
    <t>Piemaksa par zāļu mivakūrija lietošanu pirmajā stundā</t>
  </si>
  <si>
    <t>Piemaksa par centrālās vēnas trīslūmenu katetra lietošanu</t>
  </si>
  <si>
    <t>04177</t>
  </si>
  <si>
    <t>Piemaksa par hemodialīzes dubultlūmena katetra lietošanu</t>
  </si>
  <si>
    <t>04178</t>
  </si>
  <si>
    <t>Piemaksa par hemodialīzes trīslūmenu centrālās vēnas katetra lietošanu</t>
  </si>
  <si>
    <t>04179</t>
  </si>
  <si>
    <t>Ilgtermiņa hemodialīzes katetra ievietošana vai pārlikšana bez katetra vērtības</t>
  </si>
  <si>
    <t>04180</t>
  </si>
  <si>
    <t>Piemaksa par hemodialīzes ilgtermiņa katetra lietošanu</t>
  </si>
  <si>
    <t>04195</t>
  </si>
  <si>
    <t>Piemaksa par speciālās anestēzijas iekārtas ar monitoru un perfuzoru lietošanu magnētiskās rezonanses izmeklējuma procedūras laikā</t>
  </si>
  <si>
    <t>06041</t>
  </si>
  <si>
    <t>Transezofageāla ehokardiogrāfija M un B režīmos ar krāsas doplerogrāfiju, spektra analīzi un hemodinamikas rādītāju noteikšana</t>
  </si>
  <si>
    <t>06061</t>
  </si>
  <si>
    <t>Intrakardiāla elektrofizioloģiska izmeklēšana aritmiju diagnostikai</t>
  </si>
  <si>
    <t>06062</t>
  </si>
  <si>
    <t>Radiofrekventā katetra ablācija ar trīsdimensiju potenciālu reģistrācijas lietošanu</t>
  </si>
  <si>
    <t>06063</t>
  </si>
  <si>
    <t>Piemaksa par elektroda endokardiālai izmeklēšanai un katetra ablācijai lietošanu</t>
  </si>
  <si>
    <t>06065</t>
  </si>
  <si>
    <t>Piemaksa pie manipulācijām 06061, 06062 par elektrodu endokardiālai izmeklēšanai</t>
  </si>
  <si>
    <t>06066</t>
  </si>
  <si>
    <t>Piemaksa pie manipulācijām 06061, 06062 par koronārā sinusa elektrodu (CSL)</t>
  </si>
  <si>
    <t>06067</t>
  </si>
  <si>
    <t>Piemaksa par ievades komplekta radiofrekvences ablācijai un invazīviem elektrofizioloģiskiem izmeklējumiem lietošanu</t>
  </si>
  <si>
    <t>06125</t>
  </si>
  <si>
    <t>Hiperbārā oksigenācija, par katru pilnu stundu</t>
  </si>
  <si>
    <t>06175</t>
  </si>
  <si>
    <t>Piemaksa par pieaugušo kardiostimulācijas–defibrilācijas kontaktspilventiņu lietošanu</t>
  </si>
  <si>
    <t>Neatliekamā ezofagoskopija un/vai gastroskopija un/vai parciālā duodenoskopija</t>
  </si>
  <si>
    <t>Hemostāze neatliekamās augšējās vai apakšējās endoskopijas laikā bez vienreizējās lietošanas materiālu vērtībām. Var norādīt kopā ar manipulācijām 08061, 08062, 08111, 08112, 08113</t>
  </si>
  <si>
    <t>08072</t>
  </si>
  <si>
    <t>Endoskopiska varikozu vēnu terapija augšējā un apakšējā gremošanas sistēmā bez varikožu klipšu un ligatūru izmaksām neatliekamā situācijā asiņojošu vēnu gadījumā. Var norādīt kopā ar manipulācijām 08061, 08062, 08111, 08112, 08113</t>
  </si>
  <si>
    <t>08074</t>
  </si>
  <si>
    <t>Piemaksa par vienreizlietojamās cilpas lietošanu varikozo vēnu liģēšanai</t>
  </si>
  <si>
    <t>08100</t>
  </si>
  <si>
    <t>Perkutānā endoskopiskā gastrostomija</t>
  </si>
  <si>
    <t>08101</t>
  </si>
  <si>
    <t>Piemaksa manipulācijai 08100 par perkutānās endoskopiskās gastrostomijas (PEG) komplektu</t>
  </si>
  <si>
    <t>Piemaksa par vienreizējās lietošanas injektora lietošanu endoskopijās</t>
  </si>
  <si>
    <t>11005</t>
  </si>
  <si>
    <t>Neirogrāfija un kvantitatīvā elektromiogrāfija ar adatu elektrodiem un datorizētu datu apstrādi</t>
  </si>
  <si>
    <t>11007</t>
  </si>
  <si>
    <t>Neirogrāfija ar datorizētu datu apstrādi</t>
  </si>
  <si>
    <t>19059</t>
  </si>
  <si>
    <t>Cistoskopija, ieskaitot uretroskopiju un/vai biopsiju. Nenorādīt kopā ar manipulāciju 19161</t>
  </si>
  <si>
    <t>19075</t>
  </si>
  <si>
    <t>Operatīva iejaukšanās urīnpūslī, transuretrāla lielu svešķermeņu un/vai lielu audzēju izņemšana un stenta izņemšana</t>
  </si>
  <si>
    <t>19161</t>
  </si>
  <si>
    <t>Fleksibla apakšējo urīnceļu uroendoskopija. Nenorādīt kopā ar manipulāciju 19059</t>
  </si>
  <si>
    <t>19281</t>
  </si>
  <si>
    <t>Peritoneālās dialīzes slimnieku apmācība, aprūpe un kontrole vienam pacientam vienu reizi mēnesī ambulatori vai stacionārā (laboratorisko izmeklējumu izmaksas iekļautas tarifā)</t>
  </si>
  <si>
    <t>19282</t>
  </si>
  <si>
    <t>Piemaksa par intravenozā dzelzs preparāta ievadi nieru aizstājējterapijai</t>
  </si>
  <si>
    <t>20205</t>
  </si>
  <si>
    <t>Fiksatora izņemšana no mazajiem kauliem, bloķējošo skrūvju izņemšana</t>
  </si>
  <si>
    <t>20249</t>
  </si>
  <si>
    <t>Plaukstas un pēdas pirkstu eksartikulācija vai amputācija, tai skaitā amputācijas stumbra apstrāde</t>
  </si>
  <si>
    <t>Augšējo vai apakšējo ekstremitāšu eksartikulācija, amputācija, revīzija (par katru ekstremitāti)</t>
  </si>
  <si>
    <t>Gastrotomija, gastrostomija, enterotomija, enterostomija, kolostomija, stomas slēgšana</t>
  </si>
  <si>
    <t>21082</t>
  </si>
  <si>
    <t>Atkārtota operācija sakarā ar asiņošanu operācijas zonā pēcoperācijas periodā</t>
  </si>
  <si>
    <t>29104</t>
  </si>
  <si>
    <t>Dziļa abscesa vai karbunkula atvēršana (operāciju zālē)</t>
  </si>
  <si>
    <t>Pleiras drenas uzlikšana</t>
  </si>
  <si>
    <t>Fibrobronhoskopija. Var norādīt kopā ar manipulāciju 08136</t>
  </si>
  <si>
    <t>Piemaksa par videoendoskopijas aparatūras lietošanu</t>
  </si>
  <si>
    <t>40328</t>
  </si>
  <si>
    <t>Speciāla asins piemeklēšana sensibilizētam recipientam (antivielu identifikācija ar ID kartēm Liss/Combs + fenotipizācija + 1 saderības tests)</t>
  </si>
  <si>
    <t>Asins gāzu un Ph analīze</t>
  </si>
  <si>
    <t>41310</t>
  </si>
  <si>
    <t>Anti-HCV (WB) (apstiprinošais)</t>
  </si>
  <si>
    <t>Uzsējums uz anaerobo mikrofloru – pozitīvs</t>
  </si>
  <si>
    <t>44080</t>
  </si>
  <si>
    <t>Izmeklējumi uz disbiozi</t>
  </si>
  <si>
    <t>46017</t>
  </si>
  <si>
    <t>T un B šūnu virsmas receptoru noteikšana (CD3, CD19, CD4, CD8, CD16+56, CD3/HLA-DR, HLA-DR) (citofluorimetrija)</t>
  </si>
  <si>
    <t>46036</t>
  </si>
  <si>
    <t>HLA-B27 noteikšana</t>
  </si>
  <si>
    <t>46051</t>
  </si>
  <si>
    <t>Imūnglobulīna G (A, M) noteikšana</t>
  </si>
  <si>
    <t>46066</t>
  </si>
  <si>
    <t>Specifiskā IgE noteikšana – 20 atsevišķu antigēnu panelis</t>
  </si>
  <si>
    <t>46086</t>
  </si>
  <si>
    <t>ANA noteikšana HEP-2 šūnu kultūrā (titrēšana – netiešā imūnfluorescence)</t>
  </si>
  <si>
    <t>46088</t>
  </si>
  <si>
    <t>ANA, SMA, GPC, LKM, AMA noteikšana audu griezumos (titrēšana – netiešā imūnfluorescence)</t>
  </si>
  <si>
    <t>46089</t>
  </si>
  <si>
    <t>ANCA noteikšana (skrīnings – netiešā imūnfluorescence)</t>
  </si>
  <si>
    <t>46148</t>
  </si>
  <si>
    <t>CYFRA 21-1 citokeratīna 19. fragments</t>
  </si>
  <si>
    <t>46157</t>
  </si>
  <si>
    <t>PSA, brīvais – prostatas specifiskais antigēns</t>
  </si>
  <si>
    <t>46166</t>
  </si>
  <si>
    <t>Antivielas pret GM1, asialo GM2, GD1a, GD1b, GQ1b</t>
  </si>
  <si>
    <t>Tieša intraarteriāla embolizācija vai trombolīze, lietojot mikrokatetru</t>
  </si>
  <si>
    <t>50120</t>
  </si>
  <si>
    <t>Perkutāna translumināla angioplastija, stentēšana</t>
  </si>
  <si>
    <t>50122</t>
  </si>
  <si>
    <t>Superselektīvās vienas artērijas angiogrāfijas (bronhiālo, lumbālo, liesas, vairogdziedzera un citas), lietojot mikrokatetru</t>
  </si>
  <si>
    <t>50124</t>
  </si>
  <si>
    <t>Aortogrāfija, kavogrāfija, pulmangiogrāfija, splenoportogrāfija</t>
  </si>
  <si>
    <t>50130</t>
  </si>
  <si>
    <t>Selektīva vienas artērijas angiogrāfija</t>
  </si>
  <si>
    <t>Perkutāna transhepatiska holangiogrāfija (PTHA)</t>
  </si>
  <si>
    <t>Perkutāna transhepatiska žultsvadu drenāža (ar vienreizlietojamo žults un aizkuņģa dziedzera drenāžas komplektu)</t>
  </si>
  <si>
    <t>Perkutāna transhepatiska žultsvadu dilatācija</t>
  </si>
  <si>
    <t>50151</t>
  </si>
  <si>
    <t>Piemaksa par embolizācijas mikrodaļiņas PVA 1 ml lietošanu</t>
  </si>
  <si>
    <t>Piemaksa par embolizācijas spirāles perifēriem asinsvadiem (par vienu spirāli) lietošanu</t>
  </si>
  <si>
    <t>50161</t>
  </si>
  <si>
    <t>Piemaksa par zāļu N–butyl-cyanoacrylate 1 ml lietošanu</t>
  </si>
  <si>
    <t>50162</t>
  </si>
  <si>
    <t>Piemaksa par zāļu 131 I-Ethiodised oil 10 ml lietošanu</t>
  </si>
  <si>
    <t>Piemaksa par artērijas punkcijas vietas slēgšanas komplekta lietošanu</t>
  </si>
  <si>
    <t>50167</t>
  </si>
  <si>
    <t>Piemaksa par katru nākamo selektīvi izmeklēto artēriju vienā procedūrā</t>
  </si>
  <si>
    <t>Visa skeleta scintigrāfiska izmeklēšana</t>
  </si>
  <si>
    <t>50242</t>
  </si>
  <si>
    <t>Vairogdziedzera statiskā scintigrāfija</t>
  </si>
  <si>
    <t>Piemaksa par impulsu uz virsmas laukumu un/vai tilpuma vienību kvalitatīvu izvērtēšanu, mērīšanu, dokumentēšanu</t>
  </si>
  <si>
    <t>Piemaksa manipulācijām 50237, 50238, 50239 par osteotropo RFP lietošanu</t>
  </si>
  <si>
    <t>50428</t>
  </si>
  <si>
    <t>Daudzslāņu CT topometrija vēdera dobuma orgāniem bez kontrastēšanas</t>
  </si>
  <si>
    <t>50430</t>
  </si>
  <si>
    <t>Daudzslāņu CT topometrija mazā iegurņa orgāniem bez kontrastēšanas</t>
  </si>
  <si>
    <t>50539</t>
  </si>
  <si>
    <t>Daudzslāņu CT koronogrāfija un sirds funkcionālie izmeklējumi bez kontrastēšanas (Ca scoring)</t>
  </si>
  <si>
    <t>50555</t>
  </si>
  <si>
    <t>Piemaksa par kontrastvielu Iohexol 300 (20 ml)</t>
  </si>
  <si>
    <t>Piemaksa par kontrastvielu Iopromide 300 (100 ml)</t>
  </si>
  <si>
    <t>Piemaksa par kontrastvielu Iohexol 350 (50 ml)</t>
  </si>
  <si>
    <t>Piemaksa par kontrastvielu Iohexol 350 (100 ml)</t>
  </si>
  <si>
    <t>Piemaksa par kontrastvielu Iopromide 370 (50 ml)</t>
  </si>
  <si>
    <t>Piemaksa par kontrastvielu Iopromide 370 (100 ml)</t>
  </si>
  <si>
    <t>Piemaksa par kontrastvielu Iodixanol 320 (100 ml)</t>
  </si>
  <si>
    <t>Galvas, deguna blakusdobuma vai kakla mīksto audu CT ar i/v kontrastēšanu, par katru nākamo sēriju</t>
  </si>
  <si>
    <t>50614</t>
  </si>
  <si>
    <t>Daudzslāņu CT koronarogrāfija ar i/v kontrastēšanu, par katru nākamo sēriju</t>
  </si>
  <si>
    <t>US kontrolē izdarīta punkcija ar aspirācijas biopsiju vai audzēju lokalizācijas marķēšanu. Nenorādīt kopā ar manipulācijām 50698 un 50700</t>
  </si>
  <si>
    <t>50722</t>
  </si>
  <si>
    <t>US kontrolē izdarīta core biopsija (bez biopsijas adatas un ierīces vērtības). Nenorādīt kopā ar manipulācijām 50698 un 50700</t>
  </si>
  <si>
    <t>Šķidrumu kolekciju (abscesu, cistu, hematomu) perkutāna drenāža bez drenāžas komplekta vērtības</t>
  </si>
  <si>
    <t>Piemaksa par vienetapa perkutānās drenāžas komplekta lietošanu</t>
  </si>
  <si>
    <t>Piemaksa par divetapu perkutānās drenāžas komplekta lietošanu</t>
  </si>
  <si>
    <t>50736</t>
  </si>
  <si>
    <t>Piemaksa par vienreizlietojamo punkcijas biopsijas adatu daudzkārtlietojamai punkciju ierīcei</t>
  </si>
  <si>
    <t>MR angiogrāfija vienai ķermeņa daļai bez kontrastēšanas ar 1,0 Teslas vai stiprāka magnētiskā lauka aparātiem. Nenorādīt kopā ar manipulāciju 50829</t>
  </si>
  <si>
    <t>Piemaksa par i/v kontrastvielas ievadīšanu ar Bolus injektoru. Nenorādīt kopā ar manipulāciju 50836</t>
  </si>
  <si>
    <t>50846</t>
  </si>
  <si>
    <t>Piemaksa par kontrastvielu Gadobutrolum (15 ml)</t>
  </si>
  <si>
    <t>Sekcija (pieaugušo, bērnu); 1. kategorija. Nenorādīt kopā ar manipulācijām 54007, 54008, 54009, 54010</t>
  </si>
  <si>
    <t>54002</t>
  </si>
  <si>
    <t>Sekcija (pieaugušo, bērnu); 2. kategorija (infekcijas slimības, mājās mirušie, ir klīniskā diagnoze, bet grūtības tanatoģenēzē). Nenorādīt kopā ar manipulācijām 54007, 54008, 54009, 54010</t>
  </si>
  <si>
    <t>54003</t>
  </si>
  <si>
    <t>Sekcija (pieaugušo, bērnu); 3. kategorija (neskaidra klīniskā diagnoze, AIDS, nāve pēc vairākām operācijām, sevišķi bīstamas infekcijas slimības). Nenorādīt kopā ar manipulācijām 54007, 54008, 54009, 54010</t>
  </si>
  <si>
    <t>Operāciju un biopsiju materiāla primāra apstrāde, mikroskopiska izmeklēšana, ielikšana blokos, preparātu izgatavošana un histoloģiskā diagnostika, ielikšana arhīvā (pēc objektiem, 1–4 preparāti), 1. kategorija (vieglas sarežģītības pakāpes izmeklējumi)</t>
  </si>
  <si>
    <t>Operāciju un biopsiju materiāla primāra apstrāde, mikroskopiska izmeklēšana, ielikšana blokos, preparātu izgatavošana un histoloģiskā diagnostika, ielikšana arhīvā (pēc objektiem, 5–10 preparāti), kā arī papildu krāsošanas metožu izmantošana; displastisko un priekšvēža stāvokļu un labdabīgo audzēju diagnosticēšana neatkarīgi no preparātu skaita. Ādas, muskuļu, mīksto audu labdabīgie audzēji. 2. kategorija (vidēji sarežģīts izmeklējums)</t>
  </si>
  <si>
    <t>Operāciju un biopsiju materiāla primāra apstrāde, ieguldīšana parafīna blokos, preparātu izgatavošana, papildu griezuma izgatavošana, krāsošana ar tradicionālām un speciālām krāsošanas metodēm virs 20 preparātiem plašu operāciju gadījumā ar vairāku orgānu vai audu izmeklēšanu, kā arī intraoperatīvās (citobiopsijas) un biopsiju materiāls no endokrīniem orgāniem, CNS, artroskopiju, acs, vairogdziedzera, plaušu izmeklējumiem, transuretrālās prostatas rezekcijas un biopsijas no nierēm, aknām, limfmezgliem, kauliem neatkarīgi no preparātu skaita (sevišķi sarežģīts morfoloģisks izmeklējums)</t>
  </si>
  <si>
    <t>Operāciju un biopsiju materiāla imūnhistoķīmija. Nenorādīt kopā ar manipulācijām 54013 un 54014.</t>
  </si>
  <si>
    <t>54086</t>
  </si>
  <si>
    <t>Alkohola reibuma laboratoriskie izmeklējumi bioloģiskā vidē</t>
  </si>
  <si>
    <t>55175</t>
  </si>
  <si>
    <t>Piemaksa par robotizēta vertikalizācijas galda izmantošanu</t>
  </si>
  <si>
    <t>60100</t>
  </si>
  <si>
    <t>Piemaksa par zālēm pacientiem, inficētiem ar MRSA vai ar karbapenēmrezistento A. baumanii, – apmaksa tiek veikta par katru gultasdienu antibakteriālas terapijas kursa laikā. Pacientiem, kuri hospitalizēti ar NMP dienesta Operatīvās medicīniskās daļas pārvedumu, apmaksa tiek veikta par katru gultasdienu</t>
  </si>
  <si>
    <t>CITĀS SADAĻĀS NEIEKĻAUTĀS MANIPULĀCIJAS kopā</t>
  </si>
  <si>
    <t>Hronisko pacientu aprūpe:</t>
  </si>
  <si>
    <t>C00-C14</t>
  </si>
  <si>
    <t>Lūpu, mutes dobuma un rīkles ļaundabīgi audzēji</t>
  </si>
  <si>
    <t>C15-C26</t>
  </si>
  <si>
    <t>Gremošanas orgānu ļaundabīgi audzēji</t>
  </si>
  <si>
    <t>C30-C39</t>
  </si>
  <si>
    <t>Elpošanas un krūšu dobuma orgānu ļaundabīgi audzēji</t>
  </si>
  <si>
    <t>C40-C41</t>
  </si>
  <si>
    <t>Kaulu un locītavu skrimšļu ļaundabīgi audzēji</t>
  </si>
  <si>
    <t>C43-C44</t>
  </si>
  <si>
    <t>Melanoma un citi ļaundabīgi ādas audzēji</t>
  </si>
  <si>
    <t>C45-C49</t>
  </si>
  <si>
    <t>Mezoteliālo un mīksto audu ļaundabīgi audzēji</t>
  </si>
  <si>
    <t>C50</t>
  </si>
  <si>
    <t>Krūts ļaundabīgi audzēji</t>
  </si>
  <si>
    <t>C51-C57</t>
  </si>
  <si>
    <t>Sieviešu dzimumorgānu ļaundabīgi audzēji</t>
  </si>
  <si>
    <t>C60-C63</t>
  </si>
  <si>
    <t>Vīriešu dzimumorgānu ļaundabīgi audzēji</t>
  </si>
  <si>
    <t>C64-C68</t>
  </si>
  <si>
    <t>Urīnizvadorgānu ļaundabīgi audzēji</t>
  </si>
  <si>
    <t>C69-C72</t>
  </si>
  <si>
    <t>Acs, smadzeņu un citu centrālās nervu sistēmas daļu ļaundabīgi audzēji</t>
  </si>
  <si>
    <t>C73-C80</t>
  </si>
  <si>
    <t>Vairogdziedzera un citu endokrīno dziedzeru ļaundabīgi audzēji</t>
  </si>
  <si>
    <t>C76-C80</t>
  </si>
  <si>
    <t>Neprecīzi apzīmēti, sekundāri un nelokalizēti ļaundabīgi audzēji</t>
  </si>
  <si>
    <t>C90</t>
  </si>
  <si>
    <t>Multiplā mieloma un ļaundabīgi plazmas šūnu audzēji</t>
  </si>
  <si>
    <t>C96</t>
  </si>
  <si>
    <t>Citi un neprecizēti limfoīdo, asinsrades un radniecīgu audu ļaundabīgi audzēji</t>
  </si>
  <si>
    <t>C97</t>
  </si>
  <si>
    <t>Neatkarīgi (primāri) multipli ļaundabīgi audzēji</t>
  </si>
  <si>
    <t>D13</t>
  </si>
  <si>
    <t>Pārējo un neprecīzi noteiktu gremošanas sistēmas daļu labdabīgi audzēji</t>
  </si>
  <si>
    <t>D21</t>
  </si>
  <si>
    <t>Saistaudu un citu mīksto audu citi labdabīgi audzēji</t>
  </si>
  <si>
    <t>D32</t>
  </si>
  <si>
    <t>Smadzeņu apvalku labdabīgs audzējs</t>
  </si>
  <si>
    <t>D33</t>
  </si>
  <si>
    <t>Smadzeņu un citu centrālās nervu sistēmas daļu labdabīgs audzējs</t>
  </si>
  <si>
    <t>D35</t>
  </si>
  <si>
    <t>Citu un neprecizētu endokrīno dziedzeru labdabīgs audzējs</t>
  </si>
  <si>
    <t>D37-D48</t>
  </si>
  <si>
    <t>D50</t>
  </si>
  <si>
    <t>Dzelzs deficīta anēmija</t>
  </si>
  <si>
    <t>D86</t>
  </si>
  <si>
    <t>Sarkoidoze</t>
  </si>
  <si>
    <t>E10-E11</t>
  </si>
  <si>
    <t>I un II tipa cukura diabēts</t>
  </si>
  <si>
    <t>G09</t>
  </si>
  <si>
    <t>Iekaisīgu centrālās nervu sistēmas slimību sekas</t>
  </si>
  <si>
    <t>G11</t>
  </si>
  <si>
    <t>Pārmantota ataksija</t>
  </si>
  <si>
    <t>G20-G21</t>
  </si>
  <si>
    <r>
      <t>Parkinsona (</t>
    </r>
    <r>
      <rPr>
        <i/>
        <sz val="12"/>
        <color theme="1"/>
        <rFont val="Times New Roman"/>
        <family val="1"/>
        <charset val="186"/>
      </rPr>
      <t>Parkinson</t>
    </r>
    <r>
      <rPr>
        <sz val="12"/>
        <color theme="1"/>
        <rFont val="Times New Roman"/>
        <family val="1"/>
        <charset val="186"/>
      </rPr>
      <t>) slimība un Sekundārs parkinsonisms</t>
    </r>
  </si>
  <si>
    <t>G24-G25</t>
  </si>
  <si>
    <t>Distonija un Citi ekstrapiramidāli un kustību traucējumi</t>
  </si>
  <si>
    <t>G37</t>
  </si>
  <si>
    <t>Citas demielinējošas centrālās nervu sistēmas slimības</t>
  </si>
  <si>
    <t>G54</t>
  </si>
  <si>
    <t>Nervu saknīšu un pinumu patoloģija</t>
  </si>
  <si>
    <t>G56-G58</t>
  </si>
  <si>
    <t>Rokas un kājas mononeiropātija un Citas mononeiropātijas</t>
  </si>
  <si>
    <t>G60-G63</t>
  </si>
  <si>
    <t>Polineiropātijas un citas perifēriskās nervu sistēmas slimības</t>
  </si>
  <si>
    <t>G70-G73</t>
  </si>
  <si>
    <t>Neiromuskulārās sinapses un muskuļu slimības</t>
  </si>
  <si>
    <t>G80-G82</t>
  </si>
  <si>
    <t>Cerebrālā trieka, Hemiplēģija un Paraplēģija un tetraplēģija</t>
  </si>
  <si>
    <t>G92-G93</t>
  </si>
  <si>
    <t>Toksiska encefalopātija un Cita galvas smadzeņu patoloģija</t>
  </si>
  <si>
    <t>G95</t>
  </si>
  <si>
    <t>Citas muguras smadzeņu slimības</t>
  </si>
  <si>
    <t>G99</t>
  </si>
  <si>
    <t>Citas nervu sistēmas bojājumi citur klasificētu slimību dēļ</t>
  </si>
  <si>
    <t>H81.8</t>
  </si>
  <si>
    <t>Cita veida vestibulārās funkcijas traucējumi</t>
  </si>
  <si>
    <t>H81.9</t>
  </si>
  <si>
    <t>Neprecizēti vestibulārās funkcijas traucējumi</t>
  </si>
  <si>
    <t>I05-I08</t>
  </si>
  <si>
    <t>Hroniskas reimatiskas sirds slimības</t>
  </si>
  <si>
    <t>I11</t>
  </si>
  <si>
    <t>Hipertensīva sirds slimība</t>
  </si>
  <si>
    <t>I25</t>
  </si>
  <si>
    <t>Hroniska sirds išēmiskā slimība</t>
  </si>
  <si>
    <t>I27</t>
  </si>
  <si>
    <t>Citas kardiopulmonālas slimības</t>
  </si>
  <si>
    <t>I34</t>
  </si>
  <si>
    <t>Nereimatiskas mitrālā vārstuļa kaites</t>
  </si>
  <si>
    <t>I35</t>
  </si>
  <si>
    <t>Nereimatiskas aortālā vārstuļa kaites</t>
  </si>
  <si>
    <t>I36</t>
  </si>
  <si>
    <t>Nereimatiskas trikuspidālā vārstuļa kaites</t>
  </si>
  <si>
    <t>I42-I43</t>
  </si>
  <si>
    <t>Kardiomiopātija un Kardiomiopātija citur klasificētu slimību dēļ</t>
  </si>
  <si>
    <t>I67</t>
  </si>
  <si>
    <t>Citas cerebrovaskulāras slimības</t>
  </si>
  <si>
    <t>I69-I70</t>
  </si>
  <si>
    <t>Cerebrovaskulāru slimību sekas un Ateroskleroze</t>
  </si>
  <si>
    <t>I73</t>
  </si>
  <si>
    <t>Citas perifērisko asinsvadu slimības</t>
  </si>
  <si>
    <t>I83</t>
  </si>
  <si>
    <t>Apakšējo ekstremitāšu varikozas vēnas</t>
  </si>
  <si>
    <t>I87</t>
  </si>
  <si>
    <t>Citas vēnu slimības</t>
  </si>
  <si>
    <t>J40-J41</t>
  </si>
  <si>
    <t>Bronhīts, neprecizējot akūts vai hronisks un Vienkāršs un mukopurulents hronisks bronhīts</t>
  </si>
  <si>
    <t>J43-J45</t>
  </si>
  <si>
    <t>Emfizēma, Cita hroniska obstruktīva plaušu slimība un Astma</t>
  </si>
  <si>
    <t>J47</t>
  </si>
  <si>
    <t>Bronhektāzes</t>
  </si>
  <si>
    <t>J63</t>
  </si>
  <si>
    <t>Citu neorganisku putekļu pneimokonioze</t>
  </si>
  <si>
    <t>J67</t>
  </si>
  <si>
    <t>Hipersensitivitātes pneimonīts, ko izraisījuši organiski putekļi</t>
  </si>
  <si>
    <t>J84</t>
  </si>
  <si>
    <t>Citas intersticiālas plaušu slimības</t>
  </si>
  <si>
    <t>K20-K21</t>
  </si>
  <si>
    <t>Ezofagīts un Gastroezofageālā refluksslimība</t>
  </si>
  <si>
    <t>K59</t>
  </si>
  <si>
    <t>Citas funkcionālas zarnu slimības</t>
  </si>
  <si>
    <t>K70</t>
  </si>
  <si>
    <t>Alkohola izraisītās aknu slimības</t>
  </si>
  <si>
    <t>K74</t>
  </si>
  <si>
    <t>Aknu fibroze un ciroze</t>
  </si>
  <si>
    <t>K76</t>
  </si>
  <si>
    <t>Citas aknu slimības</t>
  </si>
  <si>
    <t>K91</t>
  </si>
  <si>
    <t>Citur neklasificēti gremošanas sitēmas bojājumi pēc manipulācijām</t>
  </si>
  <si>
    <t>L25</t>
  </si>
  <si>
    <t>Neprecizēts kontaktdermatīts</t>
  </si>
  <si>
    <t>L27</t>
  </si>
  <si>
    <t>Iekšķīgi lietotu vielu izraisīts dermatīts</t>
  </si>
  <si>
    <t>L89.0-L89.1</t>
  </si>
  <si>
    <r>
      <t>I un II pakāpes izgulējumi (</t>
    </r>
    <r>
      <rPr>
        <i/>
        <sz val="12"/>
        <color theme="1"/>
        <rFont val="Times New Roman"/>
        <family val="1"/>
        <charset val="186"/>
      </rPr>
      <t>decubitus</t>
    </r>
    <r>
      <rPr>
        <sz val="12"/>
        <color theme="1"/>
        <rFont val="Times New Roman"/>
        <family val="1"/>
        <charset val="186"/>
      </rPr>
      <t>)</t>
    </r>
  </si>
  <si>
    <t>L89.9</t>
  </si>
  <si>
    <t>Izgulējums, neprecizēts</t>
  </si>
  <si>
    <t>L98</t>
  </si>
  <si>
    <t>Citas citur neklasificētas ādas un zemādas audu slimības</t>
  </si>
  <si>
    <t>M05</t>
  </si>
  <si>
    <t>Seropozitīvs reimatoīdais artrīts</t>
  </si>
  <si>
    <t>M07</t>
  </si>
  <si>
    <t>Psoriātiskas un enteropātiskas artropātijas</t>
  </si>
  <si>
    <t>M10</t>
  </si>
  <si>
    <t>Podagra</t>
  </si>
  <si>
    <t>M13</t>
  </si>
  <si>
    <t>Cita veida artrīts</t>
  </si>
  <si>
    <t>M15-M17</t>
  </si>
  <si>
    <t>Poliartroze, Koksartroze un Gonartroze</t>
  </si>
  <si>
    <t>M20</t>
  </si>
  <si>
    <t>Iegūtas roku un kāju pirkstu deformācijas</t>
  </si>
  <si>
    <t>M24</t>
  </si>
  <si>
    <t>Citi precizēti locītavu defekti</t>
  </si>
  <si>
    <t>M25</t>
  </si>
  <si>
    <t>Citi citur neklasificēti locītavu bojājumi</t>
  </si>
  <si>
    <t>M35-M36</t>
  </si>
  <si>
    <t>Citi sistēmiski saistaudu bojājumi un Sistēmiski saistaudu bojājumi citur klasificētu slimību dēļ</t>
  </si>
  <si>
    <t>M42</t>
  </si>
  <si>
    <t>Mugurkaulāja osteohondroze</t>
  </si>
  <si>
    <t>M45</t>
  </si>
  <si>
    <t>Ankilozējošais spondilīts</t>
  </si>
  <si>
    <t>M47-M48</t>
  </si>
  <si>
    <t>Spondiloze un Citas spondilopātijas</t>
  </si>
  <si>
    <t>M50-M54</t>
  </si>
  <si>
    <t>Citas dorsopātijas</t>
  </si>
  <si>
    <t>M79</t>
  </si>
  <si>
    <t>Citi citur neklasificēti mīksto audu bojājumi</t>
  </si>
  <si>
    <t>M80-M81</t>
  </si>
  <si>
    <t>Osteoporoze ar pataloģisku lūzumu un bez paloloģiska lūzuma</t>
  </si>
  <si>
    <t>M83-M85</t>
  </si>
  <si>
    <t>Pieaugušo osteomalācija, Kaulu veseluma bojājumi un Citi kaulu cietības un struktūras traucējumi</t>
  </si>
  <si>
    <t>M95-M96</t>
  </si>
  <si>
    <t>Citas iegūtas muskuļu, skeleta un saistaudu deformācija un Citur neklasificēti muskuļu un skeleta bojājumi pēc manipulācijām</t>
  </si>
  <si>
    <t>N18</t>
  </si>
  <si>
    <t>Hroniska nieru slimība</t>
  </si>
  <si>
    <t>N28</t>
  </si>
  <si>
    <t>Citas citur neklasificētas nieru un urīnvadu slimības</t>
  </si>
  <si>
    <t>N30</t>
  </si>
  <si>
    <t>Cistīts</t>
  </si>
  <si>
    <t>N40-N41</t>
  </si>
  <si>
    <t>Prostatas hiperplāzija un Iekaisīgas prostatas slimības</t>
  </si>
  <si>
    <t>T90</t>
  </si>
  <si>
    <t>Galvas ievainojuma sekas</t>
  </si>
  <si>
    <t>T91</t>
  </si>
  <si>
    <t>Kakla un rumpja ievainojuma sekas</t>
  </si>
  <si>
    <t>T92</t>
  </si>
  <si>
    <t>Augšējās ekstremitātes ievainojumu sekas</t>
  </si>
  <si>
    <t>T93</t>
  </si>
  <si>
    <t>Apakšējās ekstremitātes ievainojumu sekas</t>
  </si>
  <si>
    <t>T95</t>
  </si>
  <si>
    <t>Termisku un ķīmisku apdegumu un apsaldējumu sekas</t>
  </si>
  <si>
    <t>Z43</t>
  </si>
  <si>
    <t>Gādība par mākslīgajām atverēm</t>
  </si>
  <si>
    <t>Pacientu koordinatoru kabinets paliatīvajā aprūpē</t>
  </si>
  <si>
    <r>
      <t xml:space="preserve">PAPILDU NEPIECIEŠAMAIS FINANSĒJUMS KOORDINATORU KABINETAM </t>
    </r>
    <r>
      <rPr>
        <b/>
        <u/>
        <sz val="13"/>
        <color theme="1"/>
        <rFont val="Times New Roman"/>
        <family val="1"/>
        <charset val="186"/>
      </rPr>
      <t>AR KOEFICIENTU</t>
    </r>
    <r>
      <rPr>
        <b/>
        <sz val="13"/>
        <color theme="1"/>
        <rFont val="Times New Roman"/>
        <family val="1"/>
        <charset val="186"/>
      </rPr>
      <t>:</t>
    </r>
  </si>
  <si>
    <t>2020.gada atalgojums un kabineta uzturēšanas maksājums saskaņā ar MK noteikumiem Nr.555</t>
  </si>
  <si>
    <t xml:space="preserve">M </t>
  </si>
  <si>
    <t>1,00 slodzes(8)-20 d.</t>
  </si>
  <si>
    <t>1.0 Koordinatora kabinets</t>
  </si>
  <si>
    <t>Bērnu klīniskā universitātes slimnīca (Paliatīvās aprūpes pakalojumu koordinatora kabinets - kopā 2 kabineti)</t>
  </si>
  <si>
    <t>Rīgas Austrumu klīniskā universitātes slimnīca (Paliatīvās aprūpes pakalojumu koordinatora kabinets - kopā 2 kabineti)</t>
  </si>
  <si>
    <t>Paula Stradiņa Klīniskā universitātes slimnīca (Paliatīvās aprūpes pakalojumu koordinatora kabinets - kopā 2 kabineti)</t>
  </si>
  <si>
    <t>Liepājas reģionālā slimnīca (Paliatīvās aprūpes pakalojumu koordinatora kabinets - kopā 1 kabinets)</t>
  </si>
  <si>
    <t>Daugavpils reģionālā slimnīca (Paliatīvās aprūpes pakalojumu koordinatora kabinets - kopā 1 kabinets)</t>
  </si>
  <si>
    <t>Jelgavas pilsētas slimnīca (Paliatīvās aprūpes pakalojumu koordinatora kabinets - kopā 1 kabinets)</t>
  </si>
  <si>
    <r>
      <rPr>
        <b/>
        <sz val="12"/>
        <color theme="1"/>
        <rFont val="Times New Roman"/>
        <family val="1"/>
        <charset val="186"/>
      </rPr>
      <t xml:space="preserve">Pamatojums: </t>
    </r>
    <r>
      <rPr>
        <sz val="12"/>
        <color theme="1"/>
        <rFont val="Times New Roman"/>
        <family val="1"/>
        <charset val="186"/>
      </rPr>
      <t>Algām pievienots koeficients, lai nodrošinātu motivējošu un konkurētspējīgu darba samaksu koordinatora kabinetā strādājošiem.</t>
    </r>
  </si>
  <si>
    <t>Papildus finansējuma nodrošinājums VSIA "Bērnu klīniskās univeristātes slimnīca" Paliatīvās aprūpes kabineta ārstniecības līdzekļiem</t>
  </si>
  <si>
    <t>Tehniskie palīglīdzekļi paliatīvās aprūpes nodrošināšanai aprūpes gultās</t>
  </si>
  <si>
    <t>Paliatīvajā aprūpē pielietotie manipulāciju tarifi</t>
  </si>
  <si>
    <r>
      <rPr>
        <b/>
        <u/>
        <sz val="15"/>
        <rFont val="Times New Roman"/>
        <family val="1"/>
        <charset val="186"/>
      </rPr>
      <t>1) VSIA "Bēnu klīniskās universitātes slimnīca"</t>
    </r>
    <r>
      <rPr>
        <b/>
        <sz val="15"/>
        <rFont val="Times New Roman"/>
        <family val="1"/>
        <charset val="186"/>
      </rPr>
      <t xml:space="preserve"> Paliatīvās aprūpes kabineta ietvaros nepieciešamais papildu finansējums transporta izmaksām </t>
    </r>
  </si>
  <si>
    <r>
      <t xml:space="preserve">Pacientu ar pozitīvu koronavīrusu COVID-19  transportēšanas uz dzīvesvietu izmaksas
</t>
    </r>
    <r>
      <rPr>
        <u/>
        <sz val="14"/>
        <color theme="1"/>
        <rFont val="Times New Roman"/>
        <family val="1"/>
        <charset val="186"/>
      </rPr>
      <t>(ja to veikusi ārstniecības iestāde izmantojot savus resursus)</t>
    </r>
  </si>
  <si>
    <t>Pielietotie manipulāciju tarifi aprūpes slimnīcā vai aprūpes gultā:</t>
  </si>
  <si>
    <t>Tehniskie palīglīdzekļi paliatīvās aprūpes nodrošināšanai aprūpes gultās:</t>
  </si>
  <si>
    <t>Hronisko pacientu aprūpē pielietotie manipulāciju tarifi:</t>
  </si>
  <si>
    <t>Tehniskie palīglīdzekļi hronisko pacientu aprūpes nodrošināšanai:</t>
  </si>
  <si>
    <t>Konkurētspējīgs atalgojums paliatīvajā aprūpē, t.sk. kabineta izmaksas un aprūpes epizodes tarifa pieaugums</t>
  </si>
  <si>
    <t xml:space="preserve">PAPILDU NEPIECIEŠAMAIS FINANSĒJUSMS: </t>
  </si>
  <si>
    <t>PVN likme</t>
  </si>
  <si>
    <t>Fiksētā maksājuma nodrošināšanai nepieciešamo līdzekļu gada apjoms par speciālistu un ārstniecības iestāžu struktūrvienību darbību ambulatorajā veselības aprūpē:</t>
  </si>
  <si>
    <t>Specialitāte vai struktūrvienība</t>
  </si>
  <si>
    <t>Euro par vienu slodzi</t>
  </si>
  <si>
    <t>Euro par 0,25 slodzēm</t>
  </si>
  <si>
    <t>Euro par 0,5 slodzēm</t>
  </si>
  <si>
    <t>Euro par 3 slodzēm</t>
  </si>
  <si>
    <t>Euro par 4,5 slodzēm (nodrošinot diennakts pieejamību)</t>
  </si>
  <si>
    <t>Euro, nodrošinot diennakts pieejamību uzņemšanas nodaļās</t>
  </si>
  <si>
    <t>2.21.</t>
  </si>
  <si>
    <t>Enterālās un parenterālās barošanas kabinets</t>
  </si>
  <si>
    <t>–</t>
  </si>
  <si>
    <t>Enterālās un parenterālās barošanas kabineta finansējuma aprēķins</t>
  </si>
  <si>
    <t>Koordinators (medicīnas māsa)</t>
  </si>
  <si>
    <t>Manipulācijas kods</t>
  </si>
  <si>
    <t>Mainīgās izmaksas</t>
  </si>
  <si>
    <t>Tarifs, euro</t>
  </si>
  <si>
    <t>Pacientu skaits gadā</t>
  </si>
  <si>
    <t>Manipulāciju skaits vienas stacionēšanas ietvaros</t>
  </si>
  <si>
    <t>Nepieciešamais finansējums gadā, EUR</t>
  </si>
  <si>
    <t>Pacienta apmācība stacionārā par parenterālu barošanu (samaksa tiek veikta ne vairāk kā 1x vienam pacientam dienā, ne vairāk kā 7x stacionēšanas laikā)</t>
  </si>
  <si>
    <t>Pacientu skaits gadā*</t>
  </si>
  <si>
    <t>Nepieciešamais finansējums gadā, EUR*</t>
  </si>
  <si>
    <t>Pacienta apmācība stacionārā par enterālu barošanu (samaksa tiek veikta ne vairāk kā 1x vienam pacientam dienā, ne vairāk kā 3x stacionēšanas laikā)</t>
  </si>
  <si>
    <t>Manipulāciju skaits vienam pacientam gadā</t>
  </si>
  <si>
    <t>Darba laiks (minūtes)*</t>
  </si>
  <si>
    <t>* kopumā konsultācijas nodrošināšanai nepieciešamas 60 min ārsta un uztura speciālista laika (kopā) un 30 min medmāsas laika. Ņemot vērā, ka par apmeklējumu tiks formēta aprūpes epizode, tad tiks segts arī aprūpes epizodes tarifs, kura ietvaros tiek apmaksātas 26 min ārsta un 26 min medmāsas laika. Attiecīgi manipulācijas tarifa aprēķinā ietvertas tikai 34 min ārstam (60-26=34) un 4 min medmāsai (30-26=4).</t>
  </si>
  <si>
    <t>Papildu finansējums aprūpes epizožu tarifu apmaksai nav nepieciešams, jo jau šobrīd šie pacienti saņem ambulatoras konsultācijas.</t>
  </si>
  <si>
    <t>Manipulācijas, kurām nepieciešams paplašināt apmaksas nosacījumus, lai nodrošinātu izmeklējumus enterāli un parenterāli barojamiem pacientiem</t>
  </si>
  <si>
    <t>Laboratoriskie izmeklējumi (enterālie):</t>
  </si>
  <si>
    <t>Papildu nepieciešamais finansējums izmeklējumiem gadā:</t>
  </si>
  <si>
    <t>Laboratoriskie izmeklējumi (parenterālie):</t>
  </si>
  <si>
    <t>Izmeklējuma nosaukums</t>
  </si>
  <si>
    <t>Apmaksas nosacījumi</t>
  </si>
  <si>
    <t>Tarifa summa</t>
  </si>
  <si>
    <t>Kopējais holesterīns:
41056 (Kopējais holesterīna līmenis asinīs – koncentrācija 5 mmol/L vai mazāka)
41057 (Kopējais holesterīna līmenis asinīs –
koncentrācija, lielāka par 5 mmol/L )</t>
  </si>
  <si>
    <t>Pašreiz apmaksā 1x gadā. Nepieciešams apmaksāt maksimums 5x gadā.</t>
  </si>
  <si>
    <t>Augsta blīvuma holesterīns:
41047 (ABL – holesterīns (tiešā metode))</t>
  </si>
  <si>
    <t>Zema blīvuma holesterīns:
41058 (ZBL holesterīna līmenis asinīs – koncentrācija, mazāka par 2,0 mmol/L)
41059 (ZBL holesterīna līmenis asinīs – koncentrācija no 2,0 mmol/L līdz 2,5 mmol/L)
41060 (ZBL holesterīna līmenis asinīs – koncentrācija, lielāka par 2,5 mmol/L).</t>
  </si>
  <si>
    <t>Triglicerīdi:
41046 (Triglicerīdi)</t>
  </si>
  <si>
    <t>Pašreiz apmaksā 1x gadā. Nepieciešams apmaksāt maksimums 24x gadā.</t>
  </si>
  <si>
    <t xml:space="preserve">* aptuveni 55 pacienti </t>
  </si>
  <si>
    <t>Aspartātaminotransferāze (ASAT):
41023 (ASAT – aspartātaminotransferāze )</t>
  </si>
  <si>
    <t>Nepieciešamais finansējums gadā, EUR:</t>
  </si>
  <si>
    <t>* aptuveni 5 pacienti</t>
  </si>
  <si>
    <t>Papildu nepieciešamais finansējums gadā, EUR:</t>
  </si>
  <si>
    <t>Kopā nepieciešamais finansējums izmeklējumu apmaksas nosacījumu paplašināšanai gadā, EUR:</t>
  </si>
  <si>
    <r>
      <t xml:space="preserve">Samaksa par </t>
    </r>
    <r>
      <rPr>
        <b/>
        <sz val="11"/>
        <color theme="1"/>
        <rFont val="Times New Roman"/>
        <family val="1"/>
        <charset val="186"/>
      </rPr>
      <t>parenterālās barošanas</t>
    </r>
    <r>
      <rPr>
        <sz val="11"/>
        <color theme="1"/>
        <rFont val="Times New Roman"/>
        <family val="1"/>
        <charset val="186"/>
      </rPr>
      <t xml:space="preserve"> nodrošinājumu, ieskaitot barošanas maisījumu izmaksas, bērniem mājās. Norāda ne vairāk kā vienu reizi diennaktī vienam pacientam</t>
    </r>
  </si>
  <si>
    <t>Pasākums</t>
  </si>
  <si>
    <t>Skaits</t>
  </si>
  <si>
    <t>Summa ar PVN, EUR</t>
  </si>
  <si>
    <t>Izstrādāt enterālās un parenterālās barošanas pacientiem pacienta ceļu.</t>
  </si>
  <si>
    <t>Centralizētais iepirkums (MK not.555 grozījumi - 4.11.1.apakšpunkts; 8.pielikuma 1.punkts)</t>
  </si>
  <si>
    <t>RAKUS kabinets (MK not.555 grozījumi - 2.11.apakšpunkts; 185.16.apakšpunkts; 10.pielikuma 2.21.apakšpunkts)</t>
  </si>
  <si>
    <t>Apmācības stacionārā (jaunas manipulācijas manipulāciju sarakstā)</t>
  </si>
  <si>
    <t>Konsultācijas ambulatori (jaunas manipulācijas manipulāciju sarakstā)</t>
  </si>
  <si>
    <t>Izmaiņas esošu manipulāciju apmaksas nosacījumos</t>
  </si>
  <si>
    <t>Pacienta ceļa kartes izstrāde</t>
  </si>
  <si>
    <t>*</t>
  </si>
  <si>
    <t>Piemaksa par antibakteriālo parenterālās barošanas ilgkatetra lietošanu</t>
  </si>
  <si>
    <t>Piemaksa par parenterālās barošanas ilgkatetra lietošanu</t>
  </si>
  <si>
    <t>Parenterālās barošanas ilgkatetra ievietošana vai pārlikšana bez katetra vērtības</t>
  </si>
  <si>
    <t>11 = 12 + 13</t>
  </si>
  <si>
    <t>Medikamenti</t>
  </si>
  <si>
    <t>Piezīmes</t>
  </si>
  <si>
    <t>Nepieciešamais finansējums, euro gadā</t>
  </si>
  <si>
    <t>Plānoto manipulāciju skaits gadā</t>
  </si>
  <si>
    <t>Mājas aprūpes pakalpojumu apmaksas tarifi, t.sk. mājas aprūpei plānotais apjoms un jaunie un pārrēķinātie manipulāciju tarifi sniegtajiem pakalpojumiem mājas aprūpē</t>
  </si>
  <si>
    <t>Manipulāciju tarifi barošanas ilgkatetra ievietošanai un perkutānās endoskopiskās balonveida gastrostomas maiņai.</t>
  </si>
  <si>
    <t>Zondes tipa gastrostomas un zema profila (pogveida) gastrostomas nomaiņa (bez gastrostomas vērtības)</t>
  </si>
  <si>
    <t>Piemaksa par zondes tipa gastrostomu</t>
  </si>
  <si>
    <t>Piemaksa par zema profila (pogveida) gastrostomijas komplektu</t>
  </si>
  <si>
    <t>Piemaksa par zema profila (pogveida) gastrostomijas zondes pirmreizējo ievietošanas komplektu</t>
  </si>
  <si>
    <t>Pārrēķināts manipulāciju tarifs enterālās un parenterālās barošanas nodrošināšanai bērniem mājās</t>
  </si>
  <si>
    <t>33.18.00 Plānveida stacionāro veselības aprūpes pakalpojumu nodrošināšana</t>
  </si>
  <si>
    <t>33.16.00 Pārējo ambulatoro veselības aprūpes pakalpojumu nodrošināšana</t>
  </si>
  <si>
    <t xml:space="preserve">33.04.00 Centralizēta medikamentu un materiālu iegāde </t>
  </si>
  <si>
    <t>33.15.00 Laboratorisko izmeklējumu nodrošināšana ambulatorajā aprūpē</t>
  </si>
  <si>
    <t>33.14.00 Primārās ambulatorās veselības aprūpes nodrošināšana</t>
  </si>
  <si>
    <t>Paaugstināts tarifs kopā, euro</t>
  </si>
  <si>
    <t>Tarifa pieaugums, euro</t>
  </si>
  <si>
    <r>
      <t xml:space="preserve">Pacientu transportēšanas uz dzīvesvietu izmaksas
</t>
    </r>
    <r>
      <rPr>
        <u/>
        <sz val="14"/>
        <color theme="1"/>
        <rFont val="Times New Roman"/>
        <family val="1"/>
        <charset val="186"/>
      </rPr>
      <t>(ja to veikusi ārstniecības iestāde izmantojot savus resursus)</t>
    </r>
  </si>
  <si>
    <t xml:space="preserve">PAPILDU NEPIECIEŠAMAIS FINANSĒJUMS </t>
  </si>
  <si>
    <t>Manipulāciju tarifi barošanas ilgkatetra ievietošanai un perkutānās endoskopiskās balonveida gastrostomas maiņai</t>
  </si>
  <si>
    <t xml:space="preserve">Budžeta programmas (apakšprogrammas)
kods un nosaukums 
</t>
  </si>
  <si>
    <t>2022.gadam</t>
  </si>
  <si>
    <t>2023.gadam</t>
  </si>
  <si>
    <r>
      <t>turpmākā laikposmā līdz pasākuma pabeigšanai 
(</t>
    </r>
    <r>
      <rPr>
        <b/>
        <i/>
        <sz val="12"/>
        <rFont val="Times New Roman"/>
        <family val="1"/>
        <charset val="186"/>
      </rPr>
      <t>ja tas ir terminēts</t>
    </r>
    <r>
      <rPr>
        <b/>
        <sz val="12"/>
        <rFont val="Times New Roman"/>
        <family val="1"/>
        <charset val="186"/>
      </rPr>
      <t>)</t>
    </r>
  </si>
  <si>
    <r>
      <t>turpmāk ik gadu 
(</t>
    </r>
    <r>
      <rPr>
        <b/>
        <i/>
        <sz val="12"/>
        <rFont val="Times New Roman"/>
        <family val="1"/>
        <charset val="186"/>
      </rPr>
      <t>ja pasākums nav terminēts</t>
    </r>
    <r>
      <rPr>
        <b/>
        <sz val="12"/>
        <rFont val="Times New Roman"/>
        <family val="1"/>
        <charset val="186"/>
      </rPr>
      <t>)</t>
    </r>
  </si>
  <si>
    <t xml:space="preserve">33.18.00 Plānveida stacionāro veselības aprūpes pakalpojumu nodrošināšana </t>
  </si>
  <si>
    <t>46.03.00 Slimību profilakses nodrošināšana</t>
  </si>
  <si>
    <t>Aprūpes gultasdienas izmaksas</t>
  </si>
  <si>
    <t>Hroniskās gultasdienas izmaksa</t>
  </si>
  <si>
    <r>
      <t xml:space="preserve">1) Paliatīvās aprūpes gultasdienas izmaksas </t>
    </r>
    <r>
      <rPr>
        <b/>
        <i/>
        <u/>
        <sz val="14"/>
        <color theme="1"/>
        <rFont val="Times New Roman"/>
        <family val="1"/>
        <charset val="186"/>
      </rPr>
      <t>ar koeficientu</t>
    </r>
    <r>
      <rPr>
        <b/>
        <i/>
        <sz val="14"/>
        <color theme="1"/>
        <rFont val="Times New Roman"/>
        <family val="1"/>
        <charset val="186"/>
      </rPr>
      <t>:</t>
    </r>
  </si>
  <si>
    <t>29.Veselības ministrija</t>
  </si>
  <si>
    <t>18.Labklājības ministrija</t>
  </si>
  <si>
    <r>
      <t xml:space="preserve">Izdevumi vidēji uz 1 paliatīvā aprūpē esošu personu gadā, </t>
    </r>
    <r>
      <rPr>
        <b/>
        <i/>
        <sz val="11"/>
        <color theme="1"/>
        <rFont val="Times New Roman"/>
        <family val="1"/>
        <charset val="186"/>
      </rPr>
      <t>euro</t>
    </r>
  </si>
  <si>
    <t>Nr. p. k.</t>
  </si>
  <si>
    <t>gads</t>
  </si>
  <si>
    <t>Personu skaits gadā*</t>
  </si>
  <si>
    <t>Nepieciešamais finansējums pakalpojuma nodrošināšanai GADĀ, euro</t>
  </si>
  <si>
    <t>Kopējais pakalpojuma saņēmēju skaits**</t>
  </si>
  <si>
    <t>3=1*3personas</t>
  </si>
  <si>
    <t>2022. gads</t>
  </si>
  <si>
    <t>2023. gads</t>
  </si>
  <si>
    <t>2024. gads</t>
  </si>
  <si>
    <t>2025. gads</t>
  </si>
  <si>
    <t>2026. gads</t>
  </si>
  <si>
    <t>2028.gads</t>
  </si>
  <si>
    <t xml:space="preserve">Pakalpojuma "Psihosociālā rehabilitācija paliatīvā aprūpē esošām pilngadīgām personām un viņu ģimenes locekļiem" nodrošināšana </t>
  </si>
  <si>
    <t>*Aprēķinos pieņemts, ka psihociālo rehabilitāciju, lai nodrošinātu pārklājumu, sniedz multidisciplinārās komandas reģionos (katra sniedz pakalpojumu 150 paliatīvajā aprūpē esošām personām un 300 viņu ģimenes locekļiem gadā), t.sk. ieskaitot paliatīvā aprūpē esošus bērnus pēc 18 gadu vecuma. Sākotnēji, uzsākot pakalpojumu plānots 5 komandu darbs, pakāpeniski palielinot komandu skaitu līdz 2028.gadā darbojas 8 komandas, sniedzot atbalstu 3600 personām gadā (1200 paliatīvā aprūpē esošām personām un 2400 viņu ģimenes locekļiem).</t>
  </si>
  <si>
    <t>**plāots, ka pakalpojumu, vienlaicīgi ar paliatīvajā aprūpē esošo personu, saņem 2 ģimenes locekļi, attiecīgi nodrošinot pakalpojumu vienai paliatīvajā aprūpē esošai personai, faktiski pakalpojums tiek nodrošināts vidēji 3 personām.</t>
  </si>
  <si>
    <t>Finansējuma aprēķina pamatā ir MK 19.12.2017. noteikumos Nr.766  "Noteikumi par psihosociālās rehabilitācijas pakalpojumu paliatīvā aprūpē esošiem bērniem  un viņu ģimenes locekļiem"                                                                                                                                                                                                                                                                                                                                                                                                                                                                                                                                                                                                                                                  minētā pakalpojuma saturs un izmaksas</t>
  </si>
  <si>
    <t>1. Tiešās pakalpojuma aktivitātes un izmaksas</t>
  </si>
  <si>
    <t>Izdevumu posteņa nosaukums</t>
  </si>
  <si>
    <t>vienas vienības cena EURO, mēn</t>
  </si>
  <si>
    <t>Kopā atalgojumam mēnesī</t>
  </si>
  <si>
    <t>darbinieki 1 komandā*</t>
  </si>
  <si>
    <t>slodzes 1 komandā</t>
  </si>
  <si>
    <t>Kopā atalgojumam gadā</t>
  </si>
  <si>
    <t>Aprēķina paskaidrojums***</t>
  </si>
  <si>
    <t>1 komanda</t>
  </si>
  <si>
    <t>Tiešās pakalpojuma aktivitātes un izmaksas KOPĀ**:</t>
  </si>
  <si>
    <t>Darbinieki nodrošina pakalpojumu 24h diennaktī, 7 dienas nedēļā. Aprēķinos pieņemts, ka vidēji 12 h dežurēšanas režīmā strādā 2 speciālisti, bet 12 stundas, t.sk. naktis, 1 speciālists.</t>
  </si>
  <si>
    <t>1.1.</t>
  </si>
  <si>
    <t>Sociālā darbinieka  darba samaksa</t>
  </si>
  <si>
    <t>1.2.</t>
  </si>
  <si>
    <t>Kapelāna darba samaksa</t>
  </si>
  <si>
    <t>1.3.</t>
  </si>
  <si>
    <t>Sociālā darbinieka un kapelāna  darba samaksa par darbu svētku dienās</t>
  </si>
  <si>
    <t>x</t>
  </si>
  <si>
    <t>1.4.</t>
  </si>
  <si>
    <t>Sociālā darbinieka un kapelāna  darba samaksa par nakts darbu</t>
  </si>
  <si>
    <t>1.5.</t>
  </si>
  <si>
    <t>Multidisciplinārās komandas vadītāja darba samaksa</t>
  </si>
  <si>
    <t>*darbinieku skaits starp speciālistiem ir vidējais, var būt situācija, kad komandā ir piem., 6 soc.darbinieki un 3 kapelāni vai 3 soc.darbinieki un 6 kapelāni.</t>
  </si>
  <si>
    <t>**gadījumos, ja pakalpojuma sniedzējam, vakantu amata vietu, darbinieku darba nespējas lapu rezultātā, izveidojies prognozējamais plānotā finansējuma atlikums, tad tas var tikt novirzīts darbinieku piemaksām par papildu darbu, personīgo ieguldījumu, prēmijām u.c. izdevumiem saskaņā ar Valsts un pašvaldību institūciju amatpersonu un darbinieku atlīdzības likumu un 29.01.2013. MK not.Nr.66 "Noteikumi par valsts un pašvaldību institūciju amatpersonu un darbinieku darba samaksu un tās noteikšanas kārtību".</t>
  </si>
  <si>
    <t>***Aprēķina paskaidrojums ir informatīvs plānotās izdevumu summas pamatojums. Aprēķina paskaidrojumā var nebūt norādīti visi izdevumi, kas  veidojas pakalpojuma sniegšanas laikā un ir saskaņā ar pakalpojuma un izdevuma pozīcijas mērķa sasniegšanu, piem., vakantu amata vietu rezultātā darbiniekiem izmaksātās piemaksas par papildu darbu, slimības lapu apmaksa u.c. izdevumi.</t>
  </si>
  <si>
    <t>2. Ar pakalpojuma organizēšanu saistītās aktivitātes un izmaksas</t>
  </si>
  <si>
    <t>Vienība</t>
  </si>
  <si>
    <t>vienas vienības cena EURO</t>
  </si>
  <si>
    <t>Daudzums</t>
  </si>
  <si>
    <t>Kopā, Euro</t>
  </si>
  <si>
    <t>Kopā izdevumi, EURO</t>
  </si>
  <si>
    <t>Aprēķina paskaidrojums**</t>
  </si>
  <si>
    <t>mēnesī 1</t>
  </si>
  <si>
    <t xml:space="preserve">gadā 1 </t>
  </si>
  <si>
    <t>2*</t>
  </si>
  <si>
    <t>Ar pakalpojuma organizēšanu saistītās aktivitātes un izmaksas* KOPĀ:</t>
  </si>
  <si>
    <t>2.1.</t>
  </si>
  <si>
    <t>Transporta nodrošināšana speciālistiem. Izmaksas, KOPĀ:</t>
  </si>
  <si>
    <t>2.1.1.</t>
  </si>
  <si>
    <t>Transporta izdevumi</t>
  </si>
  <si>
    <t>mēnesis</t>
  </si>
  <si>
    <t xml:space="preserve"> Iegāde, remonts, apdrošināšana u.c. izmaksas, kas saistītas ar transportlīdzekļa uzturēšanu piem. OCTA, Kasko. Vidēji 353.82 mēn/1a/m</t>
  </si>
  <si>
    <t>2.1.2.</t>
  </si>
  <si>
    <t>Degvielas izdevumi</t>
  </si>
  <si>
    <t>km</t>
  </si>
  <si>
    <t xml:space="preserve">Plānotais km skaits uz 1 klientu ir vidēji 388 km gadā (pēc analoģijas ar BPAB sniegtajiem datiem). Plānotais klientu skaits (uz 1 komandu), kuriem būs nepieciešams komandas apmeklējumi mājās ir 85 (85% no kopējā vidējā plānotā klientu skaita uz vienu komandu, t.i. 85% no 150 personām = 128 personas, pieņemot, ka pie 15% no kopējā plānotā personu skaita vienai multidisciplinārajai komandai pakalpojums tiks nodrošināts attālināti. Gadā vidēji (viena komanda) nobrauc 49 664 km, mēnesī vidēji 4 139 km. Degvielas cena vidēji 1.16 euro/l. Automašīnas degvielas patēriņš 100km/7.7l, 1km/0.077l. Degvielas izdevumi par nobrauktu 1 km ir 0.09 euro. Degvielas izdevumi mēnesī par vidēji nobrauktiem 4 139km ir 372.20 euro, gadā par 49 664  km ir 4 466.38 euro.  </t>
  </si>
  <si>
    <t>2.2.</t>
  </si>
  <si>
    <t>Sakaru nodrošināšana komunikācijai ar klientu KOPĀ</t>
  </si>
  <si>
    <t>Paliatīvās aprūpes periodā personai un viņa ģimenes locekļiem tiek nodrošināts pēc vajadzības neierobežots multidisciplinārās komandas sastāvā esošā sociālā darbinieka un kapelāna telefonisku konsultāciju vai konsultāciju skaits, izmantojot attālinātās saskarsmes nodrošināšanas (dators) līdzekļus, t.i. tālaprūpes konsultāciju sniegšana, izmantojot interneta tehnoloģijas, jebkurā diennakts stundā bez ilguma ierobežojuma vienai konsultācijai.</t>
  </si>
  <si>
    <t>2.2.1.</t>
  </si>
  <si>
    <t>Sakaru tehnikas nodrošināšana komunikācijai ar klientu - dators ar web kameru (t.sk. programmatūra).</t>
  </si>
  <si>
    <t>gab.</t>
  </si>
  <si>
    <t xml:space="preserve">Lai nodrošinātu tālaprūpes konsultāciju sniegšanu izmantojot interneta tehnoloģijas, 24 h/diennaktī bez ilguma ierobežojuma vienai konsultācijai, nepieciešams aprīkojums - dators un/ar web kameru. Vidēji cenas tirgū svārstās no 500 līdz 1200 euro. Vidējā cena 1 vienībai ir 850 euro. Gadā plānots iegādāties vidēji 3 jaunus datorus ar web kameru. Atbilstoši MK not.Nr.1486 2.pielikumam datortehnikai lietošanas ilgums ir 5 gadi. Pēc pakalpojuma ieviešanas, sākot ar 5.gadu datortehnikas nodrošinājums 1 komandai - 15 gab. </t>
  </si>
  <si>
    <t>2.2.2.</t>
  </si>
  <si>
    <t>Telekomunikācijas sakaru nodrošināšana komunikācijai ar klientu (telefons, pieslēgums un internets)</t>
  </si>
  <si>
    <t>Izdevumi plānoti pamatojoties uz faktiskajiem izdevumiem pakalpojumam "Psihosociālā rehabilitācija paliatīvā aprūpē esošiem bērniem un viņu ģimenes locekļiem" 2018. un 2019. gadā, vidēji vienas komandas izdevumi gadā (telekomunikācijas nodrošināšana ar klientu) tiek prognozēti 729.33 euro apmērā, vidēji mēnesī 60.78 euro.</t>
  </si>
  <si>
    <t>2.3.</t>
  </si>
  <si>
    <t>Transporta izdevumi klientiem apmeklējot atbalsta grupas un konsultācijas multidisciplinārās komandas telpās</t>
  </si>
  <si>
    <t>Sociālās rehabilitācijas pakalpojuma saņēmējam tiek apmaksāti izdevumi, kas rodas klientam apmeklējot atbalsta grupas vai konsultācijas multidisciplinārās komandas telpās.</t>
  </si>
  <si>
    <t>2.3.1.</t>
  </si>
  <si>
    <t>Transporta izdevumi klientiem apmeklējot atbalsta grupas</t>
  </si>
  <si>
    <t>personas</t>
  </si>
  <si>
    <t>Citos valsts finansētajos sociālās rehabilitācijas pakalpojumos personām transporta izdevumu tiek apmaksāti 7 euro apmērā, bet ņemot vērā, ka ne visi pakalpojuma saņēmēji pieprasa kompensēt transporta izdevumus, tad aprēķinos pieņemts, ka vidēji uz vienu personu plānota transporta izdevumu kompensācija 3.25 euro/nodarbība apmērā. Vidēji uz vienu multidisciplināro komandu plānots, ka gadā 20 ģimenes locekļi apmeklēs grupu nodarbības, 3.25 euro x 10 nodarbības x 20personas (vidēji 2 grupas, katrā grupā 10 personas) = 650.00 euro/gadā (vidēji 54.17 euro/mēnesī).  Faktiski transporta izdevumu kompensāciju aprēķina un piešķir atbilstoši personas faktiskajiem izdevumiem.</t>
  </si>
  <si>
    <t>2.3.2.</t>
  </si>
  <si>
    <t xml:space="preserve">Transporta izdevumi klientiem apmeklējot konsultācijas </t>
  </si>
  <si>
    <t>Citos valsts finansētajos sociālās rehabilitācijas pakalpojumos personām transporta izdevumu tiek apmaksāti 7 euro apmērā, bet ņemot vērā, ka ne visi pakalpojuma saņēmēji pieprasa kompensēt transporta izdevumus, tad aprēķinos pieņemts, ka vidēji uz vienu personu plānota transporta izdevumu kompensācija  3.25 euro/konsultācija apmērā. Vidēji uz vienu komandu plānots, ka gadā 120 ģimenes locekļi saņems vienu individuālo konsultāciju speciālistu telpās (no kopējā skaita 900 aptuveni 13%), 3.25 euro x 120personas = 390.00euro/gadā (32.50 euro/mēnesī).  Faktiski transporta izdevumu kompensāciju aprēķina un piešķir atbilstoši personas faktiskajiem izdevumiem.</t>
  </si>
  <si>
    <t>2.4.</t>
  </si>
  <si>
    <t>Citas ar pakalpojuma organizēšanu saistītās aktivitātes un izmaksas KOPĀ:</t>
  </si>
  <si>
    <t>Citas ar pakalpojuma organizēšanu saistītās aktivitātes un izmaksas, kas nav minētas 2.tabulas "Ar pakalpojuma organizēšanu saistītās aktivitātes un izmaksas" 2.1.; 2.2.. un 2.3. apakšpunktos.</t>
  </si>
  <si>
    <t>2.4.1.</t>
  </si>
  <si>
    <t>Atbalsta grupu organizēšanas izmaksas (izdales materiālu kopēšana, kancelejas preces, "kafijas pauzes" izdevumi)</t>
  </si>
  <si>
    <t>Atbilstoši citos valsts apmaksātajos sociālās rehabilitācijas pakalpojumiem plānotajos izdevumos, katram pakalpojuma saņēmējam grupu nodarbību organizēšanas izdevumi nepārsniedz 2 euro uz vienu personu  vienā nodarbībā. Atbalsta grupu vada sociālais darbinieks un/vai kapelāns.  Grupā piedalās no 6-10 personām. Plānots, ka gadā vidēji tiks organizētas 2 atbalsta grupas/10 personas grupā. 1 grupai 10 nodarbības. KOPĀ gadā 20 nodarbības, 20 personas.   2 euro/persona x 10 personas grupā x 10 nodarbības  = 200 euro/grupa x 2 grupas gadā = 400.00 euro gadā. Vidēji izdevumi  uz vienu personu 20.00 euro gadā  un 1.67 euro mēn (400.00 euro/gadā: 20 personas:12mēn).</t>
  </si>
  <si>
    <t>2.4.2.</t>
  </si>
  <si>
    <t xml:space="preserve">Darba devēja apmaksātie veselības apdrošināšanas, darbinieku kvalifikācijas celšanas un supervīzijas izdevumi </t>
  </si>
  <si>
    <t>darbinieki</t>
  </si>
  <si>
    <t xml:space="preserve">Aprēķinot darbinieku skaitu, kas nodrošina pakalpojumu ieviešanu tiek apaļots uz augšu, jo visiem darbiniekiem neatkarīgi no slodzes apmēra ir jānodrošina veselības apdrošināšana. Vidēji mēnesī izdevumi uz 1 darbinieku 60.00 euro, uz 8 darbiniekiem -  5 760.00 euro, vidēji uz 1 darbinieku 480.00 euro/gadā. </t>
  </si>
  <si>
    <t>2.4.3.</t>
  </si>
  <si>
    <t>Telpu noma</t>
  </si>
  <si>
    <t>komanda</t>
  </si>
  <si>
    <t>Vidējās izmaksas uz 1 komandu 4 800 euro gadā (telpu nomā ietilpsit elektrība, apsaimniekošana, apkure u.c. izmaksas saskaņā ar telpu nomas/izmantošanas līgumu).</t>
  </si>
  <si>
    <t>*Ar pakalpojuma organizēšanu saistītās plānotās pakalpojuma izmaksas, atbilstoši pakalpojuma faktiskajām izmaksām var tikt savstarpēji pārplānotas.</t>
  </si>
  <si>
    <t>***Aprēķina paskaidrojums ir informatīvs plānotās izdevumu summas pamatojums. Aprēķina paskaidrojumā var nebūt norādīti visi izdevumi, kas  veidojas pakalpojuma sniegšanas laikā un ir saskaņā ar pakalpojuma un izdevuma pozīcijas mērķa sasniegšanu, piem., automašīnas remontdarbi, tehniskā apskate, automašīnas uzturēšanas līdzekļi, remontdarbi sakaru tehnikai, sakaru tehnikas iegāde, tehnikas apdrošināšanas, darbinieku kvalifikācijas celšanas gadījumā ārvalstīs – ceļa, komandējuma izdevumi  u.c. izdevumi.</t>
  </si>
  <si>
    <t>****Faktiskie pakalpojuma izdevumi netiek skatīti komandu griezumā (faktiski pakalpojumu var sniegt piem., 1 vai 5 komandas. Pakalpojuma sniedzējs ir atbildīgs par uzdevuma izpildi un pakalpojuma sniegšanai veido komandu skaitu atbilstoši pieejamiem resursiem.</t>
  </si>
  <si>
    <t>3.Pakalpojuma nodrošināšanas  izmaksas kopā</t>
  </si>
  <si>
    <t>Kopā mēnesī, Euro</t>
  </si>
  <si>
    <t>Kopā gadā, EURO</t>
  </si>
  <si>
    <t>Aprēķina paskaidrojums</t>
  </si>
  <si>
    <t xml:space="preserve">Pakalpojuma nodrošināšanas  izmaksas kopā                                                                                     </t>
  </si>
  <si>
    <t xml:space="preserve">   tabula 1. + tabula  2.</t>
  </si>
  <si>
    <t xml:space="preserve">4. Administrēšanas izmaksas </t>
  </si>
  <si>
    <t xml:space="preserve">Administrēšanas izmaksas </t>
  </si>
  <si>
    <t>10% no pakalpojuma faktiskajiem izdevumiem.</t>
  </si>
  <si>
    <r>
      <t>Pakalpojuma "Psihosociālā rehabilitācija paliatīvajā aprūpē esošām pilngadīgām personām un to ģimenes locekļiem"  izmaksas kopā/ gadā                                                                                                                                                                                                                        vienai</t>
    </r>
    <r>
      <rPr>
        <b/>
        <i/>
        <sz val="7"/>
        <rFont val="Times New Roman"/>
        <family val="1"/>
        <charset val="186"/>
      </rPr>
      <t xml:space="preserve"> multidisciplinārai komandai  </t>
    </r>
  </si>
  <si>
    <t>Kopā mēnesī</t>
  </si>
  <si>
    <t>Kopā  gadā</t>
  </si>
  <si>
    <t xml:space="preserve">Izmaksas KOPĀ gadā               euro                                                                                                                                                                                             </t>
  </si>
  <si>
    <t>Pakalpojuma nodrošināšanas izmaksas (tabula 3. + tabula 4.)</t>
  </si>
  <si>
    <t xml:space="preserve">Atlīdzības izdevumi </t>
  </si>
  <si>
    <t xml:space="preserve">Transporta nodrošināšana speciālistiem. </t>
  </si>
  <si>
    <t xml:space="preserve">Transporta izdevumu kompensācija pakalpojuma saņēmējiem </t>
  </si>
  <si>
    <t>Sakaru nodrošināšana</t>
  </si>
  <si>
    <t>Atbalsta grupu organizēšanas pieskaitāmie izdevumi</t>
  </si>
  <si>
    <t>Telpu nodrošināšana</t>
  </si>
  <si>
    <t>Veselības apdr., kvalifikācijas celšana un supervīzijas</t>
  </si>
  <si>
    <t>Administrēšana (10%)</t>
  </si>
  <si>
    <t>KOPĀ 1 speciālistu komanda</t>
  </si>
  <si>
    <t>Atbilstoši plānotajam, viena speciālistu komanda nodrošina pakalpojumu</t>
  </si>
  <si>
    <t>personām, t.sk. 150 paliatīvajā aprūpē esošas personas un 300 viņu ģimenes locekļi (1+2 = 3; 3x 150 = 450 personas)</t>
  </si>
  <si>
    <t>t.sk. paliatīvajā aprūpē esošas</t>
  </si>
  <si>
    <t>Izmaksas vidēji gadā uz 1 paliatīvajā aprūpē esošu personu</t>
  </si>
  <si>
    <t>euro</t>
  </si>
  <si>
    <t>Izmaksas vidēji gadā uz 1 personu</t>
  </si>
  <si>
    <r>
      <t>Pakalpojuma "Psihosociālā rehabilitācija paliatīvā aprūpē esošām pilngadīgām personām un viņu ģimenes locekļiem"                                                                                                                                                                                         finansējuma aprēķins</t>
    </r>
    <r>
      <rPr>
        <b/>
        <u/>
        <sz val="13"/>
        <rFont val="Times New Roman"/>
        <family val="1"/>
        <charset val="186"/>
      </rPr>
      <t xml:space="preserve"> vidēji uz 1 personu        </t>
    </r>
    <r>
      <rPr>
        <b/>
        <sz val="13"/>
        <rFont val="Times New Roman"/>
        <family val="1"/>
        <charset val="186"/>
      </rPr>
      <t xml:space="preserve">                                                                                                                                                                                                                                                       </t>
    </r>
  </si>
  <si>
    <t>2027. gads</t>
  </si>
  <si>
    <t>2029.gads</t>
  </si>
  <si>
    <t>Psihosociālā rehabilitācija paliatīvā aprūpē esošām pilngadīgām personām un viņu ģimenes locekļiem</t>
  </si>
  <si>
    <t>05.01.00 "Sociālās rehabilitācijas valsts programmas"</t>
  </si>
  <si>
    <t>33.16.00</t>
  </si>
  <si>
    <t>33.18.00</t>
  </si>
  <si>
    <t>04181</t>
  </si>
  <si>
    <t>04182</t>
  </si>
  <si>
    <t>04183</t>
  </si>
  <si>
    <t>08102</t>
  </si>
  <si>
    <t>08103</t>
  </si>
  <si>
    <t>08104</t>
  </si>
  <si>
    <t>08105</t>
  </si>
  <si>
    <t>Aprūpes vienas gulasdienas izmaksas</t>
  </si>
  <si>
    <t>Ārsts (dienas darba laiks)</t>
  </si>
  <si>
    <t>Ārsts (ārpus dienas darba laika)</t>
  </si>
  <si>
    <t>Aprūpes personāls (medicīnas māsa/ārsta palīgs) (dienas darba laiks)</t>
  </si>
  <si>
    <t>Aprūpes personāls (medicīnas māsa/ārsta palīgs) (ārpus dienas darba laika)</t>
  </si>
  <si>
    <t>Atbalsta personāls (māsu palīgs/ sanitārs) (dienas darba laiks)</t>
  </si>
  <si>
    <t>Atbalsta personāls (māsu palīgs/ sanitārs) (ārpus dienas darba laika)</t>
  </si>
  <si>
    <t>1 minūtes darba samaksa, EUR</t>
  </si>
  <si>
    <t>Standarts</t>
  </si>
  <si>
    <t>GD skaits programmā</t>
  </si>
  <si>
    <t>Esošās izmaksas 1 dienā (EUR)</t>
  </si>
  <si>
    <t>Programmas vērtība 2020 (EUR)</t>
  </si>
  <si>
    <t>Jaunais tarifs 1 dienā (EUR)</t>
  </si>
  <si>
    <t>Programmas vērtība JAUNĀ (EUR)</t>
  </si>
  <si>
    <t>Programmas cenas pieaugums</t>
  </si>
  <si>
    <t>Hospitalizāciju skaits (2019)</t>
  </si>
  <si>
    <t>Hronisko pacientu vienas gultasdienas izmaksas</t>
  </si>
  <si>
    <t>GD skaits</t>
  </si>
  <si>
    <t>Hospit.sk.</t>
  </si>
  <si>
    <t>Hronisko pacientu aprūpe ar ārstēšanās ilgumu 11 vai vairāk gultasdienas</t>
  </si>
  <si>
    <t>Hronisko pacientu aprūpe ar ārstēšanās ilgumu līdz 10 gultasdienām</t>
  </si>
  <si>
    <t>Medikamenti (anestēzijas līdzekļi, parenterālā barošana, utt.)</t>
  </si>
  <si>
    <t>RAKUS fakts</t>
  </si>
  <si>
    <t>Diagnostika:</t>
  </si>
  <si>
    <t>Vizuālā diagnostika</t>
  </si>
  <si>
    <t>Funkcionālā diagnostika</t>
  </si>
  <si>
    <t>Citas manipulācijas</t>
  </si>
  <si>
    <t>Resors</t>
  </si>
  <si>
    <t>LM</t>
  </si>
  <si>
    <t>3.6.</t>
  </si>
  <si>
    <t xml:space="preserve">Enterālā un parenterālā barošana </t>
  </si>
  <si>
    <t>3.6.1.</t>
  </si>
  <si>
    <t>3.6.2.</t>
  </si>
  <si>
    <t>3.6.3.</t>
  </si>
  <si>
    <t>3.6.4.</t>
  </si>
  <si>
    <t>3.6.5.</t>
  </si>
  <si>
    <t>3.6.6.</t>
  </si>
  <si>
    <t>3.6.7.</t>
  </si>
  <si>
    <t>3.6.8.</t>
  </si>
  <si>
    <t>VM</t>
  </si>
  <si>
    <t>3.6.8. Pacienta ceļa kartes izstrāde</t>
  </si>
  <si>
    <t>3.6.7. Pārrēķināts manipulāciju tarifs enterālās un parenterālās barošanas nodrošināšanai bērniem mājās</t>
  </si>
  <si>
    <t>3.6.6. Manipulāciju tarifi barošanas ilgkatetra ievietošanai un gastrostomām</t>
  </si>
  <si>
    <t>3.6.3.2. Manipulāciju tarifi pacienta apmācībai stacionārā par enterālo barošanu</t>
  </si>
  <si>
    <t>3.6.3.1. Manipulāciju tarifi pacienta apmācībai stacionārā par parenterālo barošanu</t>
  </si>
  <si>
    <t>3.6.1. Centralizētais iepirkums enterālajai un parenterālajai barošanai</t>
  </si>
  <si>
    <t>3.6. Enterālā un parenterālā barošana mājās</t>
  </si>
  <si>
    <t>4.1.</t>
  </si>
  <si>
    <t>3.3. Psihosociālā rehabilitācija paliatīvā aprūpē esošām pilngadīgām personām un viņu ģimenes locekļiem</t>
  </si>
  <si>
    <t>4.1. Mājas aprūpes pakalpojumu apmaksas tarifi:</t>
  </si>
  <si>
    <t>Risinājuma Nr.</t>
  </si>
  <si>
    <t>Risinājums</t>
  </si>
  <si>
    <t>Transporta izmaksas paliatīvās aprūpes darbiniekieku izsaukumiem pacientu dzīvesvietā</t>
  </si>
  <si>
    <t>5.8.</t>
  </si>
  <si>
    <t>6.2.</t>
  </si>
  <si>
    <t>Hronisko un aprūpes gultu skaita un apmaksas tarifu pārskatīšana</t>
  </si>
  <si>
    <t>6.2.1.</t>
  </si>
  <si>
    <t>6.2.2.</t>
  </si>
  <si>
    <t>6.2.1.Aprūpes gultasdienas izmaksas:</t>
  </si>
  <si>
    <t>6.2.2. Hroniskās gultasdienas izmaksas:</t>
  </si>
  <si>
    <t>6.2.Aprūpes un hronisko gultasdienu skaita un apmaksas tarifu pārskatīšana:</t>
  </si>
  <si>
    <t>PAPILDU NEPIECIEŠAMAIS FINANSĒJUMS APRŪPES UN HRONISKO GULTASDIENU APMAKSAS TARIFU IZMAIŅĀM:</t>
  </si>
  <si>
    <t>7.3.</t>
  </si>
  <si>
    <t>7.3. Pacientu koordinatoru kabinets paliatīvajā aprūpē:</t>
  </si>
  <si>
    <t>Nepieciešamais finansējums ar spēkā esošo tarifu</t>
  </si>
  <si>
    <t>Finansējums šobrīd ar esošo programmas vērtību</t>
  </si>
  <si>
    <t>t.sk.</t>
  </si>
  <si>
    <t>6.3.</t>
  </si>
  <si>
    <t>6.3. Ilgstoši kopjamo paliatīvās aprūpes pacientu apmaksas tarifu pārskatīšana (pacienti, kuriem nepieciešama mākslīgā plaušu ventilācija)</t>
  </si>
  <si>
    <t>PAPILDU NEPIECIEŠAMAIS FINANSĒJUMS TARIFU PĀRSKATĪŠANAI</t>
  </si>
  <si>
    <t>KOPĒJĀS PAKALPOJUMA IZMAKSAS, EURO</t>
  </si>
  <si>
    <r>
      <t xml:space="preserve">Apjoms, ko nosegs </t>
    </r>
    <r>
      <rPr>
        <b/>
        <u/>
        <sz val="11"/>
        <color theme="1"/>
        <rFont val="Times New Roman"/>
        <family val="1"/>
        <charset val="186"/>
      </rPr>
      <t>tarifs</t>
    </r>
    <r>
      <rPr>
        <b/>
        <sz val="11"/>
        <color theme="1"/>
        <rFont val="Times New Roman"/>
        <family val="1"/>
        <charset val="186"/>
      </rPr>
      <t>, euro</t>
    </r>
  </si>
  <si>
    <r>
      <t xml:space="preserve">Apjoms, ko nosegs pacienta </t>
    </r>
    <r>
      <rPr>
        <b/>
        <u/>
        <sz val="11"/>
        <color theme="1"/>
        <rFont val="Times New Roman"/>
        <family val="1"/>
        <charset val="186"/>
      </rPr>
      <t>līdzmaksājums</t>
    </r>
    <r>
      <rPr>
        <b/>
        <sz val="11"/>
        <color theme="1"/>
        <rFont val="Times New Roman"/>
        <family val="1"/>
        <charset val="186"/>
      </rPr>
      <t>, euro</t>
    </r>
  </si>
  <si>
    <t>Manipulācijas pašreizējais nosaukums</t>
  </si>
  <si>
    <r>
      <t xml:space="preserve">Manipulācijas plānotās nosaukuma izmaiņas, ja plānotas. Ja nav plānotas – rakstīt </t>
    </r>
    <r>
      <rPr>
        <i/>
        <sz val="11"/>
        <color theme="1"/>
        <rFont val="Times New Roman"/>
        <family val="1"/>
        <charset val="186"/>
      </rPr>
      <t>Bez izmaiņām.</t>
    </r>
  </si>
  <si>
    <t>Manipulācijas pašreizējais tarifs, eiro</t>
  </si>
  <si>
    <t>Pārrēķinātais manipulācijas tarifs, eiro</t>
  </si>
  <si>
    <t>Pacienta līdzmaksājums, eiro</t>
  </si>
  <si>
    <t>Manipulācijas tarifam nepieciešamais finansējums (uz 1 manipulāciju), eiro</t>
  </si>
  <si>
    <t>Vidējais manipulāciju skaits gadā (saskaņā ar statistikas datiem par 1 kalendāro gadu)</t>
  </si>
  <si>
    <t>Nepieciešamais finansējums gadā, eiro</t>
  </si>
  <si>
    <t>Ambulatori</t>
  </si>
  <si>
    <t>Dienas stacionārā</t>
  </si>
  <si>
    <t>Stacionārā</t>
  </si>
  <si>
    <t>Bez izmaiņām</t>
  </si>
  <si>
    <t>1)Tarifu pārrēķins mājas vizītēm pie pacientiem ar mākslīgo plaušu ventilāciju</t>
  </si>
  <si>
    <t>Finansējums gadam šobrīd ar esošo tarifu</t>
  </si>
  <si>
    <r>
      <t xml:space="preserve">60252 </t>
    </r>
    <r>
      <rPr>
        <i/>
        <sz val="11"/>
        <rFont val="Times New Roman"/>
        <family val="1"/>
        <charset val="186"/>
      </rPr>
      <t>(jādod cits kods tikai BKUS lietošanai)</t>
    </r>
  </si>
  <si>
    <t>Mākslīgās plaušu ventilācijas iekārtas izmantošana pacientam, kuram mājās nepieciešama ilgstoša mākslīgā plaušu ventilācija (par vienu dienu)</t>
  </si>
  <si>
    <t>2) Tarifa pārrēķins mākslīgai plaušu ventilācijai mājās VSIA "Bērnu klīniskā universitātes slimnīca" pacientiem</t>
  </si>
  <si>
    <t>Nepieciešamais finansējums papildus gadā, eiro</t>
  </si>
  <si>
    <r>
      <t xml:space="preserve">60252 </t>
    </r>
    <r>
      <rPr>
        <i/>
        <sz val="8"/>
        <rFont val="Times New Roman"/>
        <family val="1"/>
        <charset val="186"/>
      </rPr>
      <t>(jādod cits kods tikai pieaugušo pacientu lietošanai)</t>
    </r>
  </si>
  <si>
    <t>Mākslīgās plaušu ventilācijas iekārtas izmantošana pacientam, kuram mājās nepieciešama ilgstoša mākslīgā plaušu ventilācija, iekļauti ārstniecības līdzekļi un ierīču nolietojums (par vienu dienu)</t>
  </si>
  <si>
    <t>3) Tarifa pārrēķins mākslīgai plaušu ventilācijai mājās pieaugušiem pacientiem</t>
  </si>
  <si>
    <t>Nepieciešamais papildus finansējums gadā, eiro</t>
  </si>
  <si>
    <t>Ilgstoši kopjamo paliatīvās aprūpes pacientu apmaksas tarifu pārskatīšana (pacienti, kuriem nepieciešama mākslīgā plaušu ventilācija)</t>
  </si>
  <si>
    <t>6.4.</t>
  </si>
  <si>
    <t>6.4. Jauna manipulācija - skābekļu terapijas nodrošināšana paliatīvās aprūpes pacientiem</t>
  </si>
  <si>
    <t>Jauns</t>
  </si>
  <si>
    <t>Manip. tarifs, eiro</t>
  </si>
  <si>
    <t>Papildus manip.tarifam nepieciešamais finansējums, eiro</t>
  </si>
  <si>
    <t>1) Jaunas manipulācijas skābekļa terapijas nodrošināšanai mājas aprūpes ietvaros VSIA "Bērnu klīniskā universitātes slimnīca" pacientiem</t>
  </si>
  <si>
    <t>Skābekļa terapijas nodrošināšana mājas aprūpē, par vienu dienu (ārstniecības līdzekļi un ierīču nolietojums)</t>
  </si>
  <si>
    <t>2) Jauna manipulācija skābekļa terapijas nodrošināšanai mājas aprūpes ietvaros pieaugušiem pacientiem</t>
  </si>
  <si>
    <t>Plānotais pacientu skaits 2021.gadā</t>
  </si>
  <si>
    <t>Pacientu skaits potenciāli varētu pieaugt līdz 50 pacientiem gadā</t>
  </si>
  <si>
    <t>Gads</t>
  </si>
  <si>
    <t>Nepieciešamais finansējums gadam</t>
  </si>
  <si>
    <t>2023 un turpmāk ik gadu</t>
  </si>
  <si>
    <t>2023 un turpmāk</t>
  </si>
  <si>
    <t>Jauna manipulācija - skābekļu terapijas nodrošināšana paliatīvās aprūpes pacientiem</t>
  </si>
  <si>
    <t>6.5.</t>
  </si>
  <si>
    <t>Traheostomētu pacientu aprūpes kabineta izveide</t>
  </si>
  <si>
    <t>PAPILDU NEPIECIEŠAMAIS FINANSĒJUMS JAUNAS MANIPULĀCIJAS IZVEIDEI</t>
  </si>
  <si>
    <t>6.5. Traheostomētu pacientu aprūpes kabineta izveide</t>
  </si>
  <si>
    <t>PAPILDU NEPIECIEŠAMAIS FINANSĒJUMS KABINETA IZVEIDEI</t>
  </si>
  <si>
    <t>1.</t>
  </si>
  <si>
    <t>EUR par vienu slodzi</t>
  </si>
  <si>
    <t>EUR par 0,25 slodzēm</t>
  </si>
  <si>
    <t>EUR par 0,5 slodzēm</t>
  </si>
  <si>
    <t>Traheostomas kabinets</t>
  </si>
  <si>
    <t>2.</t>
  </si>
  <si>
    <t>3.</t>
  </si>
  <si>
    <t>Vienreizēja investīcija RAKUS traheostomas kabineta nodrošināšanai</t>
  </si>
  <si>
    <t>Aprīkojuma nosaukums</t>
  </si>
  <si>
    <t>Iegādes cena, EUR</t>
  </si>
  <si>
    <t>Pulsa oksimetrs</t>
  </si>
  <si>
    <t>Ķirurģiskais sūknis Askir 30</t>
  </si>
  <si>
    <t>Savācējtrauka komplekts</t>
  </si>
  <si>
    <t>Sūkņa filtrs</t>
  </si>
  <si>
    <t>FLOVAC ārējā trauka komplekts</t>
  </si>
  <si>
    <t>1) RAKUS Traheostomas kabinea izmaksas</t>
  </si>
  <si>
    <t>Darba samaksa kabineta koordinatoram (medicīnas māsai)</t>
  </si>
  <si>
    <t>Kopējais pacientu skaits</t>
  </si>
  <si>
    <t>Kopējais vizīšu skaits gadā vienam pacientam</t>
  </si>
  <si>
    <t>Ārsta pneimonologa aprūpes epizode, EUR</t>
  </si>
  <si>
    <t>Kopējās izmaksas, EUR:</t>
  </si>
  <si>
    <t>Pacientu skaits, kuriem būs nepieciešama ārsta konsultācija</t>
  </si>
  <si>
    <t>1. RAKUS norādītais pacientu skaits gadā</t>
  </si>
  <si>
    <t>2. Pacienti, kuriem nodrošina traheostomu mājas aprūpē</t>
  </si>
  <si>
    <t>3. Pacienti, kuriem nodrošina gan mākslīgo plaušu ventilāciju, gan traheostomiju mājas aprūpē</t>
  </si>
  <si>
    <t>Pacienta līdzmaksājums par ārsta konsultācijām:</t>
  </si>
  <si>
    <t>Kopējais līdzmaksājuma apjoms gadā, EUR</t>
  </si>
  <si>
    <t>Papildu finansējums attālinātām ārsta konsultācijām:</t>
  </si>
  <si>
    <t>Kopējais attālināto konsultāciju skaits gadā vienam pacientam</t>
  </si>
  <si>
    <t>* 60153 manipulācijas tarifs</t>
  </si>
  <si>
    <t>Kopējais attālināto konsultāciju apjoms gadā, EUR</t>
  </si>
  <si>
    <t>SAVA speciālista pirmreizēja attālināta konsultācija klātienes konsultācijas vietā, t.sk. dokumentācijas aizpildīšana (1.grupa)</t>
  </si>
  <si>
    <t>2) Kopējās izmaksas ārsta konsultācijām traheostomas pacientiem</t>
  </si>
  <si>
    <t>Pacienta līdzmaksājums, EUR</t>
  </si>
  <si>
    <t>Traheostomas pacienti</t>
  </si>
  <si>
    <t>Pacientiem, kuriem nepieciešama traheostoma ar manšeti</t>
  </si>
  <si>
    <t>Pacientiem, kuriem nepieciešama traheostoma bez manšetes</t>
  </si>
  <si>
    <t>Nepieciešamais traheostomas kaniļu daudzums gadā</t>
  </si>
  <si>
    <t>Traheostomu ar manšeti skaits gadā</t>
  </si>
  <si>
    <t>Traheostomas kanili nepieciešams nomainīt ik pēc 6 nedēļam, tad vienam pacientam vidēji būs nepieciešamas 9 kaniles gadā</t>
  </si>
  <si>
    <t>Traheostomu bez manšetes skaits gadā</t>
  </si>
  <si>
    <t>Traheostomas kanili nepieciešams nomainīt ik pēc 6 mēnešiem, tad vienam pacientam vidēji būs nepieciešamas 2 kaniles gadā</t>
  </si>
  <si>
    <t xml:space="preserve">3. </t>
  </si>
  <si>
    <t>Nepieciešamais finansējums</t>
  </si>
  <si>
    <t>Cena par vienu vienību, EUR</t>
  </si>
  <si>
    <t>Summa gadā, EUR</t>
  </si>
  <si>
    <t>Traheostomijas kanile bez manšetes</t>
  </si>
  <si>
    <t>Traheostomijas kanile ar manšeti</t>
  </si>
  <si>
    <t>Traheostomijas kanile pagarināta ar manšeti</t>
  </si>
  <si>
    <t>Traheostomijas kanile pagarināta bez manšetes</t>
  </si>
  <si>
    <t>Vienreizlietojamie traheostomas kaniļu nomaiņai nepieciešamie ārstniecības līdzekļi</t>
  </si>
  <si>
    <t>3) Traheostomijas kaniļu kopējās izmaksas</t>
  </si>
  <si>
    <r>
      <t xml:space="preserve">Ķirurģiskā sūkņa </t>
    </r>
    <r>
      <rPr>
        <i/>
        <sz val="11"/>
        <color theme="1"/>
        <rFont val="Times New Roman"/>
        <family val="1"/>
        <charset val="186"/>
      </rPr>
      <t>Askir 30</t>
    </r>
    <r>
      <rPr>
        <sz val="11"/>
        <color theme="1"/>
        <rFont val="Times New Roman"/>
        <family val="1"/>
        <charset val="186"/>
      </rPr>
      <t xml:space="preserve"> izmaksas</t>
    </r>
  </si>
  <si>
    <t>Ķirurģiskā sūkņa papildus aprīkojums</t>
  </si>
  <si>
    <t>Pacientu skaits, kuram nepieciešams sūknis</t>
  </si>
  <si>
    <t>Pēc RAKUS sniegtās informācijas, tiek norādīts, ka 2/3 no kopējā pacientu skaita būtu nepiešams sūknis</t>
  </si>
  <si>
    <t>4) Ķirurģiskā sūkņa izmaksas</t>
  </si>
  <si>
    <r>
      <t>Uz doto brīdi nav informācijas par to cik procentuāli, katra no šīm traheostomas kanilēm būtu nepieciešama, tāpēc aprēķinā ir ņemta</t>
    </r>
    <r>
      <rPr>
        <u/>
        <sz val="11"/>
        <rFont val="Times New Roman"/>
        <family val="1"/>
        <charset val="186"/>
      </rPr>
      <t xml:space="preserve"> standarta traheostomijas kaniļu izmaksas</t>
    </r>
    <r>
      <rPr>
        <sz val="11"/>
        <rFont val="Times New Roman"/>
        <family val="1"/>
        <charset val="186"/>
      </rPr>
      <t>.</t>
    </r>
  </si>
  <si>
    <t>Likumā "Par vidējā termiņa budžeta ietvaru 2020., 2021. un 2022.gadam" plānotais finansējums attiecīgajam pasākumam, EUR</t>
  </si>
  <si>
    <r>
      <t xml:space="preserve">Papildus nepieciešamais valsts budžeta finansējums, </t>
    </r>
    <r>
      <rPr>
        <b/>
        <i/>
        <sz val="12"/>
        <rFont val="Times New Roman"/>
        <family val="1"/>
        <charset val="186"/>
      </rPr>
      <t>EUR</t>
    </r>
  </si>
  <si>
    <t>5.5.</t>
  </si>
  <si>
    <t>5.5. Konkurētspējīgs atalgojums paliatīvajā aprūpē:</t>
  </si>
  <si>
    <t>5.5.1.Paliatīvās aprūpes vienas gultasdienas izmaksas ar algas koeficientu</t>
  </si>
  <si>
    <t>5.8. Transporta izmaksas paliatīvās aprūpes darbiniekieku izsaukumiem pacientu dzīvesvietā</t>
  </si>
  <si>
    <r>
      <t xml:space="preserve">5.9. Papildus finansējuma nodrošinājums VSIA "Bērnu klīniskās univeristātes slimnīca" </t>
    </r>
    <r>
      <rPr>
        <b/>
        <u/>
        <sz val="16"/>
        <color theme="1"/>
        <rFont val="Times New Roman"/>
        <family val="1"/>
        <charset val="186"/>
      </rPr>
      <t>Paliatīvās aprūpes kabineta ārstniecības līdzekļiem:</t>
    </r>
  </si>
  <si>
    <t>5.9.</t>
  </si>
  <si>
    <t>5.Pielikums</t>
  </si>
  <si>
    <t>konceptuālajam ziņojumam  “Par situāciju paliatīvajā aprūpē Latvijā un nepieciešamajām izmaiņām paliatīvās aprūpes pakalpojumu pieejamības nodrošināšanā”</t>
  </si>
  <si>
    <t>Enterālās un parenterālās barošanas pieaugušajiem nodrošināšanai nepieciešamo produktu un medicīnas preču izmaksas pacientu pieaugumam (prognoze)</t>
  </si>
  <si>
    <t>Barošanas veids</t>
  </si>
  <si>
    <r>
      <t xml:space="preserve">Vidējās izmaksas 
vienam pacientam mēnesī, </t>
    </r>
    <r>
      <rPr>
        <b/>
        <i/>
        <sz val="10"/>
        <color indexed="8"/>
        <rFont val="Times New Roman"/>
        <family val="1"/>
        <charset val="186"/>
      </rPr>
      <t>euro</t>
    </r>
  </si>
  <si>
    <r>
      <t xml:space="preserve">Vidējās izmaksas 
vienam pacientam gadā, </t>
    </r>
    <r>
      <rPr>
        <b/>
        <i/>
        <sz val="10"/>
        <color indexed="8"/>
        <rFont val="Times New Roman"/>
        <family val="1"/>
        <charset val="186"/>
      </rPr>
      <t>euro</t>
    </r>
  </si>
  <si>
    <t>2022.gadā</t>
  </si>
  <si>
    <t>2023.gadā</t>
  </si>
  <si>
    <t>Prognozētais pacientu skaits</t>
  </si>
  <si>
    <t>Prognozētais pacientu skaita pieaugums pret 2020.gadu</t>
  </si>
  <si>
    <r>
      <t xml:space="preserve">Papildus izdevumi kopā gadā un turpmāk, </t>
    </r>
    <r>
      <rPr>
        <b/>
        <i/>
        <sz val="10"/>
        <color indexed="8"/>
        <rFont val="Times New Roman"/>
        <family val="1"/>
        <charset val="186"/>
      </rPr>
      <t>euro</t>
    </r>
  </si>
  <si>
    <t>Enterālā</t>
  </si>
  <si>
    <t>Parenterālā</t>
  </si>
  <si>
    <t>* 2020.gada 2.pusgadā enterālā un parenterālā barošanu pieaugušajiem tika ieviesta ar NVD iekšējām finansējuma rezervēm. Tiek prognozēts, ka pacientu skaits, kam šāda barošana nepieciešama ik gadu palielinās. Pacientu skaitu iespējams paplašināt tikai tādā gadījumā, ja tiek piešķirts finansējums, ar NVD esošo finansējumu tas nav iespējams.</t>
  </si>
  <si>
    <t xml:space="preserve">PAPILDU NEPIECIEŠAMAIS FINANSĒJUSMS ENTERĀLAI UN PARENTERĀLAI BAROŠANAI: </t>
  </si>
  <si>
    <t>2020.gada plāns (ja apmaksātu pilnu gadu)</t>
  </si>
  <si>
    <r>
      <t xml:space="preserve">Izdevumi kopā gadā un turpmāk, </t>
    </r>
    <r>
      <rPr>
        <b/>
        <i/>
        <sz val="10"/>
        <color indexed="8"/>
        <rFont val="Times New Roman"/>
        <family val="1"/>
        <charset val="186"/>
      </rPr>
      <t>euro (12 mēneši)</t>
    </r>
    <r>
      <rPr>
        <b/>
        <sz val="10"/>
        <color indexed="8"/>
        <rFont val="Times New Roman"/>
        <family val="1"/>
        <charset val="186"/>
      </rPr>
      <t xml:space="preserve"> </t>
    </r>
  </si>
  <si>
    <t xml:space="preserve">Centralizētais iepirkums </t>
  </si>
  <si>
    <t xml:space="preserve">RAKUS kabinets </t>
  </si>
  <si>
    <t xml:space="preserve">3.6.2. Fiksētā ikmēneša maksājuma (piemaksas) aprēķins ārstu speciālistu kabinetiem un struktūrvienībām </t>
  </si>
  <si>
    <t>Finansējums, ja tiek piešķirts papildu finansējums un varētu paplašināt pacientu skaitu</t>
  </si>
  <si>
    <t>Finansējums pilnam gadam pie sākotnēji plānotā pacientu skaita</t>
  </si>
  <si>
    <t>2022.gadam, EUR kopā</t>
  </si>
  <si>
    <t>2023.gadam, EUR kopā</t>
  </si>
  <si>
    <t>Piemaksa manipulācijai 60141 par kļūdaini sagatavotu parenterālās barošanas maisījumu (samaksa tiek veikta ne vairāk kā 1x vienam pacientam apmācības dienā)</t>
  </si>
  <si>
    <t>Paredzams, ka parenterāli barojamo pacientu skaits turpmākos gados pieaugtu par 1-2 jauniem pacientiem, kuriem nepieciešams nodrošināt apmācības.</t>
  </si>
  <si>
    <t>2024.gadam, EUR kopā</t>
  </si>
  <si>
    <t xml:space="preserve"> Papildu finansējums parenterālās un enterālās barošanas kabinetam SIA "Rīgas Austrumu klīniskā universitātes slimnīca" - papildus 1,5 māsu slodzes, lai nodrošinātu paredzamo pacientu skaita pieauguma aprūpi</t>
  </si>
  <si>
    <r>
      <t xml:space="preserve">Paredzams, ka pirmreizējā apmācība stacionārā veicama maksimāli 7 reizes, sakarā ar to, ka ar pirmo reizi pacientam var neizdoties veiksmīgi pievienot parenterālās barošanas sistēmu. Pacientiem saskaroties ar dažādām grūtībām, kā arī komplikāciju gadījumos tiek plānots nodrošināt pacientu apmācības līdz 7 reizēm, pirms pacients tiek izrakstīts uz mājām. </t>
    </r>
    <r>
      <rPr>
        <u/>
        <sz val="11"/>
        <color theme="1"/>
        <rFont val="Times New Roman"/>
        <family val="1"/>
        <charset val="186"/>
      </rPr>
      <t>Ir gadījumi, kad pacienti komplikāciju gadījumā atgriežas ārstēties stacionārā un nepieciešams nodrošināt atkārtotu apmācību</t>
    </r>
    <r>
      <rPr>
        <sz val="11"/>
        <color theme="1"/>
        <rFont val="Times New Roman"/>
        <family val="1"/>
        <charset val="186"/>
      </rPr>
      <t>.</t>
    </r>
  </si>
  <si>
    <t>Pirmajā Manipulācijā nav iekļauti ārstniecības līdzekļi, kā SMOF Kabiven Central emulsija infūzijām, kura izmaksas sastāda lielu summu no otras norādītās manipulācijas.Paredzams, ka no 7 apmācības reizēm stacionārā 4 reizes pacients varētu kļūdīties un sagatavotais maisījums nebūs lietojams uzturā. Attiecīgi šādās reizēs uzturā neizmantojamais maisījums tiks apmaksāts ar šo manipulāciju. Par parenterālu pacientu ēdināšanas maisījumiem stacionāra pacientiem tiek maksāts ar manipulāciju 04198 (attiecīgi ar manipulāciju 04198 tiks segts ēdināšanas maisījums par tām reizēm, kad apmācības laikā pacients visu sagatavos pareizi un izmantos sagatavoto maisījumu ēšanai).</t>
  </si>
  <si>
    <t>Stacionēšanās skaits vienam pacientam</t>
  </si>
  <si>
    <r>
      <t xml:space="preserve">Paredzams, ka pirmreizējā apmācība stacionārā veicama maksimāli 3 reizes. </t>
    </r>
    <r>
      <rPr>
        <u/>
        <sz val="11"/>
        <color theme="1"/>
        <rFont val="Times New Roman"/>
        <family val="1"/>
        <charset val="186"/>
      </rPr>
      <t>Ir gadījumi, kad pacienti komplikāciju gadījumā atgriežas ārstēties stacionārā un nepieciešams nodrošināt atkārtotu apmācību (viena trešdaļa no kopējā skaita).</t>
    </r>
  </si>
  <si>
    <t>Paredzams, ka enterāli barojamo pacientu skaits turpmākos gados pieaugtu par 45-50 jauniem pacientiem, kuriem nepieciešams nodrošināt apmācības.</t>
  </si>
  <si>
    <t>Parenterālās barošanas pacienta aprūpe un kontrole ambulatori</t>
  </si>
  <si>
    <t>Paredzams, ka parenterāli barojamo pacientu skaits turpmākos gados pieaugtu par 1-2 jauniem pacientiem.</t>
  </si>
  <si>
    <t>3.6.4.1. Manipulāciju tarifi pacienta aprūpei un kontrolei ambulatori par parenterālo barošanu</t>
  </si>
  <si>
    <t>8.4 Manipulāciju tarifi pacienta aprūpei un kontrolei ambulatori par enterālo barošanu</t>
  </si>
  <si>
    <t>Enterālās barošanas pacienta aprūpe un kontrole ambulatori</t>
  </si>
  <si>
    <t>Paredzams, ka enterāli barojamo pacientu skaits turpmākos gados pieaugtu par 45-50 jauniem pacientiem.</t>
  </si>
  <si>
    <t>2024.gadā</t>
  </si>
  <si>
    <t>8.5 Izmaiņas esošu manipulāciju apmaksas nosacījumos</t>
  </si>
  <si>
    <t>KOPĀ vienam pacientam, EUR</t>
  </si>
  <si>
    <t>EUR 2022.gadā, ja plānojam +50 pacientus</t>
  </si>
  <si>
    <t>EUR 2023.gadā, ja plānojam 50+45=95 pacientus</t>
  </si>
  <si>
    <t>EUR 2024.gadā, ja plānojam 95+45=140 pacientus</t>
  </si>
  <si>
    <t>EUR 2022.gadā, ja plānojam +2 pacientus</t>
  </si>
  <si>
    <t>EUR 2023.gadā, ja plānojam 2+1=3 pacientus</t>
  </si>
  <si>
    <t>EUR 2024.gadā, ja plānojam 3+1=4 pacientus</t>
  </si>
  <si>
    <t>* vai **</t>
  </si>
  <si>
    <t>Plānoto manipulāciju skaits 2022.gadā</t>
  </si>
  <si>
    <t>Nepieciešamais finansējums, euro 2022.gadā</t>
  </si>
  <si>
    <t>Plānoto manipulāciju skaits 2023.gadā</t>
  </si>
  <si>
    <t>Nepieciešamais finansējums, euro 2023.gadā</t>
  </si>
  <si>
    <t>Finansējums gadam sadalījumā pa apakšprogrammām</t>
  </si>
  <si>
    <t>Finansējums gadam sadalījumā pa apakšprogrammām 2022.gadam</t>
  </si>
  <si>
    <t>Finansējums gadam sadalījumā pa apakšprogrammām 2023.gadam</t>
  </si>
  <si>
    <t>Sākotnēji gada laikā tiek plānotas 6-20 manipulācijas (5 pacienti gadā,  iespējama katetru maiņa ik pēc 3 mēnešie, ja ir sarežģījumi). Pakalpojums tiks sniegts tikai stacionārā.
Tālāk ik gadu - klāt 1-2 jauni pacienti.</t>
  </si>
  <si>
    <t>Sākotnēji gada laikā tiek plānotas 5-15 manipulācijas (5 pacienti gadā, iespējama katetru maiņa ik pēc 3 mēnešie, ja ir sarežģījumi). Pakalpojums tiks sniegts tikai stacionārā.
Tālāk ik gadu - klāt 1-2 jauni pacienti.</t>
  </si>
  <si>
    <t>Sākotnēji gada laikā tiek plānotas 1-5 manipulācijas (5 pacienti gadā, pacientiem ar atkārtotām katetra infekcijas epizodēm). Pakalpojums tiks sniegts tikai stacionārā.
Tālāk ik gadu - 1-2 jauni pacienti.</t>
  </si>
  <si>
    <t>Gada laikā pieaugušajiem tiek plānotas 55-220 nomaiņas manipulācijas (55 pacienti gadā,  iespējama maiņa ik pēc 3 mēnešiem), bērniem - ap 130 nomaiņas manipulācijas gadā. Pakalpojums pamatā nodrošināms ambulatori (80%), bet var būt situācijas, kad jāveic stacionārā (20%). Piemaksas par zondēm lieto gan pie nomaiņas, gan pie ievietošanas. Pieaugušajiem pamatā izmantos zondes tipa gastrostomu, arī bērniem - pamatā zondes tipa gastrostoma un atsevišķās situācijās - pogveida gastrostoma.
Pieaugušajiem plānotais pacientu skaita pieaugums ik gadu 45-50 jauni pacienti.</t>
  </si>
  <si>
    <t>Plānoto manipulāciju skaits 2024.gadā</t>
  </si>
  <si>
    <t>Nepieciešamais finansējums, euro 2024.gadā</t>
  </si>
  <si>
    <t>Finansējums gadam sadalījumā pa apakšprogrammām 2024.gadam</t>
  </si>
  <si>
    <r>
      <t xml:space="preserve">NVD informē, ka </t>
    </r>
    <r>
      <rPr>
        <u/>
        <sz val="12"/>
        <color theme="1"/>
        <rFont val="Times New Roman"/>
        <family val="1"/>
        <charset val="186"/>
      </rPr>
      <t xml:space="preserve">enterālās barošanas maisījumi </t>
    </r>
    <r>
      <rPr>
        <sz val="12"/>
        <color theme="1"/>
        <rFont val="Times New Roman"/>
        <family val="1"/>
        <charset val="186"/>
      </rPr>
      <t>bērniem tiek apmaksāti atbilstoši slēgtajam līgumam Nr. 1-995-2018 par sekundāro ambulatoro veselības aprūpes pakalpojumu sniegšanu un apmaksu, kur līguma 6. pielikuma 9. punktā atrunāti tie enterālās barošanas līdzekļi, kurus apmaksā par valsts budžeta līdzekļiem. Kā arī ārstniecības līdzekļi, kuri nepieciešami, lai nodrošinātu enterālo barošanu bērniem (neskaitot enterālās barošanas maisījumus), tiek apmaksāti caur VSIA "Bērnu klīniskās universitātes slimnīca" Paliatīvās aprūpes kabinetu.</t>
    </r>
  </si>
  <si>
    <t>3.3.</t>
  </si>
  <si>
    <t>Visbiežāk enterālā un parenterālā barošana tiek nodrošināta onkoloģiskiem pacientiem un pacientiem, kas saņem paliatīvo aprūpi. Tā kā līdz 75 % onkoloģisko pacientu plūsma ir koncentrēta RAKUS, tā rezultātā ir racionāli kabinetu izvietot RAKUS. Paralēli ir plānots, ka nepieciešamības gadījumā, kabinets un piesaistītie speciālisti sniegs arī attālinātas konsultācijas gan pacientiem, gan speciālistiem.</t>
  </si>
  <si>
    <t>2024.gadam</t>
  </si>
  <si>
    <t>5.5.2.Tehniskie palīglīdzekļi paliatīvās aprūpes nodrošināšanā:</t>
  </si>
  <si>
    <r>
      <t xml:space="preserve">5.5.3. Pacientu  transportēšanas uz dzīvesvietu izmaksas
</t>
    </r>
    <r>
      <rPr>
        <u/>
        <sz val="14"/>
        <color theme="1"/>
        <rFont val="Times New Roman"/>
        <family val="1"/>
        <charset val="186"/>
      </rPr>
      <t>(ja to veikusi ārstniecības iestāde izmantojot savus resursus)</t>
    </r>
  </si>
  <si>
    <t>2024 un turpmāk</t>
  </si>
  <si>
    <t>Finansējums nepieciešams 2022.gadam - vienreizēja iegāde</t>
  </si>
  <si>
    <t>Finansējums, lai varētu paplašināt pacientu skaitu</t>
  </si>
  <si>
    <t>Vidējā ceļa kartes izstrādes līguma summa bez PVN, EUR*</t>
  </si>
  <si>
    <t>*2017.-2019.g. tika veikta vairāku pacienta ceļu karšu iztrāde, tika slēgti pakalpojumu līgumi, šeit norādīta vidējā līguma summa par vienas ceļa kartes izstrādi. Kopsumma veidojas no iesaistīto speciālistu atalgojuma izmaksām: Izstrādē iesaistītie speciālisti -2 *880 izstrādei nepieciešamās stundas katram speciālistam * 7.416 EUR vidējā vienas stundas likme speciālistam (ar VSAOI) = 13 052 EUR. Līguma summa tiek aplikta ar PVN</t>
  </si>
  <si>
    <t xml:space="preserve">Pacientu ceļi paredzēti, lai veicinātu ārstniecības personu vienotu rīcību, sniegtu atbalstu lēmumu pieņemšanā, tā rezultātā nodrošinot pacientam kvalitatīvus un drošus veselības aprūpes pakalpojumus iespējami īsākā laika posmā un izvairoties no nepamatotiem izdevumiem. Pacienta ceļa kartes izstrāde pacientiem, kuri saņem enterālo un parenterālo barošanu, palīdzētu veidot izpratni par pakalpojuma saņemšanas kārtību, kā arī pacienta karte palīdzētu veidot izprati par to kā pakalpojums tiek koordinēts un kāda sadarbība tiek veidota starp ārstu/ ārstniecības iestādi un pacientu. Kā arī enterālās un parenterālās barošanas pacienta ceļa kartes izstrāde sniegtu iespēju standartizēt pacientu veselības aprūpi un koordinēšanu veselības aprūpē.					
					</t>
  </si>
  <si>
    <t>8.1.</t>
  </si>
  <si>
    <t>Aprēķinā izmantotie pieņēmumi:</t>
  </si>
  <si>
    <r>
      <t>-</t>
    </r>
    <r>
      <rPr>
        <sz val="12"/>
        <color theme="1"/>
        <rFont val="Times New Roman"/>
        <family val="1"/>
      </rPr>
      <t xml:space="preserve">       pabalsta max izmaksa 6 mēneši; </t>
    </r>
  </si>
  <si>
    <r>
      <t>-</t>
    </r>
    <r>
      <rPr>
        <sz val="12"/>
        <color theme="1"/>
        <rFont val="Times New Roman"/>
        <family val="1"/>
      </rPr>
      <t>       vidējais personu skaita, kam būs tiesības uz pabalstu, pieaugums gadā – 150;</t>
    </r>
  </si>
  <si>
    <r>
      <t>-</t>
    </r>
    <r>
      <rPr>
        <sz val="12"/>
        <color theme="1"/>
        <rFont val="Times New Roman"/>
        <family val="1"/>
      </rPr>
      <t>       pabalsta izmaksu sāk nodrošināt no 2022.gada 1.janvāra.</t>
    </r>
  </si>
  <si>
    <t xml:space="preserve"> - 2019.gadā paliatīvās aprūpes stacionārā veselības aprūpes pakalpojuma ietvaros sniegta 9974 pacientiem. Pieņemts, ka apmēram 75% no personām, kas saņem paliatīvās aprūpes stacionārā veselības aprūpes pakalpojumu, būs tiesības uz īpašas kopšanas pabalstu paliatīvās aprūpes pacientiem; </t>
  </si>
  <si>
    <t>PAPILDU NEPIECIEŠAMAIS FINANSĒJUMS PABALSTA IEVIEŠANAI</t>
  </si>
  <si>
    <t>Personu skaits gadā</t>
  </si>
  <si>
    <t>Jauna programma</t>
  </si>
  <si>
    <t>Īpašs kopšanas pabalsta paliatīvās aprūpes pacientiem</t>
  </si>
  <si>
    <t>8.1. Īpašs kopšanas pabalsta paliatīvās aprūpes pacientiem</t>
  </si>
  <si>
    <t xml:space="preserve"> pabalsta apmērs 213,43 EUR mēnesī;</t>
  </si>
  <si>
    <t>Nepieciešamais finansējums EUR pabalsta izmaksai GADĀ</t>
  </si>
  <si>
    <t>5.1.Pielikums</t>
  </si>
  <si>
    <t>5.1.1.Pielikums</t>
  </si>
  <si>
    <t>5.2.Pielikums</t>
  </si>
  <si>
    <t>5.2.1.Pielikums</t>
  </si>
  <si>
    <t>5.2.2.Pielikums</t>
  </si>
  <si>
    <t>5.2.3.Pielikums</t>
  </si>
  <si>
    <t>5.2.4.Pielikums</t>
  </si>
  <si>
    <t>5.2.5.Pielikums</t>
  </si>
  <si>
    <t>5.2.6.Pielikums</t>
  </si>
  <si>
    <t>5.2.7.Pielikums</t>
  </si>
  <si>
    <t>5.2.8.Pielikums</t>
  </si>
  <si>
    <t>5.2.9.Pielikums</t>
  </si>
  <si>
    <t>5.2.10.Pielikums</t>
  </si>
  <si>
    <t>5.3.Pielikums</t>
  </si>
  <si>
    <t>5.4.Pielikums</t>
  </si>
  <si>
    <t>5.4.1.Pielikums</t>
  </si>
  <si>
    <t>5.4.2.Pielikums</t>
  </si>
  <si>
    <t>5.4.3.Pielikums</t>
  </si>
  <si>
    <t>5.5.Pielikums</t>
  </si>
  <si>
    <t>5.6.Pielikums</t>
  </si>
  <si>
    <t>5.7.Pielikums</t>
  </si>
  <si>
    <t>5.7.1.Pielikums</t>
  </si>
  <si>
    <t>5.7.1.1.Pielikums</t>
  </si>
  <si>
    <t>5.7.1.2.Pielikums</t>
  </si>
  <si>
    <t>5.7.1.3.Pielikums</t>
  </si>
  <si>
    <t>5.7.1.4.Pielikums</t>
  </si>
  <si>
    <t>5.7.2.Pielikums</t>
  </si>
  <si>
    <t>5.7.2.1.Pielikums</t>
  </si>
  <si>
    <t>5.7.2.2.Pielikums</t>
  </si>
  <si>
    <t>5.7.2.3.Pielikums</t>
  </si>
  <si>
    <t>5.7.2.4.Pielikums</t>
  </si>
  <si>
    <t>5.8.Pielikums</t>
  </si>
  <si>
    <t>5.9.Pielikums</t>
  </si>
  <si>
    <t>5.10.Pielikums</t>
  </si>
  <si>
    <t>5.11.Pielikums</t>
  </si>
  <si>
    <t>5.12.Pielikums</t>
  </si>
  <si>
    <t>Apmācības stacionārā parenterālās un enterālās barošanas pacientiem</t>
  </si>
  <si>
    <t>Konsultācijas ambulatori parenterālās un enterālās barošanas pacientiem</t>
  </si>
  <si>
    <t>VSAOI darba devēja daļa (23.59%)</t>
  </si>
  <si>
    <t>līdz 01.01.2021</t>
  </si>
  <si>
    <t>Saskaņā ar MK 29.01.2013. noteikumiem Nr.66  atbilstoši 8 mēnešalgu grupai 3 kategorijas max ministriju padotībā esošajās iestādēs  2020.gadam noteiktā mēnešalga 1093.00 euro mēnesī. Aprēķins: plānotā mēnešalga 1 093 euro + VSAOI 23.59% = 1 350.84 euro mēn/1 slodze. Lai nodrošinātu 24h speciālistu noslogotību (12 h 2 darbinieki, 12 stundas 1 darbinieks) nepieciešamas 3.5 slodzes. 3.5 slodzes * mēn.atalgojums 1 350.84 euro = 4 727.94 euro/mēn. Gadā: 4 727.94 euro * 12 mēn = 56 735.23 euro.</t>
  </si>
  <si>
    <t xml:space="preserve">Svētku dienas. Viens speciālists: Gadā 15 svētku dienas, t.i. 270h/gadā (15 svētku dienas x 18h (stundu skaits vidēji dienā vienam speciālistam (24h + 12h):2 = 18h dienā)). Darba samaksa par darbu svētku dienās noteikta 100% apmērā no darbiniekam noteiktās stundas likmes, t.i. 6.51euro/h (1 093euro :168 (vidējais darba h skaits mēn)).  Vidēji izdevumi mēnesī 2 speciālisti (viena komanda) 362.06 euro , gadā 4 344.68 euro.                                                                                                                                                                                                                                                         </t>
  </si>
  <si>
    <r>
      <t>Nakts darbs no plkst. 22</t>
    </r>
    <r>
      <rPr>
        <i/>
        <vertAlign val="superscript"/>
        <sz val="7"/>
        <rFont val="Times New Roman"/>
        <family val="1"/>
        <charset val="186"/>
      </rPr>
      <t>00</t>
    </r>
    <r>
      <rPr>
        <i/>
        <sz val="7"/>
        <rFont val="Times New Roman"/>
        <family val="1"/>
        <charset val="186"/>
      </rPr>
      <t xml:space="preserve"> līdz plkst. 6</t>
    </r>
    <r>
      <rPr>
        <i/>
        <vertAlign val="superscript"/>
        <sz val="7"/>
        <rFont val="Times New Roman"/>
        <family val="1"/>
        <charset val="186"/>
      </rPr>
      <t>00</t>
    </r>
    <r>
      <rPr>
        <i/>
        <sz val="7"/>
        <rFont val="Times New Roman"/>
        <family val="1"/>
        <charset val="186"/>
      </rPr>
      <t>.</t>
    </r>
    <r>
      <rPr>
        <i/>
        <vertAlign val="superscript"/>
        <sz val="7"/>
        <rFont val="Times New Roman"/>
        <family val="1"/>
        <charset val="186"/>
      </rPr>
      <t xml:space="preserve"> </t>
    </r>
    <r>
      <rPr>
        <i/>
        <sz val="7"/>
        <rFont val="Times New Roman"/>
        <family val="1"/>
        <charset val="186"/>
      </rPr>
      <t xml:space="preserve">8h/diennaktī x 365 dienas = 2 920 h gadā : 12 mēn = vidēji 244h/mēn. Darbinieka darba samaksa 3.26 euro/h (6.51 x 50%) x 244h* VSAOI 23.59% = 11 797.01 euro/gadā.                                                                                                                                                                                                                                                                                                                                                                                                          </t>
    </r>
  </si>
  <si>
    <t>Saskaņā ar MK 29.01.2013. noteikumiem Nr.66  atbilstoši 12 mēnešalgu grupai 3 kategorijas max ministriju padotībā esošajās iestādēs  2020.gadam noteiktā alga 1 647 EUR mēnesī.  Lai nodrošinātu komandas vadītājam pakalpojuma "Psihosociālā rehabilitācija paliatīvā aprūpē esošajām pilngadīgajām personām un to ģimenes locekļiem" speciālistu darbības plānošanu un koordinēšanu plānota darba samaksa, kas pielīdzināta 30% no 1 slodzei plānotā max atalgojuma.  0.3 * mēn.atalgojums = 610.66 euro/mēn. Gadā: 610.66 euro * 12 mēn = 7 327.90 euro.</t>
  </si>
  <si>
    <t>5.13.Pielikums</t>
  </si>
  <si>
    <t>Tehnisko palīglīdzekļu pakalpojuma nodrošināšana paliatīvā aprūpē esošām pilngadīgām personām</t>
  </si>
  <si>
    <t>Rādītāja nosaukums</t>
  </si>
  <si>
    <t>Mērvienība</t>
  </si>
  <si>
    <t>PA esošas personas</t>
  </si>
  <si>
    <t>1</t>
  </si>
  <si>
    <t xml:space="preserve">             Protēzes </t>
  </si>
  <si>
    <t xml:space="preserve">                Ortozes  </t>
  </si>
  <si>
    <t>1.4.1.</t>
  </si>
  <si>
    <t>Elektriskās funkcionālās gultas</t>
  </si>
  <si>
    <t>1.4.2.</t>
  </si>
  <si>
    <t>Pretizgulējuma matrači</t>
  </si>
  <si>
    <t>Alternatīvās komunikācijas tehniskie palīglīdzekļi</t>
  </si>
  <si>
    <t>1.6.</t>
  </si>
  <si>
    <t>Elpošanas tehniskie palīglīdzekļi</t>
  </si>
  <si>
    <t>skaits</t>
  </si>
  <si>
    <t xml:space="preserve">              Personīgās aprūpes palīglīdzekļi, t.sk.:</t>
  </si>
  <si>
    <t>2.4.2</t>
  </si>
  <si>
    <t>2.5.</t>
  </si>
  <si>
    <t>2.6.</t>
  </si>
  <si>
    <t>4.</t>
  </si>
  <si>
    <t xml:space="preserve"> Personu skaits, kas stājušies rindā pēc TPL - pieprasījušie</t>
  </si>
  <si>
    <t>5.</t>
  </si>
  <si>
    <t>Faktiski izlietotais kopējais valsts budžeta finansējums TPL pakalpojuma nodrošināšanai</t>
  </si>
  <si>
    <t>6.</t>
  </si>
  <si>
    <t>Faktiski izlietotais kopējais valsts budžeta finansējums TPL pakalpojuma nodrošināšanai vidēji uz 1 personu TPL vienību gadā</t>
  </si>
  <si>
    <t>Aprēķinu kopsavilkuma rādītājs</t>
  </si>
  <si>
    <t>2022. gadā</t>
  </si>
  <si>
    <t>Kopā PA esošu personu skaits, kurām nepieciešams TPL</t>
  </si>
  <si>
    <t>Personu skaits, kas pārskata gadā nesaņem TPL (gaida rindā)</t>
  </si>
  <si>
    <t>9.1. Tehnisko palīglīdzekļu pakalpojuma nodrošināšana paliatīvā aprūpē esošām pilngadīgām personām</t>
  </si>
  <si>
    <r>
      <t xml:space="preserve">TPL </t>
    </r>
    <r>
      <rPr>
        <b/>
        <u/>
        <sz val="10"/>
        <rFont val="Times New Roman"/>
        <family val="1"/>
        <charset val="186"/>
      </rPr>
      <t>saņēmušo personu  skaits- kopā</t>
    </r>
    <r>
      <rPr>
        <b/>
        <sz val="10"/>
        <rFont val="Times New Roman"/>
        <family val="1"/>
        <charset val="186"/>
      </rPr>
      <t>, gan sadalījumā pa TPL veidiem</t>
    </r>
  </si>
  <si>
    <r>
      <t xml:space="preserve">Izsniegto TPL skaits - kopā, gan sadalījumā pa TPL veidiem </t>
    </r>
    <r>
      <rPr>
        <i/>
        <sz val="10"/>
        <rFont val="Times New Roman"/>
        <family val="1"/>
        <charset val="186"/>
      </rPr>
      <t>(t.sk. ir arī izsniegtais no noliktavas, kas iepirkts līdz 2017. gadam, iepirktais no klientu vienreizējām iemaksām)</t>
    </r>
  </si>
  <si>
    <r>
      <t xml:space="preserve"> Personu skaits rindā uz TPL - gan kopā, gan pa TPL veidiem </t>
    </r>
    <r>
      <rPr>
        <i/>
        <sz val="10"/>
        <rFont val="Times New Roman"/>
        <family val="1"/>
        <charset val="186"/>
      </rPr>
      <t>(uz gada 31.12.)</t>
    </r>
  </si>
  <si>
    <t>Personīgās aprūpes palīglīdzekļi, t.sk:</t>
  </si>
  <si>
    <r>
      <t xml:space="preserve">Papildus nepieciešamais finansējums TPL iegādei PA esošu personu nodrošināšanai ar TPL steidzamības kārtā, </t>
    </r>
    <r>
      <rPr>
        <b/>
        <i/>
        <sz val="11"/>
        <color theme="1"/>
        <rFont val="Times New Roman"/>
        <family val="1"/>
        <charset val="186"/>
      </rPr>
      <t>euro</t>
    </r>
  </si>
  <si>
    <t>PAPILDU NEPIECIEŠAMAIS FINANSĒJUMS TEHNISKAJIEM PALĪGLĪDZEKĻIEM</t>
  </si>
  <si>
    <t>2023. gadā</t>
  </si>
  <si>
    <t>9.1.</t>
  </si>
  <si>
    <t>2023.gads/ plāns</t>
  </si>
  <si>
    <t>2022.gads/ plāns</t>
  </si>
  <si>
    <t>2024.gads/ plāns</t>
  </si>
  <si>
    <t>2019. gads/ fakts*</t>
  </si>
  <si>
    <t xml:space="preserve">Valsts sabiedrība ar ierobežotu atbildību „Nacionālais rehabilitācijas centrs „Vaivari”” </t>
  </si>
  <si>
    <t>**</t>
  </si>
  <si>
    <t>t.sk. ortopēdiskie apavu pāri.</t>
  </si>
  <si>
    <t>Personīgie pārvietošanās palīglīdzekļi***</t>
  </si>
  <si>
    <t>***</t>
  </si>
  <si>
    <t>2020. gads/ plāns</t>
  </si>
  <si>
    <t>2021. gads/ plāns</t>
  </si>
  <si>
    <t>2019. gadā, lai nodrošinātu personu skaita rindā samazināšanu pakalpojuma izdevumi palielināti par 972 612 euro (Finanšu ministrijas 22.11.2019. rīk.Nr.400 "Par apropriācijas izmaiņām" un LM 20.12.2019. DZ-36-1-12/341  "Par priekšlikumiem 2019. gada finansējuma pārdalei apakšprogrammā 05.01.00. „Sociālās rehabilitācijas valsts programmas”").</t>
  </si>
  <si>
    <t>2019. gads/ faktiskās iegādes bez papildu finansējuma 2019. gadā**</t>
  </si>
  <si>
    <t>Ar TPL nodrošinātās PA esošas personas TPL pakalpojumam pieejamā finansējuma ietvaros</t>
  </si>
  <si>
    <t>Paliatīvjā aprūpē (turpmāk - PA) esošo personu skaits no kopējā personu skaita, kuriem nepieciešami tehniskie palīglīdzekļi (20%)</t>
  </si>
  <si>
    <t xml:space="preserve">              Personīgie pārvietošanās palīglīdzekļi***</t>
  </si>
  <si>
    <t>Veselības ministre</t>
  </si>
  <si>
    <t>I. Viņķele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</si>
</sst>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
    <numFmt numFmtId="165" formatCode="00000"/>
    <numFmt numFmtId="166" formatCode="0.0%"/>
    <numFmt numFmtId="167" formatCode="0.0000"/>
    <numFmt numFmtId="168" formatCode="#,##0;\(#,##0\);&quot;-&quot;"/>
    <numFmt numFmtId="169" formatCode="0.000000"/>
    <numFmt numFmtId="170" formatCode="0.0"/>
    <numFmt numFmtId="171" formatCode="#,##0.0"/>
  </numFmts>
  <fonts count="116" x14ac:knownFonts="1">
    <font>
      <sz val="11"/>
      <color theme="1"/>
      <name val="Calibri"/>
      <family val="2"/>
      <charset val="186"/>
      <scheme val="minor"/>
    </font>
    <font>
      <sz val="11"/>
      <color theme="1"/>
      <name val="Calibri"/>
      <family val="2"/>
      <charset val="186"/>
      <scheme val="minor"/>
    </font>
    <font>
      <sz val="10"/>
      <name val="Arial"/>
      <family val="2"/>
      <charset val="186"/>
    </font>
    <font>
      <b/>
      <sz val="12"/>
      <name val="Times New Roman"/>
      <family val="1"/>
      <charset val="186"/>
    </font>
    <font>
      <sz val="10"/>
      <name val="Times New Roman"/>
      <family val="1"/>
      <charset val="186"/>
    </font>
    <font>
      <b/>
      <sz val="10"/>
      <name val="Times New Roman"/>
      <family val="1"/>
      <charset val="186"/>
    </font>
    <font>
      <b/>
      <sz val="9"/>
      <name val="Times New Roman"/>
      <family val="1"/>
      <charset val="186"/>
    </font>
    <font>
      <i/>
      <sz val="10"/>
      <name val="Times New Roman"/>
      <family val="1"/>
      <charset val="186"/>
    </font>
    <font>
      <sz val="10"/>
      <color theme="1"/>
      <name val="Times New Roman"/>
      <family val="1"/>
      <charset val="186"/>
    </font>
    <font>
      <sz val="9"/>
      <name val="Times New Roman"/>
      <family val="1"/>
      <charset val="186"/>
    </font>
    <font>
      <sz val="11"/>
      <color theme="1"/>
      <name val="Calibri"/>
      <family val="2"/>
      <scheme val="minor"/>
    </font>
    <font>
      <b/>
      <sz val="15"/>
      <color theme="1"/>
      <name val="Times New Roman"/>
      <family val="1"/>
      <charset val="186"/>
    </font>
    <font>
      <sz val="11"/>
      <color theme="1"/>
      <name val="Times New Roman"/>
      <family val="1"/>
      <charset val="186"/>
    </font>
    <font>
      <b/>
      <sz val="12"/>
      <color theme="1"/>
      <name val="Times New Roman"/>
      <family val="1"/>
      <charset val="186"/>
    </font>
    <font>
      <b/>
      <sz val="11"/>
      <color theme="1"/>
      <name val="Times New Roman"/>
      <family val="1"/>
      <charset val="186"/>
    </font>
    <font>
      <b/>
      <sz val="13"/>
      <color theme="1"/>
      <name val="Times New Roman"/>
      <family val="1"/>
      <charset val="186"/>
    </font>
    <font>
      <b/>
      <sz val="11"/>
      <color theme="1"/>
      <name val="Calibri"/>
      <family val="2"/>
      <charset val="186"/>
      <scheme val="minor"/>
    </font>
    <font>
      <sz val="11"/>
      <name val="Times New Roman"/>
      <family val="1"/>
      <charset val="186"/>
    </font>
    <font>
      <b/>
      <sz val="16"/>
      <color theme="1"/>
      <name val="Times New Roman"/>
      <family val="1"/>
      <charset val="186"/>
    </font>
    <font>
      <b/>
      <u/>
      <sz val="16"/>
      <color theme="1"/>
      <name val="Times New Roman"/>
      <family val="1"/>
      <charset val="186"/>
    </font>
    <font>
      <b/>
      <sz val="14"/>
      <name val="Times New Roman"/>
      <family val="1"/>
      <charset val="186"/>
    </font>
    <font>
      <b/>
      <sz val="15"/>
      <name val="Times New Roman"/>
      <family val="1"/>
      <charset val="186"/>
    </font>
    <font>
      <b/>
      <sz val="14"/>
      <color theme="1"/>
      <name val="Times New Roman"/>
      <family val="1"/>
      <charset val="186"/>
    </font>
    <font>
      <b/>
      <sz val="15"/>
      <color rgb="FFFF0000"/>
      <name val="Times New Roman"/>
      <family val="1"/>
      <charset val="186"/>
    </font>
    <font>
      <b/>
      <i/>
      <sz val="12"/>
      <color rgb="FFFF0000"/>
      <name val="Times New Roman"/>
      <family val="1"/>
      <charset val="186"/>
    </font>
    <font>
      <sz val="12"/>
      <name val="Times New Roman"/>
      <family val="1"/>
      <charset val="186"/>
    </font>
    <font>
      <b/>
      <u/>
      <sz val="15"/>
      <color theme="1"/>
      <name val="Times New Roman"/>
      <family val="1"/>
      <charset val="186"/>
    </font>
    <font>
      <b/>
      <i/>
      <sz val="14"/>
      <color theme="1"/>
      <name val="Times New Roman"/>
      <family val="1"/>
      <charset val="186"/>
    </font>
    <font>
      <sz val="10"/>
      <name val="Arial"/>
      <family val="2"/>
      <charset val="186"/>
    </font>
    <font>
      <b/>
      <sz val="11"/>
      <name val="Times New Roman"/>
      <family val="1"/>
      <charset val="186"/>
    </font>
    <font>
      <b/>
      <sz val="10"/>
      <name val="Arial"/>
      <family val="2"/>
      <charset val="186"/>
    </font>
    <font>
      <sz val="10"/>
      <color indexed="8"/>
      <name val="MS Sans Serif"/>
      <family val="2"/>
      <charset val="186"/>
    </font>
    <font>
      <sz val="12"/>
      <color theme="1"/>
      <name val="Times New Roman"/>
      <family val="1"/>
      <charset val="186"/>
    </font>
    <font>
      <b/>
      <i/>
      <u/>
      <sz val="14"/>
      <color theme="1"/>
      <name val="Times New Roman"/>
      <family val="1"/>
      <charset val="186"/>
    </font>
    <font>
      <i/>
      <sz val="11"/>
      <name val="Times New Roman"/>
      <family val="1"/>
      <charset val="186"/>
    </font>
    <font>
      <b/>
      <i/>
      <sz val="12"/>
      <color theme="1"/>
      <name val="Times New Roman"/>
      <family val="1"/>
      <charset val="186"/>
    </font>
    <font>
      <b/>
      <i/>
      <sz val="11"/>
      <name val="Times New Roman"/>
      <family val="1"/>
      <charset val="186"/>
    </font>
    <font>
      <b/>
      <i/>
      <sz val="11"/>
      <color theme="1"/>
      <name val="Times New Roman"/>
      <family val="1"/>
      <charset val="186"/>
    </font>
    <font>
      <i/>
      <sz val="11"/>
      <color theme="1"/>
      <name val="Times New Roman"/>
      <family val="1"/>
      <charset val="186"/>
    </font>
    <font>
      <b/>
      <u/>
      <sz val="11"/>
      <color theme="1"/>
      <name val="Times New Roman"/>
      <family val="1"/>
      <charset val="186"/>
    </font>
    <font>
      <vertAlign val="superscript"/>
      <sz val="11"/>
      <color theme="1"/>
      <name val="Times New Roman"/>
      <family val="1"/>
      <charset val="186"/>
    </font>
    <font>
      <sz val="14"/>
      <color theme="1"/>
      <name val="Times New Roman"/>
      <family val="1"/>
      <charset val="186"/>
    </font>
    <font>
      <i/>
      <sz val="10"/>
      <color theme="1"/>
      <name val="Times New Roman"/>
      <family val="1"/>
      <charset val="186"/>
    </font>
    <font>
      <b/>
      <i/>
      <sz val="10"/>
      <name val="Times New Roman"/>
      <family val="1"/>
      <charset val="186"/>
    </font>
    <font>
      <b/>
      <sz val="10"/>
      <color theme="1"/>
      <name val="Times New Roman"/>
      <family val="1"/>
      <charset val="186"/>
    </font>
    <font>
      <sz val="11"/>
      <color rgb="FFFF0000"/>
      <name val="Times New Roman"/>
      <family val="1"/>
      <charset val="186"/>
    </font>
    <font>
      <i/>
      <sz val="12"/>
      <color theme="1"/>
      <name val="Times New Roman"/>
      <family val="1"/>
      <charset val="186"/>
    </font>
    <font>
      <sz val="13"/>
      <color theme="1"/>
      <name val="Times New Roman"/>
      <family val="1"/>
      <charset val="186"/>
    </font>
    <font>
      <i/>
      <sz val="11"/>
      <color theme="1"/>
      <name val="Calibri"/>
      <family val="2"/>
      <charset val="186"/>
      <scheme val="minor"/>
    </font>
    <font>
      <i/>
      <sz val="10"/>
      <color theme="1"/>
      <name val="Calibri"/>
      <family val="2"/>
      <charset val="186"/>
      <scheme val="minor"/>
    </font>
    <font>
      <b/>
      <sz val="11"/>
      <color theme="1"/>
      <name val="Calibri"/>
      <family val="2"/>
      <scheme val="minor"/>
    </font>
    <font>
      <b/>
      <i/>
      <sz val="10"/>
      <color theme="1"/>
      <name val="Times New Roman"/>
      <family val="1"/>
      <charset val="186"/>
    </font>
    <font>
      <b/>
      <u/>
      <sz val="13"/>
      <color theme="1"/>
      <name val="Times New Roman"/>
      <family val="1"/>
      <charset val="186"/>
    </font>
    <font>
      <sz val="13"/>
      <name val="Times New Roman"/>
      <family val="1"/>
      <charset val="186"/>
    </font>
    <font>
      <b/>
      <sz val="14"/>
      <color rgb="FFFF0000"/>
      <name val="Times New Roman"/>
      <family val="1"/>
      <charset val="186"/>
    </font>
    <font>
      <b/>
      <u/>
      <sz val="15"/>
      <name val="Times New Roman"/>
      <family val="1"/>
      <charset val="186"/>
    </font>
    <font>
      <b/>
      <u/>
      <sz val="14"/>
      <color theme="1"/>
      <name val="Times New Roman"/>
      <family val="1"/>
      <charset val="186"/>
    </font>
    <font>
      <u/>
      <sz val="14"/>
      <color theme="1"/>
      <name val="Times New Roman"/>
      <family val="1"/>
      <charset val="186"/>
    </font>
    <font>
      <b/>
      <sz val="16"/>
      <name val="Times New Roman"/>
      <family val="1"/>
      <charset val="186"/>
    </font>
    <font>
      <sz val="12"/>
      <color theme="1"/>
      <name val="Calibri"/>
      <family val="2"/>
      <scheme val="minor"/>
    </font>
    <font>
      <sz val="14"/>
      <name val="Times New Roman"/>
      <family val="1"/>
      <charset val="186"/>
    </font>
    <font>
      <sz val="11"/>
      <color indexed="8"/>
      <name val="Calibri"/>
      <family val="2"/>
      <charset val="186"/>
    </font>
    <font>
      <sz val="12"/>
      <color indexed="8"/>
      <name val="Times New Roman"/>
      <family val="1"/>
      <charset val="186"/>
    </font>
    <font>
      <sz val="10"/>
      <name val="Arial"/>
      <family val="2"/>
    </font>
    <font>
      <sz val="9"/>
      <color theme="1"/>
      <name val="Calibri"/>
      <family val="2"/>
      <scheme val="minor"/>
    </font>
    <font>
      <sz val="8"/>
      <name val="Arial"/>
      <family val="2"/>
      <charset val="186"/>
    </font>
    <font>
      <b/>
      <i/>
      <sz val="11"/>
      <color rgb="FFFF0000"/>
      <name val="Times New Roman"/>
      <family val="1"/>
      <charset val="186"/>
    </font>
    <font>
      <u/>
      <sz val="12"/>
      <color theme="1"/>
      <name val="Times New Roman"/>
      <family val="1"/>
      <charset val="186"/>
    </font>
    <font>
      <b/>
      <sz val="13"/>
      <name val="Times New Roman"/>
      <family val="1"/>
      <charset val="186"/>
    </font>
    <font>
      <sz val="9"/>
      <color indexed="81"/>
      <name val="Tahoma"/>
      <family val="2"/>
      <charset val="186"/>
    </font>
    <font>
      <b/>
      <sz val="9"/>
      <color indexed="81"/>
      <name val="Tahoma"/>
      <family val="2"/>
      <charset val="186"/>
    </font>
    <font>
      <sz val="12"/>
      <color rgb="FFFF0000"/>
      <name val="Times New Roman"/>
      <family val="1"/>
      <charset val="186"/>
    </font>
    <font>
      <sz val="10"/>
      <color indexed="8"/>
      <name val="Times New Roman"/>
      <family val="1"/>
      <charset val="186"/>
    </font>
    <font>
      <sz val="12"/>
      <color theme="1"/>
      <name val="Calibri"/>
      <family val="2"/>
      <charset val="186"/>
      <scheme val="minor"/>
    </font>
    <font>
      <b/>
      <i/>
      <sz val="12"/>
      <name val="Times New Roman"/>
      <family val="1"/>
      <charset val="186"/>
    </font>
    <font>
      <b/>
      <u/>
      <sz val="12"/>
      <name val="Times New Roman"/>
      <family val="1"/>
      <charset val="186"/>
    </font>
    <font>
      <sz val="9"/>
      <color theme="1"/>
      <name val="Times New Roman"/>
      <family val="1"/>
      <charset val="186"/>
    </font>
    <font>
      <i/>
      <sz val="9"/>
      <color theme="1"/>
      <name val="Times New Roman"/>
      <family val="1"/>
      <charset val="186"/>
    </font>
    <font>
      <sz val="7"/>
      <color theme="1"/>
      <name val="Times New Roman"/>
      <family val="1"/>
      <charset val="186"/>
    </font>
    <font>
      <sz val="7"/>
      <name val="Times New Roman"/>
      <family val="1"/>
      <charset val="186"/>
    </font>
    <font>
      <i/>
      <sz val="9"/>
      <name val="Times New Roman"/>
      <family val="1"/>
      <charset val="186"/>
    </font>
    <font>
      <i/>
      <sz val="8"/>
      <name val="Times New Roman"/>
      <family val="1"/>
      <charset val="186"/>
    </font>
    <font>
      <b/>
      <sz val="7"/>
      <name val="Times New Roman"/>
      <family val="1"/>
      <charset val="186"/>
    </font>
    <font>
      <i/>
      <sz val="7"/>
      <name val="Times New Roman"/>
      <family val="1"/>
      <charset val="186"/>
    </font>
    <font>
      <i/>
      <vertAlign val="superscript"/>
      <sz val="7"/>
      <name val="Times New Roman"/>
      <family val="1"/>
      <charset val="186"/>
    </font>
    <font>
      <sz val="7"/>
      <color rgb="FFFF0000"/>
      <name val="Times New Roman"/>
      <family val="1"/>
      <charset val="186"/>
    </font>
    <font>
      <i/>
      <sz val="7"/>
      <color rgb="FFFF0000"/>
      <name val="Times New Roman"/>
      <family val="1"/>
      <charset val="186"/>
    </font>
    <font>
      <sz val="8"/>
      <name val="Times New Roman"/>
      <family val="1"/>
      <charset val="186"/>
    </font>
    <font>
      <b/>
      <i/>
      <sz val="7"/>
      <name val="Times New Roman"/>
      <family val="1"/>
      <charset val="186"/>
    </font>
    <font>
      <b/>
      <sz val="7"/>
      <color rgb="FFFF0000"/>
      <name val="Times New Roman"/>
      <family val="1"/>
      <charset val="186"/>
    </font>
    <font>
      <b/>
      <u/>
      <sz val="13"/>
      <name val="Times New Roman"/>
      <family val="1"/>
      <charset val="186"/>
    </font>
    <font>
      <sz val="8"/>
      <color indexed="8"/>
      <name val="Times New Roman"/>
      <family val="1"/>
      <charset val="186"/>
    </font>
    <font>
      <b/>
      <sz val="10"/>
      <color theme="1"/>
      <name val="Calibri"/>
      <family val="2"/>
      <charset val="186"/>
      <scheme val="minor"/>
    </font>
    <font>
      <b/>
      <sz val="11"/>
      <color rgb="FF000000"/>
      <name val="Calibri"/>
      <family val="2"/>
      <charset val="186"/>
    </font>
    <font>
      <sz val="11"/>
      <name val="Calibri"/>
      <family val="2"/>
      <charset val="186"/>
      <scheme val="minor"/>
    </font>
    <font>
      <sz val="11"/>
      <color rgb="FFFF0000"/>
      <name val="Calibri"/>
      <family val="2"/>
      <charset val="186"/>
      <scheme val="minor"/>
    </font>
    <font>
      <b/>
      <sz val="14"/>
      <color theme="1"/>
      <name val="Calibri"/>
      <family val="2"/>
      <charset val="186"/>
      <scheme val="minor"/>
    </font>
    <font>
      <sz val="8"/>
      <color indexed="81"/>
      <name val="Tahoma"/>
      <family val="2"/>
      <charset val="186"/>
    </font>
    <font>
      <u/>
      <sz val="13"/>
      <name val="Times New Roman"/>
      <family val="1"/>
      <charset val="186"/>
    </font>
    <font>
      <u/>
      <sz val="11"/>
      <name val="Times New Roman"/>
      <family val="1"/>
      <charset val="186"/>
    </font>
    <font>
      <b/>
      <sz val="10"/>
      <color indexed="8"/>
      <name val="Times New Roman"/>
      <family val="1"/>
      <charset val="186"/>
    </font>
    <font>
      <b/>
      <i/>
      <sz val="10"/>
      <color indexed="8"/>
      <name val="Times New Roman"/>
      <family val="1"/>
      <charset val="186"/>
    </font>
    <font>
      <u/>
      <sz val="11"/>
      <color theme="1"/>
      <name val="Times New Roman"/>
      <family val="1"/>
      <charset val="186"/>
    </font>
    <font>
      <sz val="11"/>
      <color rgb="FF000000"/>
      <name val="Calibri"/>
      <family val="2"/>
      <scheme val="minor"/>
    </font>
    <font>
      <u/>
      <sz val="11"/>
      <color rgb="FF000000"/>
      <name val="Calibri"/>
      <family val="2"/>
      <scheme val="minor"/>
    </font>
    <font>
      <sz val="11"/>
      <color theme="1"/>
      <name val="Times New Roman"/>
      <family val="1"/>
    </font>
    <font>
      <b/>
      <sz val="14"/>
      <color theme="1"/>
      <name val="Times New Roman"/>
      <family val="1"/>
    </font>
    <font>
      <sz val="11"/>
      <name val="Calibri"/>
      <family val="2"/>
      <scheme val="minor"/>
    </font>
    <font>
      <b/>
      <sz val="14"/>
      <name val="Times New Roman"/>
      <family val="1"/>
    </font>
    <font>
      <b/>
      <sz val="16"/>
      <color theme="1"/>
      <name val="Times New Roman"/>
      <family val="1"/>
    </font>
    <font>
      <sz val="12"/>
      <color theme="1"/>
      <name val="Symbol"/>
      <family val="1"/>
      <charset val="186"/>
    </font>
    <font>
      <sz val="12"/>
      <color theme="1"/>
      <name val="Times New Roman"/>
      <family val="1"/>
    </font>
    <font>
      <b/>
      <sz val="11"/>
      <color rgb="FF000000"/>
      <name val="Times New Roman"/>
      <family val="1"/>
    </font>
    <font>
      <sz val="11"/>
      <color rgb="FF000000"/>
      <name val="Times New Roman"/>
      <family val="1"/>
    </font>
    <font>
      <b/>
      <u/>
      <sz val="10"/>
      <name val="Times New Roman"/>
      <family val="1"/>
      <charset val="186"/>
    </font>
    <font>
      <b/>
      <sz val="10"/>
      <name val="Times New Roman"/>
      <family val="1"/>
    </font>
  </fonts>
  <fills count="3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C0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FF"/>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99FFCC"/>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0000"/>
        <bgColor indexed="64"/>
      </patternFill>
    </fill>
    <fill>
      <patternFill patternType="solid">
        <fgColor theme="2"/>
        <bgColor indexed="64"/>
      </patternFill>
    </fill>
    <fill>
      <patternFill patternType="solid">
        <fgColor theme="5"/>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92D050"/>
        <bgColor indexed="64"/>
      </patternFill>
    </fill>
    <fill>
      <patternFill patternType="solid">
        <fgColor theme="4" tint="0.59999389629810485"/>
        <bgColor indexed="64"/>
      </patternFill>
    </fill>
    <fill>
      <patternFill patternType="solid">
        <fgColor rgb="FFFF9933"/>
        <bgColor indexed="64"/>
      </patternFill>
    </fill>
    <fill>
      <patternFill patternType="solid">
        <fgColor rgb="FFFFCC99"/>
        <bgColor indexed="64"/>
      </patternFill>
    </fill>
    <fill>
      <patternFill patternType="solid">
        <fgColor rgb="FFE7E6E6"/>
        <bgColor indexed="64"/>
      </patternFill>
    </fill>
  </fills>
  <borders count="99">
    <border>
      <left/>
      <right/>
      <top/>
      <bottom/>
      <diagonal/>
    </border>
    <border>
      <left style="thin">
        <color auto="1"/>
      </left>
      <right style="thin">
        <color auto="1"/>
      </right>
      <top style="thin">
        <color auto="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style="thin">
        <color theme="0"/>
      </bottom>
      <diagonal/>
    </border>
    <border>
      <left style="medium">
        <color indexed="64"/>
      </left>
      <right style="thin">
        <color indexed="64"/>
      </right>
      <top style="thin">
        <color indexed="64"/>
      </top>
      <bottom/>
      <diagonal/>
    </border>
    <border>
      <left style="thin">
        <color auto="1"/>
      </left>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414142"/>
      </left>
      <right style="thin">
        <color rgb="FF414142"/>
      </right>
      <top style="thin">
        <color rgb="FF414142"/>
      </top>
      <bottom/>
      <diagonal/>
    </border>
    <border>
      <left style="thin">
        <color rgb="FF414142"/>
      </left>
      <right style="thin">
        <color rgb="FF414142"/>
      </right>
      <top style="thin">
        <color rgb="FF414142"/>
      </top>
      <bottom style="thin">
        <color rgb="FF414142"/>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bottom/>
      <diagonal/>
    </border>
    <border>
      <left style="thin">
        <color auto="1"/>
      </left>
      <right style="thin">
        <color auto="1"/>
      </right>
      <top style="thin">
        <color indexed="64"/>
      </top>
      <bottom style="hair">
        <color auto="1"/>
      </bottom>
      <diagonal/>
    </border>
    <border>
      <left style="thin">
        <color auto="1"/>
      </left>
      <right/>
      <top style="hair">
        <color auto="1"/>
      </top>
      <bottom style="hair">
        <color auto="1"/>
      </bottom>
      <diagonal/>
    </border>
    <border>
      <left/>
      <right style="thin">
        <color indexed="64"/>
      </right>
      <top style="thin">
        <color theme="0"/>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rgb="FF414142"/>
      </left>
      <right style="thin">
        <color rgb="FF414142"/>
      </right>
      <top/>
      <bottom style="thin">
        <color rgb="FF414142"/>
      </bottom>
      <diagonal/>
    </border>
    <border>
      <left style="medium">
        <color indexed="64"/>
      </left>
      <right style="thin">
        <color auto="1"/>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4">
    <xf numFmtId="0" fontId="0" fillId="0" borderId="0"/>
    <xf numFmtId="0" fontId="2" fillId="0" borderId="0"/>
    <xf numFmtId="0" fontId="10" fillId="0" borderId="0"/>
    <xf numFmtId="0" fontId="1" fillId="0" borderId="0"/>
    <xf numFmtId="0" fontId="28" fillId="0" borderId="0"/>
    <xf numFmtId="0" fontId="1" fillId="0" borderId="0"/>
    <xf numFmtId="0" fontId="1" fillId="0" borderId="0"/>
    <xf numFmtId="0" fontId="31" fillId="0" borderId="0"/>
    <xf numFmtId="0" fontId="2" fillId="0" borderId="0"/>
    <xf numFmtId="0" fontId="2" fillId="0" borderId="0"/>
    <xf numFmtId="0" fontId="1" fillId="0" borderId="0"/>
    <xf numFmtId="0" fontId="2" fillId="0" borderId="0"/>
    <xf numFmtId="0" fontId="2" fillId="0" borderId="0"/>
    <xf numFmtId="0" fontId="59" fillId="0" borderId="0"/>
    <xf numFmtId="0" fontId="61" fillId="0" borderId="0"/>
    <xf numFmtId="0" fontId="63" fillId="0" borderId="0"/>
    <xf numFmtId="0" fontId="1" fillId="0" borderId="0"/>
    <xf numFmtId="0" fontId="1" fillId="0" borderId="0"/>
    <xf numFmtId="0" fontId="1" fillId="0" borderId="0"/>
    <xf numFmtId="9" fontId="10" fillId="0" borderId="0" applyFont="0" applyFill="0" applyBorder="0" applyAlignment="0" applyProtection="0"/>
    <xf numFmtId="0" fontId="1" fillId="0" borderId="0"/>
    <xf numFmtId="0" fontId="1" fillId="0" borderId="0"/>
    <xf numFmtId="0" fontId="10" fillId="0" borderId="0"/>
    <xf numFmtId="0" fontId="1" fillId="0" borderId="0"/>
  </cellStyleXfs>
  <cellXfs count="1631">
    <xf numFmtId="0" fontId="0" fillId="0" borderId="0" xfId="0"/>
    <xf numFmtId="0" fontId="12" fillId="0" borderId="0" xfId="2" applyFont="1"/>
    <xf numFmtId="0" fontId="12" fillId="2" borderId="0" xfId="3" applyFont="1" applyFill="1"/>
    <xf numFmtId="0" fontId="12" fillId="2" borderId="0" xfId="3" applyFont="1" applyFill="1" applyAlignment="1">
      <alignment horizontal="center"/>
    </xf>
    <xf numFmtId="0" fontId="17" fillId="2" borderId="0" xfId="3" applyFont="1" applyFill="1"/>
    <xf numFmtId="0" fontId="18" fillId="0" borderId="0" xfId="0" applyFont="1"/>
    <xf numFmtId="0" fontId="12" fillId="0" borderId="0" xfId="0" applyFont="1"/>
    <xf numFmtId="3" fontId="21" fillId="6" borderId="13" xfId="0" applyNumberFormat="1" applyFont="1" applyFill="1" applyBorder="1" applyAlignment="1">
      <alignment horizontal="center" vertical="center"/>
    </xf>
    <xf numFmtId="0" fontId="22" fillId="0" borderId="0" xfId="0" applyFont="1"/>
    <xf numFmtId="0" fontId="23" fillId="2" borderId="0" xfId="3" applyFont="1" applyFill="1" applyAlignment="1">
      <alignment horizontal="center"/>
    </xf>
    <xf numFmtId="3" fontId="23" fillId="0" borderId="0" xfId="0" applyNumberFormat="1" applyFont="1" applyAlignment="1">
      <alignment horizontal="center" vertical="center"/>
    </xf>
    <xf numFmtId="0" fontId="25" fillId="0" borderId="1" xfId="1" applyFont="1" applyBorder="1" applyAlignment="1">
      <alignment wrapText="1"/>
    </xf>
    <xf numFmtId="0" fontId="4" fillId="0" borderId="0" xfId="1" applyFont="1"/>
    <xf numFmtId="1" fontId="3" fillId="0" borderId="1" xfId="1" applyNumberFormat="1" applyFont="1" applyFill="1" applyBorder="1" applyAlignment="1">
      <alignment horizontal="center" vertical="center"/>
    </xf>
    <xf numFmtId="0" fontId="25" fillId="0" borderId="0" xfId="1" applyFont="1" applyBorder="1" applyAlignment="1">
      <alignment wrapText="1"/>
    </xf>
    <xf numFmtId="2" fontId="3" fillId="0" borderId="0" xfId="1" applyNumberFormat="1" applyFont="1" applyFill="1" applyBorder="1" applyAlignment="1">
      <alignment horizontal="center" vertical="center"/>
    </xf>
    <xf numFmtId="0" fontId="13" fillId="7" borderId="0" xfId="0" applyFont="1" applyFill="1"/>
    <xf numFmtId="0" fontId="22" fillId="7" borderId="0" xfId="0" applyFont="1" applyFill="1"/>
    <xf numFmtId="0" fontId="17" fillId="7" borderId="0" xfId="3" applyFont="1" applyFill="1"/>
    <xf numFmtId="0" fontId="4" fillId="7" borderId="0" xfId="1" applyFont="1" applyFill="1"/>
    <xf numFmtId="3" fontId="22" fillId="7" borderId="0" xfId="0" applyNumberFormat="1" applyFont="1" applyFill="1"/>
    <xf numFmtId="0" fontId="19" fillId="2" borderId="0" xfId="3" applyFont="1" applyFill="1" applyAlignment="1">
      <alignment horizontal="left"/>
    </xf>
    <xf numFmtId="0" fontId="18" fillId="2" borderId="0" xfId="3" applyFont="1" applyFill="1" applyAlignment="1">
      <alignment horizontal="left"/>
    </xf>
    <xf numFmtId="0" fontId="22" fillId="6" borderId="12" xfId="0" applyFont="1" applyFill="1" applyBorder="1"/>
    <xf numFmtId="0" fontId="17" fillId="6" borderId="14" xfId="3" applyFont="1" applyFill="1" applyBorder="1"/>
    <xf numFmtId="0" fontId="12" fillId="6" borderId="14" xfId="3" applyFont="1" applyFill="1" applyBorder="1"/>
    <xf numFmtId="3" fontId="22" fillId="6" borderId="15" xfId="3" applyNumberFormat="1" applyFont="1" applyFill="1" applyBorder="1" applyAlignment="1">
      <alignment horizontal="center" vertical="center"/>
    </xf>
    <xf numFmtId="0" fontId="22" fillId="2" borderId="0" xfId="3" applyFont="1" applyFill="1"/>
    <xf numFmtId="0" fontId="11" fillId="2" borderId="0" xfId="3" applyFont="1" applyFill="1" applyAlignment="1">
      <alignment horizontal="left"/>
    </xf>
    <xf numFmtId="0" fontId="24" fillId="2" borderId="0" xfId="3" applyFont="1" applyFill="1"/>
    <xf numFmtId="0" fontId="27" fillId="0" borderId="0" xfId="0" applyFont="1"/>
    <xf numFmtId="0" fontId="27" fillId="0" borderId="1" xfId="0" applyFont="1" applyBorder="1" applyAlignment="1">
      <alignment horizontal="left" vertical="center"/>
    </xf>
    <xf numFmtId="0" fontId="14" fillId="0" borderId="1" xfId="0" applyFont="1" applyBorder="1" applyAlignment="1">
      <alignment horizontal="center" vertical="center" wrapText="1"/>
    </xf>
    <xf numFmtId="0" fontId="12" fillId="0" borderId="1" xfId="0" applyFont="1" applyBorder="1"/>
    <xf numFmtId="2" fontId="12" fillId="0" borderId="1" xfId="0" applyNumberFormat="1" applyFont="1" applyBorder="1"/>
    <xf numFmtId="3" fontId="12" fillId="0" borderId="1" xfId="0" applyNumberFormat="1" applyFont="1" applyBorder="1"/>
    <xf numFmtId="0" fontId="12" fillId="0" borderId="1" xfId="0" applyFont="1" applyBorder="1" applyAlignment="1">
      <alignment wrapText="1"/>
    </xf>
    <xf numFmtId="0" fontId="14" fillId="9" borderId="1" xfId="0" applyFont="1" applyFill="1" applyBorder="1"/>
    <xf numFmtId="0" fontId="14" fillId="0" borderId="0" xfId="0" applyFont="1"/>
    <xf numFmtId="164" fontId="12" fillId="0" borderId="1" xfId="0" applyNumberFormat="1" applyFont="1" applyBorder="1"/>
    <xf numFmtId="0" fontId="27" fillId="0" borderId="1" xfId="0" applyFont="1" applyBorder="1" applyAlignment="1">
      <alignment horizontal="left" vertical="center" wrapText="1"/>
    </xf>
    <xf numFmtId="1" fontId="12" fillId="0" borderId="1" xfId="0" applyNumberFormat="1" applyFont="1" applyBorder="1"/>
    <xf numFmtId="3" fontId="14" fillId="9" borderId="1" xfId="0" applyNumberFormat="1" applyFont="1" applyFill="1" applyBorder="1"/>
    <xf numFmtId="0" fontId="22" fillId="9" borderId="0" xfId="0" applyFont="1" applyFill="1"/>
    <xf numFmtId="3" fontId="22" fillId="6" borderId="0" xfId="0" applyNumberFormat="1" applyFont="1" applyFill="1"/>
    <xf numFmtId="1" fontId="12" fillId="0" borderId="1" xfId="0" applyNumberFormat="1" applyFont="1" applyBorder="1" applyAlignment="1">
      <alignment horizontal="center"/>
    </xf>
    <xf numFmtId="2" fontId="12" fillId="0" borderId="1" xfId="0" applyNumberFormat="1" applyFont="1" applyBorder="1" applyAlignment="1">
      <alignment horizontal="center"/>
    </xf>
    <xf numFmtId="3" fontId="14" fillId="9" borderId="1" xfId="0" applyNumberFormat="1" applyFont="1" applyFill="1" applyBorder="1" applyAlignment="1">
      <alignment horizontal="center" vertical="center"/>
    </xf>
    <xf numFmtId="0" fontId="17" fillId="2" borderId="0" xfId="3" applyFont="1" applyFill="1" applyAlignment="1">
      <alignment horizontal="left" wrapText="1"/>
    </xf>
    <xf numFmtId="3" fontId="12" fillId="0" borderId="1" xfId="0" applyNumberFormat="1" applyFont="1" applyBorder="1" applyAlignment="1">
      <alignment horizontal="center" vertical="center"/>
    </xf>
    <xf numFmtId="0" fontId="28" fillId="0" borderId="16" xfId="4" applyBorder="1"/>
    <xf numFmtId="0" fontId="28" fillId="0" borderId="17" xfId="4" applyBorder="1"/>
    <xf numFmtId="0" fontId="28" fillId="0" borderId="18" xfId="4" applyBorder="1"/>
    <xf numFmtId="0" fontId="21" fillId="6" borderId="12" xfId="3" applyFont="1" applyFill="1" applyBorder="1" applyAlignment="1"/>
    <xf numFmtId="0" fontId="21" fillId="6" borderId="14" xfId="3" applyFont="1" applyFill="1" applyBorder="1" applyAlignment="1"/>
    <xf numFmtId="0" fontId="20" fillId="0" borderId="0" xfId="4" applyFont="1"/>
    <xf numFmtId="0" fontId="28" fillId="0" borderId="19" xfId="4" applyBorder="1"/>
    <xf numFmtId="0" fontId="20" fillId="0" borderId="16" xfId="4" applyFont="1" applyBorder="1"/>
    <xf numFmtId="0" fontId="28" fillId="0" borderId="20" xfId="4" applyBorder="1"/>
    <xf numFmtId="0" fontId="14" fillId="10" borderId="1" xfId="5" applyFont="1" applyFill="1" applyBorder="1" applyAlignment="1">
      <alignment horizontal="center" vertical="center" wrapText="1"/>
    </xf>
    <xf numFmtId="0" fontId="29" fillId="4" borderId="1" xfId="4" applyFont="1" applyFill="1" applyBorder="1" applyAlignment="1">
      <alignment horizontal="center" vertical="center" wrapText="1"/>
    </xf>
    <xf numFmtId="0" fontId="28" fillId="0" borderId="21" xfId="4" applyBorder="1"/>
    <xf numFmtId="0" fontId="28" fillId="0" borderId="2" xfId="4" applyBorder="1" applyAlignment="1">
      <alignment horizontal="left" vertical="center" wrapText="1"/>
    </xf>
    <xf numFmtId="0" fontId="28" fillId="0" borderId="1" xfId="4" applyBorder="1" applyAlignment="1">
      <alignment horizontal="center" vertical="center" wrapText="1"/>
    </xf>
    <xf numFmtId="0" fontId="3" fillId="4" borderId="1" xfId="4" applyFont="1" applyFill="1" applyBorder="1" applyAlignment="1">
      <alignment horizontal="center" vertical="center" wrapText="1"/>
    </xf>
    <xf numFmtId="2" fontId="28" fillId="0" borderId="1" xfId="4" applyNumberFormat="1" applyBorder="1" applyAlignment="1">
      <alignment horizontal="center" vertical="center" wrapText="1"/>
    </xf>
    <xf numFmtId="0" fontId="12" fillId="0" borderId="0" xfId="5" applyFont="1" applyFill="1"/>
    <xf numFmtId="0" fontId="12" fillId="0" borderId="1" xfId="5" applyFont="1" applyFill="1" applyBorder="1" applyAlignment="1">
      <alignment horizontal="center" vertical="center" wrapText="1"/>
    </xf>
    <xf numFmtId="0" fontId="12" fillId="0" borderId="0" xfId="5" applyFont="1" applyFill="1" applyAlignment="1">
      <alignment vertical="center" wrapText="1"/>
    </xf>
    <xf numFmtId="0" fontId="12" fillId="0" borderId="0" xfId="5" applyFont="1" applyFill="1" applyBorder="1" applyAlignment="1">
      <alignment horizontal="center" vertical="center" wrapText="1"/>
    </xf>
    <xf numFmtId="0" fontId="28" fillId="0" borderId="0" xfId="4"/>
    <xf numFmtId="0" fontId="12" fillId="0" borderId="0" xfId="5" applyFont="1" applyFill="1" applyAlignment="1">
      <alignment horizontal="right"/>
    </xf>
    <xf numFmtId="0" fontId="12" fillId="8" borderId="1" xfId="5" applyFont="1" applyFill="1" applyBorder="1"/>
    <xf numFmtId="0" fontId="12" fillId="10" borderId="1" xfId="5" applyFont="1" applyFill="1" applyBorder="1" applyAlignment="1">
      <alignment horizontal="center" vertical="center" wrapText="1"/>
    </xf>
    <xf numFmtId="0" fontId="12" fillId="10" borderId="1" xfId="6" applyFont="1" applyFill="1" applyBorder="1" applyAlignment="1">
      <alignment horizontal="center" vertical="center" wrapText="1"/>
    </xf>
    <xf numFmtId="0" fontId="12" fillId="10" borderId="22" xfId="5" applyFont="1" applyFill="1" applyBorder="1" applyAlignment="1">
      <alignment horizontal="center" vertical="center"/>
    </xf>
    <xf numFmtId="0" fontId="12" fillId="10" borderId="8" xfId="5" applyFont="1" applyFill="1" applyBorder="1" applyAlignment="1">
      <alignment horizontal="center" vertical="center"/>
    </xf>
    <xf numFmtId="0" fontId="2" fillId="4" borderId="1" xfId="4" applyFont="1" applyFill="1" applyBorder="1" applyAlignment="1">
      <alignment horizontal="center" vertical="center" wrapText="1"/>
    </xf>
    <xf numFmtId="165" fontId="17" fillId="0" borderId="1" xfId="7" applyNumberFormat="1" applyFont="1" applyFill="1" applyBorder="1" applyAlignment="1" applyProtection="1">
      <alignment horizontal="center" vertical="center" wrapText="1"/>
      <protection locked="0"/>
    </xf>
    <xf numFmtId="49" fontId="17" fillId="0" borderId="1" xfId="2" applyNumberFormat="1" applyFont="1" applyFill="1" applyBorder="1" applyAlignment="1">
      <alignment vertical="center" wrapText="1"/>
    </xf>
    <xf numFmtId="0" fontId="17" fillId="0" borderId="1" xfId="5" applyFont="1" applyFill="1" applyBorder="1" applyAlignment="1" applyProtection="1">
      <alignment horizontal="center" vertical="center" wrapText="1"/>
      <protection locked="0"/>
    </xf>
    <xf numFmtId="2" fontId="12" fillId="0" borderId="1" xfId="5" applyNumberFormat="1" applyFont="1" applyFill="1" applyBorder="1" applyAlignment="1">
      <alignment horizontal="center" vertical="center"/>
    </xf>
    <xf numFmtId="2" fontId="17" fillId="0" borderId="1" xfId="5" applyNumberFormat="1" applyFont="1" applyFill="1" applyBorder="1" applyAlignment="1" applyProtection="1">
      <alignment horizontal="center" vertical="center" wrapText="1"/>
      <protection locked="0"/>
    </xf>
    <xf numFmtId="1" fontId="12" fillId="0" borderId="1" xfId="5" applyNumberFormat="1" applyFont="1" applyFill="1" applyBorder="1" applyAlignment="1">
      <alignment horizontal="center" vertical="center"/>
    </xf>
    <xf numFmtId="0" fontId="4" fillId="0" borderId="1"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12" fillId="0" borderId="0" xfId="4" applyFont="1" applyFill="1" applyBorder="1" applyAlignment="1">
      <alignment horizontal="left" vertical="center" wrapText="1"/>
    </xf>
    <xf numFmtId="0" fontId="17" fillId="0" borderId="0" xfId="5" applyFont="1" applyFill="1" applyBorder="1" applyAlignment="1" applyProtection="1">
      <alignment horizontal="center" vertical="center" wrapText="1"/>
      <protection locked="0"/>
    </xf>
    <xf numFmtId="2" fontId="12" fillId="0" borderId="0" xfId="5" applyNumberFormat="1" applyFont="1" applyFill="1" applyBorder="1" applyAlignment="1">
      <alignment horizontal="center" vertical="center"/>
    </xf>
    <xf numFmtId="2" fontId="17" fillId="2" borderId="0" xfId="5" applyNumberFormat="1" applyFont="1" applyFill="1" applyBorder="1" applyAlignment="1">
      <alignment horizontal="center" vertical="center"/>
    </xf>
    <xf numFmtId="2" fontId="17" fillId="0" borderId="0" xfId="5" applyNumberFormat="1" applyFont="1" applyFill="1" applyBorder="1" applyAlignment="1" applyProtection="1">
      <alignment horizontal="center" vertical="center" wrapText="1"/>
      <protection locked="0"/>
    </xf>
    <xf numFmtId="0" fontId="3" fillId="4" borderId="1" xfId="4" applyFont="1" applyFill="1" applyBorder="1" applyAlignment="1">
      <alignment horizontal="right" vertical="center" wrapText="1"/>
    </xf>
    <xf numFmtId="0" fontId="17" fillId="10" borderId="1" xfId="6" applyFont="1" applyFill="1" applyBorder="1" applyAlignment="1">
      <alignment horizontal="center" vertical="center" wrapText="1"/>
    </xf>
    <xf numFmtId="0" fontId="17" fillId="10" borderId="1" xfId="5" applyFont="1" applyFill="1" applyBorder="1" applyAlignment="1">
      <alignment horizontal="center" vertical="center" wrapText="1"/>
    </xf>
    <xf numFmtId="0" fontId="14" fillId="10" borderId="8" xfId="5" applyFont="1" applyFill="1" applyBorder="1" applyAlignment="1">
      <alignment horizontal="center" vertical="center"/>
    </xf>
    <xf numFmtId="0" fontId="30" fillId="4" borderId="1" xfId="4"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1" xfId="5" applyFont="1" applyFill="1" applyBorder="1" applyAlignment="1">
      <alignment horizontal="left" vertical="center" wrapText="1"/>
    </xf>
    <xf numFmtId="2" fontId="14" fillId="2" borderId="1" xfId="5" applyNumberFormat="1" applyFont="1" applyFill="1" applyBorder="1" applyAlignment="1">
      <alignment horizontal="center" vertical="center"/>
    </xf>
    <xf numFmtId="0" fontId="2" fillId="0" borderId="16" xfId="4" applyFont="1" applyBorder="1"/>
    <xf numFmtId="0" fontId="32" fillId="0" borderId="0" xfId="0" applyFont="1"/>
    <xf numFmtId="0" fontId="22" fillId="6" borderId="14" xfId="0" applyFont="1" applyFill="1" applyBorder="1"/>
    <xf numFmtId="0" fontId="32" fillId="6" borderId="13" xfId="0" applyFont="1" applyFill="1" applyBorder="1"/>
    <xf numFmtId="0" fontId="13" fillId="0" borderId="0" xfId="0" applyFont="1"/>
    <xf numFmtId="2" fontId="32" fillId="0" borderId="1" xfId="0" applyNumberFormat="1" applyFont="1" applyBorder="1"/>
    <xf numFmtId="0" fontId="32" fillId="0" borderId="1" xfId="0" applyFont="1" applyBorder="1"/>
    <xf numFmtId="1" fontId="32" fillId="0" borderId="0" xfId="0" applyNumberFormat="1" applyFont="1"/>
    <xf numFmtId="0" fontId="17" fillId="12" borderId="26" xfId="0" applyFont="1" applyFill="1" applyBorder="1" applyAlignment="1">
      <alignment horizontal="center" vertical="center" wrapText="1"/>
    </xf>
    <xf numFmtId="0" fontId="17" fillId="12" borderId="26" xfId="0" applyFont="1" applyFill="1" applyBorder="1" applyAlignment="1">
      <alignment horizontal="center" vertical="center"/>
    </xf>
    <xf numFmtId="0" fontId="17" fillId="2" borderId="1" xfId="8" applyFont="1" applyFill="1" applyBorder="1" applyAlignment="1">
      <alignment horizontal="center" vertical="center" wrapText="1"/>
    </xf>
    <xf numFmtId="0" fontId="17" fillId="2" borderId="2" xfId="8" applyFont="1" applyFill="1" applyBorder="1" applyAlignment="1">
      <alignment horizontal="center" vertical="center" wrapText="1"/>
    </xf>
    <xf numFmtId="0" fontId="17" fillId="12" borderId="27" xfId="0" applyFont="1" applyFill="1" applyBorder="1" applyAlignment="1">
      <alignment horizontal="center" vertical="center" wrapText="1"/>
    </xf>
    <xf numFmtId="0" fontId="17" fillId="12" borderId="27" xfId="0" applyFont="1" applyFill="1" applyBorder="1" applyAlignment="1">
      <alignment vertical="top" wrapText="1"/>
    </xf>
    <xf numFmtId="2" fontId="17" fillId="12" borderId="27" xfId="0" applyNumberFormat="1" applyFont="1" applyFill="1" applyBorder="1" applyAlignment="1">
      <alignment horizontal="center" vertical="center" wrapText="1"/>
    </xf>
    <xf numFmtId="0" fontId="17" fillId="2" borderId="1" xfId="3" applyFont="1" applyFill="1" applyBorder="1" applyAlignment="1">
      <alignment horizontal="center" vertical="center"/>
    </xf>
    <xf numFmtId="2" fontId="12" fillId="0" borderId="1" xfId="0" applyNumberFormat="1" applyFont="1" applyBorder="1" applyAlignment="1">
      <alignment horizontal="center" vertical="center"/>
    </xf>
    <xf numFmtId="2" fontId="12" fillId="0" borderId="2" xfId="0" applyNumberFormat="1" applyFont="1" applyBorder="1" applyAlignment="1">
      <alignment horizontal="center" vertical="center"/>
    </xf>
    <xf numFmtId="2" fontId="32" fillId="0" borderId="0" xfId="0" applyNumberFormat="1" applyFont="1"/>
    <xf numFmtId="0" fontId="4" fillId="0" borderId="1" xfId="8" applyFont="1" applyBorder="1" applyAlignment="1">
      <alignment horizontal="center" vertical="center"/>
    </xf>
    <xf numFmtId="0" fontId="32" fillId="0" borderId="1" xfId="0" applyFont="1" applyBorder="1" applyAlignment="1">
      <alignment horizontal="center" vertical="center"/>
    </xf>
    <xf numFmtId="0" fontId="32" fillId="0" borderId="1" xfId="0" applyFont="1" applyBorder="1" applyAlignment="1">
      <alignment horizontal="center" vertical="center"/>
    </xf>
    <xf numFmtId="3" fontId="17" fillId="2" borderId="1" xfId="1" applyNumberFormat="1" applyFont="1" applyFill="1" applyBorder="1" applyAlignment="1">
      <alignment horizontal="center" vertical="center" wrapText="1"/>
    </xf>
    <xf numFmtId="0" fontId="17" fillId="2" borderId="1" xfId="1" applyFont="1" applyFill="1" applyBorder="1" applyAlignment="1">
      <alignment horizontal="center" vertical="center" wrapText="1"/>
    </xf>
    <xf numFmtId="0" fontId="17" fillId="0" borderId="1" xfId="8" applyFont="1" applyBorder="1" applyAlignment="1">
      <alignment horizontal="center" vertical="center" wrapText="1"/>
    </xf>
    <xf numFmtId="0" fontId="17" fillId="2" borderId="1" xfId="8" applyFont="1" applyFill="1" applyBorder="1" applyAlignment="1">
      <alignment vertical="center" wrapText="1"/>
    </xf>
    <xf numFmtId="1" fontId="17" fillId="2" borderId="1" xfId="1" applyNumberFormat="1" applyFont="1" applyFill="1" applyBorder="1" applyAlignment="1">
      <alignment horizontal="center" vertical="center" wrapText="1"/>
    </xf>
    <xf numFmtId="1" fontId="29" fillId="2" borderId="2" xfId="1" applyNumberFormat="1" applyFont="1" applyFill="1" applyBorder="1" applyAlignment="1">
      <alignment horizontal="center" vertical="center" wrapText="1"/>
    </xf>
    <xf numFmtId="1" fontId="29" fillId="2" borderId="1" xfId="1" applyNumberFormat="1" applyFont="1" applyFill="1" applyBorder="1" applyAlignment="1">
      <alignment horizontal="center" vertical="center" wrapText="1"/>
    </xf>
    <xf numFmtId="0" fontId="17" fillId="0" borderId="0" xfId="8" applyFont="1" applyBorder="1" applyAlignment="1">
      <alignment horizontal="center" vertical="center" wrapText="1"/>
    </xf>
    <xf numFmtId="0" fontId="17" fillId="2" borderId="0" xfId="8" applyFont="1" applyFill="1" applyBorder="1" applyAlignment="1">
      <alignment vertical="center" wrapText="1"/>
    </xf>
    <xf numFmtId="0" fontId="17" fillId="2" borderId="0" xfId="1" applyFont="1" applyFill="1" applyBorder="1" applyAlignment="1">
      <alignment horizontal="center" vertical="center" wrapText="1"/>
    </xf>
    <xf numFmtId="3" fontId="17" fillId="2" borderId="0" xfId="1" applyNumberFormat="1" applyFont="1" applyFill="1" applyBorder="1" applyAlignment="1">
      <alignment horizontal="center" vertical="center" wrapText="1"/>
    </xf>
    <xf numFmtId="1" fontId="17" fillId="2" borderId="0" xfId="1" applyNumberFormat="1" applyFont="1" applyFill="1" applyBorder="1" applyAlignment="1">
      <alignment horizontal="center" vertical="center" wrapText="1"/>
    </xf>
    <xf numFmtId="0" fontId="12" fillId="0" borderId="0" xfId="0" applyFont="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9" xfId="0" applyFont="1" applyBorder="1" applyAlignment="1">
      <alignment horizontal="center" vertical="center" wrapText="1"/>
    </xf>
    <xf numFmtId="0" fontId="14" fillId="13" borderId="9" xfId="0" applyFont="1" applyFill="1" applyBorder="1" applyAlignment="1">
      <alignment horizontal="center" vertical="center" wrapText="1"/>
    </xf>
    <xf numFmtId="0" fontId="12" fillId="0" borderId="5" xfId="0" applyFont="1" applyBorder="1" applyAlignment="1">
      <alignment horizontal="center" vertical="center" wrapText="1"/>
    </xf>
    <xf numFmtId="0" fontId="38" fillId="14" borderId="5"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4" xfId="0" applyFont="1" applyFill="1" applyBorder="1" applyAlignment="1">
      <alignment vertical="center"/>
    </xf>
    <xf numFmtId="0" fontId="17" fillId="2" borderId="1" xfId="0" applyFont="1" applyFill="1" applyBorder="1" applyAlignment="1">
      <alignment horizontal="center" vertical="center"/>
    </xf>
    <xf numFmtId="3" fontId="12" fillId="2" borderId="1" xfId="0" applyNumberFormat="1" applyFont="1" applyFill="1" applyBorder="1" applyAlignment="1">
      <alignment vertical="center"/>
    </xf>
    <xf numFmtId="2" fontId="38" fillId="14" borderId="1" xfId="0" applyNumberFormat="1" applyFont="1" applyFill="1" applyBorder="1" applyAlignment="1">
      <alignment vertical="center"/>
    </xf>
    <xf numFmtId="2" fontId="12" fillId="0" borderId="1" xfId="0" applyNumberFormat="1" applyFont="1" applyBorder="1" applyAlignment="1">
      <alignment vertical="center"/>
    </xf>
    <xf numFmtId="0" fontId="12" fillId="2" borderId="4" xfId="0" applyFont="1" applyFill="1" applyBorder="1" applyAlignment="1">
      <alignment vertical="center" wrapText="1"/>
    </xf>
    <xf numFmtId="0" fontId="14" fillId="0" borderId="1" xfId="0" applyFont="1" applyBorder="1" applyAlignment="1">
      <alignment horizontal="center" vertical="center"/>
    </xf>
    <xf numFmtId="3" fontId="14" fillId="0" borderId="1" xfId="0" applyNumberFormat="1" applyFont="1" applyBorder="1" applyAlignment="1">
      <alignment vertical="center"/>
    </xf>
    <xf numFmtId="2" fontId="37" fillId="11" borderId="1" xfId="0" applyNumberFormat="1" applyFont="1" applyFill="1" applyBorder="1" applyAlignment="1">
      <alignment vertical="center"/>
    </xf>
    <xf numFmtId="2" fontId="38" fillId="11" borderId="1" xfId="0" applyNumberFormat="1" applyFont="1" applyFill="1" applyBorder="1" applyAlignment="1">
      <alignment vertical="center"/>
    </xf>
    <xf numFmtId="2" fontId="14" fillId="0" borderId="1" xfId="0" applyNumberFormat="1" applyFont="1" applyBorder="1" applyAlignment="1">
      <alignment vertical="center"/>
    </xf>
    <xf numFmtId="2" fontId="14" fillId="8" borderId="1" xfId="0" applyNumberFormat="1" applyFont="1" applyFill="1" applyBorder="1" applyAlignment="1">
      <alignment vertical="center"/>
    </xf>
    <xf numFmtId="0" fontId="0" fillId="0" borderId="0" xfId="0" applyAlignment="1">
      <alignment horizontal="right"/>
    </xf>
    <xf numFmtId="2" fontId="0" fillId="0" borderId="0" xfId="0" applyNumberFormat="1"/>
    <xf numFmtId="0" fontId="12" fillId="0" borderId="0" xfId="0" applyFont="1" applyAlignment="1">
      <alignment horizontal="center" vertical="center"/>
    </xf>
    <xf numFmtId="0" fontId="12" fillId="2" borderId="0" xfId="0" applyFont="1" applyFill="1" applyAlignment="1">
      <alignment vertical="center"/>
    </xf>
    <xf numFmtId="2" fontId="12" fillId="0" borderId="0" xfId="0" applyNumberFormat="1" applyFont="1" applyAlignment="1">
      <alignment horizontal="center" vertical="center"/>
    </xf>
    <xf numFmtId="0" fontId="12" fillId="2" borderId="0" xfId="0" applyFont="1" applyFill="1" applyBorder="1" applyAlignment="1">
      <alignment horizontal="center" vertical="center"/>
    </xf>
    <xf numFmtId="168" fontId="12" fillId="0" borderId="0" xfId="0" applyNumberFormat="1" applyFont="1" applyAlignment="1">
      <alignment horizontal="center" vertical="center"/>
    </xf>
    <xf numFmtId="168" fontId="12" fillId="0" borderId="0" xfId="0" applyNumberFormat="1" applyFont="1" applyAlignment="1">
      <alignment vertical="center"/>
    </xf>
    <xf numFmtId="0" fontId="42" fillId="0" borderId="0" xfId="0" applyFont="1" applyAlignment="1">
      <alignment vertical="center"/>
    </xf>
    <xf numFmtId="168" fontId="5" fillId="0" borderId="4"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12" fillId="0" borderId="1" xfId="0" applyFont="1" applyBorder="1" applyAlignment="1">
      <alignment vertical="center"/>
    </xf>
    <xf numFmtId="0" fontId="4" fillId="0" borderId="1" xfId="0" applyFont="1" applyBorder="1" applyAlignment="1">
      <alignment vertical="center" wrapText="1"/>
    </xf>
    <xf numFmtId="0" fontId="0" fillId="0" borderId="0" xfId="0" applyAlignment="1">
      <alignment vertical="center"/>
    </xf>
    <xf numFmtId="0" fontId="14" fillId="15" borderId="1" xfId="10" applyFont="1" applyFill="1" applyBorder="1" applyAlignment="1">
      <alignment horizontal="right" vertical="center"/>
    </xf>
    <xf numFmtId="0" fontId="12" fillId="0" borderId="0" xfId="0" applyFont="1" applyFill="1" applyAlignment="1">
      <alignment vertical="center"/>
    </xf>
    <xf numFmtId="0" fontId="12" fillId="3" borderId="0" xfId="0" applyFont="1" applyFill="1" applyAlignment="1">
      <alignment vertical="center"/>
    </xf>
    <xf numFmtId="2" fontId="14" fillId="15" borderId="1" xfId="0" applyNumberFormat="1" applyFont="1" applyFill="1" applyBorder="1" applyAlignment="1">
      <alignment vertical="center"/>
    </xf>
    <xf numFmtId="0" fontId="13" fillId="0" borderId="0" xfId="0" applyFont="1" applyBorder="1" applyAlignment="1">
      <alignment horizontal="center"/>
    </xf>
    <xf numFmtId="0" fontId="13" fillId="0" borderId="1" xfId="0" applyFont="1" applyBorder="1"/>
    <xf numFmtId="0" fontId="32" fillId="0" borderId="2" xfId="0" applyFont="1" applyBorder="1"/>
    <xf numFmtId="0" fontId="32" fillId="0" borderId="0" xfId="0" applyFont="1" applyBorder="1"/>
    <xf numFmtId="167" fontId="32" fillId="0" borderId="1" xfId="0" applyNumberFormat="1" applyFont="1" applyBorder="1"/>
    <xf numFmtId="0" fontId="13" fillId="15" borderId="0" xfId="0" applyFont="1" applyFill="1" applyAlignment="1">
      <alignment horizontal="right"/>
    </xf>
    <xf numFmtId="2" fontId="13" fillId="15" borderId="0" xfId="0" applyNumberFormat="1" applyFont="1" applyFill="1" applyAlignment="1">
      <alignment horizontal="center"/>
    </xf>
    <xf numFmtId="0" fontId="13" fillId="2" borderId="0" xfId="0" applyFont="1" applyFill="1" applyAlignment="1">
      <alignment horizontal="right"/>
    </xf>
    <xf numFmtId="167" fontId="13" fillId="2" borderId="0" xfId="0" applyNumberFormat="1" applyFont="1" applyFill="1" applyAlignment="1">
      <alignment horizontal="left"/>
    </xf>
    <xf numFmtId="0" fontId="13" fillId="0" borderId="0" xfId="0" applyFont="1" applyAlignment="1">
      <alignment horizontal="right"/>
    </xf>
    <xf numFmtId="0" fontId="13" fillId="0" borderId="2" xfId="0" applyFont="1" applyBorder="1"/>
    <xf numFmtId="0" fontId="13" fillId="0" borderId="0" xfId="0" applyFont="1" applyBorder="1"/>
    <xf numFmtId="0" fontId="16" fillId="0" borderId="1" xfId="0" applyFont="1" applyBorder="1" applyAlignment="1">
      <alignment horizontal="center" vertical="center" wrapText="1"/>
    </xf>
    <xf numFmtId="0" fontId="0" fillId="2" borderId="1" xfId="0" applyFill="1" applyBorder="1" applyAlignment="1">
      <alignment horizontal="right"/>
    </xf>
    <xf numFmtId="0" fontId="0" fillId="2" borderId="1" xfId="0" applyFill="1" applyBorder="1"/>
    <xf numFmtId="0" fontId="0" fillId="0" borderId="1" xfId="0" applyBorder="1"/>
    <xf numFmtId="2" fontId="0" fillId="0" borderId="1" xfId="0" applyNumberFormat="1" applyBorder="1"/>
    <xf numFmtId="4" fontId="0" fillId="0" borderId="1" xfId="0" applyNumberFormat="1" applyBorder="1"/>
    <xf numFmtId="1" fontId="0" fillId="0" borderId="0" xfId="0" applyNumberFormat="1"/>
    <xf numFmtId="0" fontId="0" fillId="2" borderId="1" xfId="0" applyFill="1" applyBorder="1" applyAlignment="1">
      <alignment horizontal="right" vertical="center" wrapText="1"/>
    </xf>
    <xf numFmtId="1" fontId="0" fillId="0" borderId="1" xfId="0" applyNumberFormat="1" applyBorder="1"/>
    <xf numFmtId="1" fontId="16" fillId="2" borderId="1" xfId="0" applyNumberFormat="1" applyFont="1" applyFill="1" applyBorder="1"/>
    <xf numFmtId="0" fontId="16" fillId="2" borderId="1" xfId="0" applyFont="1" applyFill="1" applyBorder="1"/>
    <xf numFmtId="2" fontId="16" fillId="13" borderId="1" xfId="0" applyNumberFormat="1" applyFont="1" applyFill="1" applyBorder="1"/>
    <xf numFmtId="170" fontId="16" fillId="2" borderId="1" xfId="0" applyNumberFormat="1" applyFont="1" applyFill="1" applyBorder="1" applyAlignment="1">
      <alignment horizontal="right"/>
    </xf>
    <xf numFmtId="0" fontId="48" fillId="0" borderId="0" xfId="0" applyFont="1"/>
    <xf numFmtId="0" fontId="49" fillId="0" borderId="0" xfId="0" applyFont="1"/>
    <xf numFmtId="2" fontId="0" fillId="0" borderId="11" xfId="0" applyNumberFormat="1" applyBorder="1"/>
    <xf numFmtId="3" fontId="0" fillId="0" borderId="0" xfId="0" applyNumberFormat="1"/>
    <xf numFmtId="0" fontId="50" fillId="13" borderId="0" xfId="0" applyFont="1" applyFill="1" applyAlignment="1">
      <alignment horizontal="right"/>
    </xf>
    <xf numFmtId="4" fontId="16" fillId="13" borderId="0" xfId="0" applyNumberFormat="1" applyFont="1" applyFill="1"/>
    <xf numFmtId="4" fontId="0" fillId="0" borderId="11" xfId="0" applyNumberFormat="1" applyBorder="1"/>
    <xf numFmtId="2" fontId="0" fillId="15" borderId="0" xfId="0" applyNumberFormat="1" applyFill="1"/>
    <xf numFmtId="0" fontId="15" fillId="6" borderId="12" xfId="0" applyFont="1" applyFill="1" applyBorder="1"/>
    <xf numFmtId="0" fontId="15" fillId="0" borderId="0" xfId="0" applyFont="1"/>
    <xf numFmtId="0" fontId="13" fillId="0" borderId="0" xfId="10" applyFont="1"/>
    <xf numFmtId="0" fontId="12" fillId="0" borderId="0" xfId="10" applyFont="1"/>
    <xf numFmtId="0" fontId="12" fillId="0" borderId="0" xfId="10" applyFont="1" applyAlignment="1">
      <alignment horizontal="center"/>
    </xf>
    <xf numFmtId="0" fontId="12" fillId="2" borderId="0" xfId="10" applyFont="1" applyFill="1" applyBorder="1"/>
    <xf numFmtId="0" fontId="4" fillId="0" borderId="0" xfId="8" applyFont="1"/>
    <xf numFmtId="0" fontId="4" fillId="0" borderId="0" xfId="12" applyFont="1" applyFill="1" applyAlignment="1">
      <alignment vertical="center" wrapText="1"/>
    </xf>
    <xf numFmtId="0" fontId="4" fillId="2" borderId="0" xfId="12" applyFont="1" applyFill="1" applyBorder="1" applyAlignment="1">
      <alignment vertical="center" wrapText="1"/>
    </xf>
    <xf numFmtId="0" fontId="4" fillId="0" borderId="0" xfId="8" applyFont="1" applyFill="1"/>
    <xf numFmtId="0" fontId="12" fillId="0" borderId="0" xfId="5" applyFont="1"/>
    <xf numFmtId="3" fontId="14" fillId="2" borderId="0" xfId="10" applyNumberFormat="1" applyFont="1" applyFill="1" applyBorder="1" applyAlignment="1">
      <alignment horizontal="center" vertical="center" wrapText="1"/>
    </xf>
    <xf numFmtId="2" fontId="14" fillId="0" borderId="1" xfId="10" applyNumberFormat="1" applyFont="1" applyBorder="1" applyAlignment="1">
      <alignment horizontal="center" vertical="center" wrapText="1"/>
    </xf>
    <xf numFmtId="0" fontId="4" fillId="0" borderId="1" xfId="5" applyFont="1" applyBorder="1" applyAlignment="1">
      <alignment horizontal="center" vertical="center" wrapText="1"/>
    </xf>
    <xf numFmtId="0" fontId="4" fillId="0" borderId="2" xfId="5" applyFont="1" applyBorder="1" applyAlignment="1">
      <alignment horizontal="center" vertical="center" wrapText="1"/>
    </xf>
    <xf numFmtId="0" fontId="4" fillId="2" borderId="6" xfId="5" applyFont="1" applyFill="1" applyBorder="1" applyAlignment="1">
      <alignment horizontal="center" vertical="center" wrapText="1"/>
    </xf>
    <xf numFmtId="0" fontId="4" fillId="0" borderId="4" xfId="5" applyFont="1" applyBorder="1" applyAlignment="1">
      <alignment horizontal="center" vertical="center" wrapText="1"/>
    </xf>
    <xf numFmtId="2" fontId="29" fillId="0" borderId="1" xfId="11" applyNumberFormat="1" applyFont="1" applyBorder="1" applyAlignment="1">
      <alignment horizontal="center" wrapText="1"/>
    </xf>
    <xf numFmtId="0" fontId="4" fillId="0" borderId="1" xfId="5" applyFont="1" applyBorder="1" applyAlignment="1">
      <alignment horizontal="center" wrapText="1"/>
    </xf>
    <xf numFmtId="0" fontId="4" fillId="0" borderId="3" xfId="5" applyFont="1" applyBorder="1" applyAlignment="1">
      <alignment horizontal="center" vertical="center" wrapText="1"/>
    </xf>
    <xf numFmtId="3" fontId="14" fillId="2" borderId="10" xfId="10" applyNumberFormat="1" applyFont="1" applyFill="1" applyBorder="1" applyAlignment="1">
      <alignment horizontal="center" vertical="center" wrapText="1"/>
    </xf>
    <xf numFmtId="0" fontId="5" fillId="0" borderId="1" xfId="8" applyFont="1" applyFill="1" applyBorder="1" applyAlignment="1" applyProtection="1">
      <alignment horizontal="center" vertical="center" wrapText="1"/>
      <protection locked="0"/>
    </xf>
    <xf numFmtId="0" fontId="5" fillId="0" borderId="2" xfId="8" applyFont="1" applyFill="1" applyBorder="1" applyAlignment="1" applyProtection="1">
      <alignment horizontal="center" vertical="center" wrapText="1"/>
      <protection locked="0"/>
    </xf>
    <xf numFmtId="0" fontId="5" fillId="2" borderId="0" xfId="8" applyFont="1" applyFill="1" applyBorder="1" applyAlignment="1" applyProtection="1">
      <alignment horizontal="center" vertical="center" wrapText="1"/>
      <protection locked="0"/>
    </xf>
    <xf numFmtId="0" fontId="5" fillId="0" borderId="4" xfId="8" applyFont="1" applyFill="1" applyBorder="1" applyAlignment="1" applyProtection="1">
      <alignment horizontal="center" vertical="center" wrapText="1"/>
      <protection locked="0"/>
    </xf>
    <xf numFmtId="2" fontId="5" fillId="0" borderId="1" xfId="8" applyNumberFormat="1" applyFont="1" applyFill="1" applyBorder="1" applyAlignment="1" applyProtection="1">
      <alignment horizontal="center" vertical="center" wrapText="1"/>
      <protection locked="0"/>
    </xf>
    <xf numFmtId="0" fontId="5" fillId="0" borderId="3" xfId="5" applyFont="1" applyFill="1" applyBorder="1" applyAlignment="1" applyProtection="1">
      <alignment horizontal="center" vertical="center" wrapText="1"/>
      <protection locked="0"/>
    </xf>
    <xf numFmtId="0" fontId="5" fillId="0" borderId="1" xfId="5" applyFont="1" applyFill="1" applyBorder="1" applyAlignment="1" applyProtection="1">
      <alignment horizontal="center" vertical="center" wrapText="1"/>
      <protection locked="0"/>
    </xf>
    <xf numFmtId="0" fontId="12" fillId="0" borderId="1" xfId="10" applyFont="1" applyBorder="1"/>
    <xf numFmtId="0" fontId="12" fillId="0" borderId="5" xfId="10" applyFont="1" applyBorder="1" applyAlignment="1">
      <alignment horizontal="center"/>
    </xf>
    <xf numFmtId="0" fontId="12" fillId="2" borderId="10" xfId="10" applyFont="1" applyFill="1" applyBorder="1"/>
    <xf numFmtId="0" fontId="4" fillId="0" borderId="10" xfId="12" applyFont="1" applyBorder="1" applyAlignment="1">
      <alignment vertical="center" wrapText="1"/>
    </xf>
    <xf numFmtId="0" fontId="4" fillId="0" borderId="0" xfId="12" applyFont="1" applyBorder="1" applyAlignment="1">
      <alignment vertical="center" wrapText="1"/>
    </xf>
    <xf numFmtId="0" fontId="4" fillId="0" borderId="32" xfId="12" applyFont="1" applyBorder="1" applyAlignment="1">
      <alignment vertical="center" wrapText="1"/>
    </xf>
    <xf numFmtId="0" fontId="4" fillId="0" borderId="0" xfId="0" applyFont="1" applyBorder="1"/>
    <xf numFmtId="0" fontId="4" fillId="0" borderId="32" xfId="0" applyFont="1" applyBorder="1"/>
    <xf numFmtId="0" fontId="4" fillId="0" borderId="0" xfId="0" applyFont="1"/>
    <xf numFmtId="0" fontId="4" fillId="0" borderId="7" xfId="8" applyFont="1" applyBorder="1"/>
    <xf numFmtId="0" fontId="12" fillId="0" borderId="1" xfId="10" applyFont="1" applyFill="1" applyBorder="1"/>
    <xf numFmtId="0" fontId="12" fillId="0" borderId="5" xfId="10" applyFont="1" applyFill="1" applyBorder="1" applyAlignment="1">
      <alignment horizontal="center"/>
    </xf>
    <xf numFmtId="0" fontId="4" fillId="0" borderId="7" xfId="8" applyFont="1" applyFill="1" applyBorder="1"/>
    <xf numFmtId="49" fontId="12" fillId="0" borderId="1" xfId="10" applyNumberFormat="1" applyFont="1" applyBorder="1"/>
    <xf numFmtId="49" fontId="14" fillId="3" borderId="1" xfId="10" applyNumberFormat="1" applyFont="1" applyFill="1" applyBorder="1" applyAlignment="1">
      <alignment horizontal="right" wrapText="1"/>
    </xf>
    <xf numFmtId="2" fontId="12" fillId="3" borderId="1" xfId="10" applyNumberFormat="1" applyFont="1" applyFill="1" applyBorder="1" applyAlignment="1">
      <alignment horizontal="center"/>
    </xf>
    <xf numFmtId="0" fontId="12" fillId="3" borderId="1" xfId="10" applyFont="1" applyFill="1" applyBorder="1" applyAlignment="1">
      <alignment horizontal="center"/>
    </xf>
    <xf numFmtId="0" fontId="12" fillId="3" borderId="1" xfId="10" applyFont="1" applyFill="1" applyBorder="1"/>
    <xf numFmtId="0" fontId="12" fillId="3" borderId="2" xfId="10" applyFont="1" applyFill="1" applyBorder="1"/>
    <xf numFmtId="0" fontId="12" fillId="3" borderId="4" xfId="10" applyFont="1" applyFill="1" applyBorder="1"/>
    <xf numFmtId="0" fontId="4" fillId="0" borderId="32" xfId="8" applyFont="1" applyBorder="1"/>
    <xf numFmtId="0" fontId="14" fillId="4" borderId="0" xfId="10" applyFont="1" applyFill="1" applyAlignment="1">
      <alignment horizontal="right"/>
    </xf>
    <xf numFmtId="2" fontId="12" fillId="4" borderId="1" xfId="10" applyNumberFormat="1" applyFont="1" applyFill="1" applyBorder="1" applyAlignment="1">
      <alignment horizontal="center"/>
    </xf>
    <xf numFmtId="167" fontId="12" fillId="4" borderId="1" xfId="10" applyNumberFormat="1" applyFont="1" applyFill="1" applyBorder="1" applyAlignment="1">
      <alignment horizontal="center"/>
    </xf>
    <xf numFmtId="2" fontId="12" fillId="2" borderId="0" xfId="10" applyNumberFormat="1" applyFont="1" applyFill="1" applyBorder="1"/>
    <xf numFmtId="2" fontId="12" fillId="4" borderId="1" xfId="10" applyNumberFormat="1" applyFont="1" applyFill="1" applyBorder="1"/>
    <xf numFmtId="2" fontId="12" fillId="4" borderId="2" xfId="10" applyNumberFormat="1" applyFont="1" applyFill="1" applyBorder="1"/>
    <xf numFmtId="2" fontId="12" fillId="4" borderId="4" xfId="10" applyNumberFormat="1" applyFont="1" applyFill="1" applyBorder="1"/>
    <xf numFmtId="167" fontId="12" fillId="4" borderId="1" xfId="10" applyNumberFormat="1" applyFont="1" applyFill="1" applyBorder="1"/>
    <xf numFmtId="169" fontId="42" fillId="4" borderId="4" xfId="10" applyNumberFormat="1" applyFont="1" applyFill="1" applyBorder="1"/>
    <xf numFmtId="169" fontId="42" fillId="4" borderId="1" xfId="10" applyNumberFormat="1" applyFont="1" applyFill="1" applyBorder="1"/>
    <xf numFmtId="2" fontId="17" fillId="4" borderId="1" xfId="8" applyNumberFormat="1" applyFont="1" applyFill="1" applyBorder="1"/>
    <xf numFmtId="4" fontId="14" fillId="15" borderId="1" xfId="0" applyNumberFormat="1" applyFont="1" applyFill="1" applyBorder="1" applyAlignment="1">
      <alignment horizontal="center" vertical="center"/>
    </xf>
    <xf numFmtId="2" fontId="12" fillId="4" borderId="10" xfId="10" applyNumberFormat="1" applyFont="1" applyFill="1" applyBorder="1"/>
    <xf numFmtId="2" fontId="12" fillId="4" borderId="0" xfId="10" applyNumberFormat="1" applyFont="1" applyFill="1" applyBorder="1"/>
    <xf numFmtId="167" fontId="12" fillId="4" borderId="32" xfId="10" applyNumberFormat="1" applyFont="1" applyFill="1" applyBorder="1"/>
    <xf numFmtId="169" fontId="42" fillId="4" borderId="0" xfId="10" applyNumberFormat="1" applyFont="1" applyFill="1" applyBorder="1"/>
    <xf numFmtId="2" fontId="17" fillId="4" borderId="7" xfId="8" applyNumberFormat="1" applyFont="1" applyFill="1" applyBorder="1"/>
    <xf numFmtId="0" fontId="12" fillId="0" borderId="1" xfId="10" applyFont="1" applyBorder="1" applyAlignment="1">
      <alignment horizontal="center"/>
    </xf>
    <xf numFmtId="49" fontId="14" fillId="3" borderId="8" xfId="10" applyNumberFormat="1" applyFont="1" applyFill="1" applyBorder="1" applyAlignment="1">
      <alignment horizontal="right" wrapText="1"/>
    </xf>
    <xf numFmtId="2" fontId="12" fillId="3" borderId="8" xfId="10" applyNumberFormat="1" applyFont="1" applyFill="1" applyBorder="1" applyAlignment="1">
      <alignment horizontal="center"/>
    </xf>
    <xf numFmtId="0" fontId="12" fillId="3" borderId="8" xfId="10" applyFont="1" applyFill="1" applyBorder="1" applyAlignment="1">
      <alignment horizontal="center"/>
    </xf>
    <xf numFmtId="0" fontId="12" fillId="3" borderId="8" xfId="10" applyFont="1" applyFill="1" applyBorder="1"/>
    <xf numFmtId="0" fontId="12" fillId="3" borderId="23" xfId="10" applyFont="1" applyFill="1" applyBorder="1"/>
    <xf numFmtId="0" fontId="12" fillId="3" borderId="9" xfId="10" applyFont="1" applyFill="1" applyBorder="1"/>
    <xf numFmtId="0" fontId="14" fillId="4" borderId="1" xfId="10" applyFont="1" applyFill="1" applyBorder="1" applyAlignment="1">
      <alignment horizontal="right"/>
    </xf>
    <xf numFmtId="167" fontId="12" fillId="4" borderId="5" xfId="10" applyNumberFormat="1" applyFont="1" applyFill="1" applyBorder="1" applyAlignment="1">
      <alignment horizontal="center"/>
    </xf>
    <xf numFmtId="1" fontId="12" fillId="0" borderId="5" xfId="10" applyNumberFormat="1" applyFont="1" applyFill="1" applyBorder="1" applyAlignment="1">
      <alignment horizontal="center"/>
    </xf>
    <xf numFmtId="2" fontId="17" fillId="0" borderId="7" xfId="8" applyNumberFormat="1" applyFont="1" applyFill="1" applyBorder="1"/>
    <xf numFmtId="0" fontId="12" fillId="0" borderId="0" xfId="10" applyFont="1" applyFill="1"/>
    <xf numFmtId="0" fontId="14" fillId="3" borderId="0" xfId="10" applyFont="1" applyFill="1" applyAlignment="1">
      <alignment horizontal="right"/>
    </xf>
    <xf numFmtId="49" fontId="12" fillId="3" borderId="8" xfId="10" applyNumberFormat="1" applyFont="1" applyFill="1" applyBorder="1" applyAlignment="1">
      <alignment horizontal="right" wrapText="1"/>
    </xf>
    <xf numFmtId="2" fontId="12" fillId="0" borderId="1" xfId="10" applyNumberFormat="1" applyFont="1" applyBorder="1" applyAlignment="1">
      <alignment horizontal="center"/>
    </xf>
    <xf numFmtId="2" fontId="12" fillId="0" borderId="5" xfId="10" applyNumberFormat="1" applyFont="1" applyBorder="1" applyAlignment="1">
      <alignment horizontal="center"/>
    </xf>
    <xf numFmtId="2" fontId="12" fillId="4" borderId="5" xfId="10" applyNumberFormat="1" applyFont="1" applyFill="1" applyBorder="1"/>
    <xf numFmtId="2" fontId="12" fillId="4" borderId="24" xfId="10" applyNumberFormat="1" applyFont="1" applyFill="1" applyBorder="1"/>
    <xf numFmtId="2" fontId="12" fillId="4" borderId="25" xfId="10" applyNumberFormat="1" applyFont="1" applyFill="1" applyBorder="1"/>
    <xf numFmtId="167" fontId="12" fillId="4" borderId="5" xfId="10" applyNumberFormat="1" applyFont="1" applyFill="1" applyBorder="1"/>
    <xf numFmtId="169" fontId="42" fillId="4" borderId="32" xfId="10" applyNumberFormat="1" applyFont="1" applyFill="1" applyBorder="1"/>
    <xf numFmtId="169" fontId="42" fillId="4" borderId="7" xfId="10" applyNumberFormat="1" applyFont="1" applyFill="1" applyBorder="1"/>
    <xf numFmtId="49" fontId="14" fillId="3" borderId="5" xfId="10" applyNumberFormat="1" applyFont="1" applyFill="1" applyBorder="1" applyAlignment="1">
      <alignment horizontal="right" wrapText="1"/>
    </xf>
    <xf numFmtId="0" fontId="14" fillId="3" borderId="5" xfId="10" applyFont="1" applyFill="1" applyBorder="1" applyAlignment="1">
      <alignment horizontal="center"/>
    </xf>
    <xf numFmtId="2" fontId="12" fillId="3" borderId="5" xfId="10" applyNumberFormat="1" applyFont="1" applyFill="1" applyBorder="1" applyAlignment="1">
      <alignment horizontal="center"/>
    </xf>
    <xf numFmtId="2" fontId="12" fillId="3" borderId="5" xfId="10" applyNumberFormat="1" applyFont="1" applyFill="1" applyBorder="1"/>
    <xf numFmtId="2" fontId="12" fillId="3" borderId="24" xfId="10" applyNumberFormat="1" applyFont="1" applyFill="1" applyBorder="1"/>
    <xf numFmtId="2" fontId="12" fillId="3" borderId="25" xfId="10" applyNumberFormat="1" applyFont="1" applyFill="1" applyBorder="1"/>
    <xf numFmtId="0" fontId="14" fillId="4" borderId="2" xfId="10" applyFont="1" applyFill="1" applyBorder="1" applyAlignment="1">
      <alignment horizontal="right"/>
    </xf>
    <xf numFmtId="0" fontId="14" fillId="4" borderId="3" xfId="10" applyFont="1" applyFill="1" applyBorder="1" applyAlignment="1">
      <alignment horizontal="center"/>
    </xf>
    <xf numFmtId="167" fontId="14" fillId="4" borderId="1" xfId="10" applyNumberFormat="1" applyFont="1" applyFill="1" applyBorder="1" applyAlignment="1">
      <alignment horizontal="center"/>
    </xf>
    <xf numFmtId="2" fontId="14" fillId="4" borderId="1" xfId="10" applyNumberFormat="1" applyFont="1" applyFill="1" applyBorder="1" applyAlignment="1">
      <alignment horizontal="center"/>
    </xf>
    <xf numFmtId="2" fontId="14" fillId="2" borderId="0" xfId="10" applyNumberFormat="1" applyFont="1" applyFill="1" applyBorder="1"/>
    <xf numFmtId="0" fontId="12" fillId="2" borderId="24" xfId="10" applyFont="1" applyFill="1" applyBorder="1"/>
    <xf numFmtId="2" fontId="14" fillId="4" borderId="1" xfId="10" applyNumberFormat="1" applyFont="1" applyFill="1" applyBorder="1"/>
    <xf numFmtId="2" fontId="14" fillId="4" borderId="2" xfId="10" applyNumberFormat="1" applyFont="1" applyFill="1" applyBorder="1"/>
    <xf numFmtId="2" fontId="14" fillId="2" borderId="11" xfId="10" applyNumberFormat="1" applyFont="1" applyFill="1" applyBorder="1"/>
    <xf numFmtId="0" fontId="4" fillId="0" borderId="25" xfId="12" applyFont="1" applyBorder="1" applyAlignment="1">
      <alignment vertical="center" wrapText="1"/>
    </xf>
    <xf numFmtId="2" fontId="14" fillId="4" borderId="4" xfId="10" applyNumberFormat="1" applyFont="1" applyFill="1" applyBorder="1"/>
    <xf numFmtId="167" fontId="14" fillId="4" borderId="1" xfId="10" applyNumberFormat="1" applyFont="1" applyFill="1" applyBorder="1"/>
    <xf numFmtId="169" fontId="51" fillId="4" borderId="4" xfId="10" applyNumberFormat="1" applyFont="1" applyFill="1" applyBorder="1"/>
    <xf numFmtId="169" fontId="51" fillId="4" borderId="1" xfId="10" applyNumberFormat="1" applyFont="1" applyFill="1" applyBorder="1"/>
    <xf numFmtId="2" fontId="29" fillId="4" borderId="1" xfId="8" applyNumberFormat="1" applyFont="1" applyFill="1" applyBorder="1"/>
    <xf numFmtId="0" fontId="14" fillId="0" borderId="0" xfId="10" applyFont="1" applyAlignment="1">
      <alignment horizontal="center"/>
    </xf>
    <xf numFmtId="0" fontId="14" fillId="2" borderId="0" xfId="10" applyFont="1" applyFill="1" applyBorder="1"/>
    <xf numFmtId="0" fontId="12" fillId="0" borderId="6" xfId="10" applyFont="1" applyBorder="1"/>
    <xf numFmtId="0" fontId="4" fillId="0" borderId="6" xfId="8" applyFont="1" applyBorder="1"/>
    <xf numFmtId="0" fontId="12" fillId="0" borderId="0" xfId="10" applyFont="1" applyFill="1" applyAlignment="1">
      <alignment horizontal="center"/>
    </xf>
    <xf numFmtId="2" fontId="12" fillId="0" borderId="0" xfId="10" applyNumberFormat="1" applyFont="1"/>
    <xf numFmtId="0" fontId="12" fillId="0" borderId="0" xfId="10" applyFont="1" applyBorder="1"/>
    <xf numFmtId="0" fontId="4" fillId="0" borderId="0" xfId="8" applyFont="1" applyBorder="1"/>
    <xf numFmtId="0" fontId="4" fillId="0" borderId="0" xfId="8" applyFont="1" applyAlignment="1">
      <alignment horizontal="center"/>
    </xf>
    <xf numFmtId="0" fontId="25" fillId="0" borderId="0" xfId="8" applyFont="1" applyFill="1" applyAlignment="1">
      <alignment horizontal="center"/>
    </xf>
    <xf numFmtId="0" fontId="25" fillId="2" borderId="0" xfId="8" applyFont="1" applyFill="1" applyBorder="1" applyAlignment="1">
      <alignment horizontal="center"/>
    </xf>
    <xf numFmtId="3" fontId="12" fillId="0" borderId="0" xfId="10" applyNumberFormat="1" applyFont="1"/>
    <xf numFmtId="0" fontId="5" fillId="0" borderId="0" xfId="12" applyFont="1" applyAlignment="1">
      <alignment horizontal="right" vertical="center" wrapText="1"/>
    </xf>
    <xf numFmtId="0" fontId="17" fillId="0" borderId="0" xfId="8" applyFont="1" applyFill="1" applyBorder="1" applyAlignment="1">
      <alignment horizontal="center"/>
    </xf>
    <xf numFmtId="0" fontId="17" fillId="2" borderId="0" xfId="8" applyFont="1" applyFill="1" applyBorder="1" applyAlignment="1">
      <alignment horizontal="center"/>
    </xf>
    <xf numFmtId="0" fontId="12" fillId="0" borderId="0" xfId="10" applyFont="1" applyAlignment="1">
      <alignment horizontal="right"/>
    </xf>
    <xf numFmtId="3" fontId="17" fillId="0" borderId="0" xfId="8" applyNumberFormat="1" applyFont="1" applyFill="1" applyBorder="1" applyAlignment="1">
      <alignment horizontal="center"/>
    </xf>
    <xf numFmtId="3" fontId="17" fillId="2" borderId="0" xfId="8" applyNumberFormat="1" applyFont="1" applyFill="1" applyBorder="1"/>
    <xf numFmtId="0" fontId="4" fillId="0" borderId="0" xfId="12" applyFont="1" applyAlignment="1">
      <alignment horizontal="right"/>
    </xf>
    <xf numFmtId="0" fontId="4" fillId="13" borderId="0" xfId="8" applyFont="1" applyFill="1" applyAlignment="1">
      <alignment horizontal="center"/>
    </xf>
    <xf numFmtId="4" fontId="25" fillId="13" borderId="0" xfId="8" applyNumberFormat="1" applyFont="1" applyFill="1" applyAlignment="1">
      <alignment horizontal="center"/>
    </xf>
    <xf numFmtId="171" fontId="25" fillId="2" borderId="0" xfId="8" applyNumberFormat="1" applyFont="1" applyFill="1" applyBorder="1" applyAlignment="1">
      <alignment horizontal="center"/>
    </xf>
    <xf numFmtId="0" fontId="45" fillId="0" borderId="0" xfId="8" applyFont="1"/>
    <xf numFmtId="0" fontId="12" fillId="0" borderId="0" xfId="8" applyFont="1" applyAlignment="1">
      <alignment horizontal="center"/>
    </xf>
    <xf numFmtId="0" fontId="12" fillId="2" borderId="0" xfId="8" applyFont="1" applyFill="1" applyBorder="1"/>
    <xf numFmtId="0" fontId="12" fillId="0" borderId="0" xfId="8" applyFont="1"/>
    <xf numFmtId="0" fontId="12" fillId="0" borderId="0" xfId="8" applyFont="1" applyBorder="1"/>
    <xf numFmtId="0" fontId="12" fillId="0" borderId="11" xfId="8" applyFont="1" applyBorder="1"/>
    <xf numFmtId="0" fontId="4" fillId="0" borderId="11" xfId="8" applyFont="1" applyBorder="1"/>
    <xf numFmtId="0" fontId="12" fillId="0" borderId="1" xfId="8" applyFont="1" applyBorder="1"/>
    <xf numFmtId="0" fontId="4" fillId="0" borderId="1" xfId="8" applyFont="1" applyBorder="1" applyAlignment="1">
      <alignment vertical="center" wrapText="1"/>
    </xf>
    <xf numFmtId="0" fontId="4" fillId="0" borderId="1" xfId="8" applyFont="1" applyBorder="1" applyAlignment="1">
      <alignment horizontal="center" vertical="center" wrapText="1"/>
    </xf>
    <xf numFmtId="0" fontId="12" fillId="0" borderId="1" xfId="8" applyFont="1" applyBorder="1" applyAlignment="1">
      <alignment horizontal="center"/>
    </xf>
    <xf numFmtId="0" fontId="12" fillId="0" borderId="2" xfId="8" applyFont="1" applyBorder="1" applyAlignment="1">
      <alignment horizontal="center"/>
    </xf>
    <xf numFmtId="0" fontId="4" fillId="0" borderId="9" xfId="12" applyFont="1" applyBorder="1" applyAlignment="1">
      <alignment vertical="center" wrapText="1"/>
    </xf>
    <xf numFmtId="0" fontId="4" fillId="0" borderId="23" xfId="12" applyFont="1" applyBorder="1" applyAlignment="1">
      <alignment vertical="center" wrapText="1"/>
    </xf>
    <xf numFmtId="0" fontId="4" fillId="0" borderId="8" xfId="12" applyFont="1" applyBorder="1" applyAlignment="1">
      <alignment vertical="center" wrapText="1"/>
    </xf>
    <xf numFmtId="0" fontId="0" fillId="0" borderId="7" xfId="0" applyBorder="1"/>
    <xf numFmtId="0" fontId="12" fillId="0" borderId="23" xfId="8" applyFont="1" applyBorder="1" applyAlignment="1">
      <alignment horizontal="center"/>
    </xf>
    <xf numFmtId="0" fontId="4" fillId="0" borderId="24" xfId="12" applyFont="1" applyBorder="1" applyAlignment="1">
      <alignment vertical="center" wrapText="1"/>
    </xf>
    <xf numFmtId="0" fontId="4" fillId="0" borderId="5" xfId="12" applyFont="1" applyBorder="1" applyAlignment="1">
      <alignment vertical="center" wrapText="1"/>
    </xf>
    <xf numFmtId="0" fontId="14" fillId="3" borderId="0" xfId="8" applyFont="1" applyFill="1" applyAlignment="1">
      <alignment horizontal="right"/>
    </xf>
    <xf numFmtId="0" fontId="12" fillId="3" borderId="0" xfId="8" applyFont="1" applyFill="1" applyAlignment="1">
      <alignment horizontal="center"/>
    </xf>
    <xf numFmtId="3" fontId="12" fillId="3" borderId="2" xfId="8" applyNumberFormat="1" applyFont="1" applyFill="1" applyBorder="1" applyAlignment="1">
      <alignment horizontal="center"/>
    </xf>
    <xf numFmtId="3" fontId="12" fillId="2" borderId="0" xfId="8" applyNumberFormat="1" applyFont="1" applyFill="1" applyBorder="1"/>
    <xf numFmtId="4" fontId="12" fillId="3" borderId="4" xfId="8" applyNumberFormat="1" applyFont="1" applyFill="1" applyBorder="1"/>
    <xf numFmtId="4" fontId="12" fillId="3" borderId="2" xfId="8" applyNumberFormat="1" applyFont="1" applyFill="1" applyBorder="1"/>
    <xf numFmtId="4" fontId="12" fillId="2" borderId="0" xfId="8" applyNumberFormat="1" applyFont="1" applyFill="1" applyBorder="1"/>
    <xf numFmtId="4" fontId="12" fillId="3" borderId="1" xfId="8" applyNumberFormat="1" applyFont="1" applyFill="1" applyBorder="1"/>
    <xf numFmtId="3" fontId="12" fillId="3" borderId="1" xfId="8" applyNumberFormat="1" applyFont="1" applyFill="1" applyBorder="1"/>
    <xf numFmtId="0" fontId="14" fillId="4" borderId="1" xfId="8" applyFont="1" applyFill="1" applyBorder="1" applyAlignment="1">
      <alignment horizontal="center"/>
    </xf>
    <xf numFmtId="2" fontId="14" fillId="4" borderId="1" xfId="8" applyNumberFormat="1" applyFont="1" applyFill="1" applyBorder="1" applyAlignment="1">
      <alignment horizontal="center"/>
    </xf>
    <xf numFmtId="2" fontId="14" fillId="4" borderId="2" xfId="8" applyNumberFormat="1" applyFont="1" applyFill="1" applyBorder="1" applyAlignment="1">
      <alignment horizontal="center"/>
    </xf>
    <xf numFmtId="2" fontId="14" fillId="2" borderId="0" xfId="8" applyNumberFormat="1" applyFont="1" applyFill="1" applyBorder="1"/>
    <xf numFmtId="2" fontId="14" fillId="4" borderId="4" xfId="8" applyNumberFormat="1" applyFont="1" applyFill="1" applyBorder="1"/>
    <xf numFmtId="2" fontId="14" fillId="4" borderId="2" xfId="8" applyNumberFormat="1" applyFont="1" applyFill="1" applyBorder="1"/>
    <xf numFmtId="2" fontId="14" fillId="4" borderId="1" xfId="8" applyNumberFormat="1" applyFont="1" applyFill="1" applyBorder="1"/>
    <xf numFmtId="0" fontId="0" fillId="0" borderId="0" xfId="0" applyAlignment="1">
      <alignment horizontal="center"/>
    </xf>
    <xf numFmtId="0" fontId="25" fillId="0" borderId="0" xfId="8" applyFont="1" applyAlignment="1">
      <alignment horizontal="center"/>
    </xf>
    <xf numFmtId="170" fontId="25" fillId="0" borderId="0" xfId="8" applyNumberFormat="1" applyFont="1" applyAlignment="1">
      <alignment horizontal="center"/>
    </xf>
    <xf numFmtId="170" fontId="25" fillId="2" borderId="0" xfId="8" applyNumberFormat="1" applyFont="1" applyFill="1" applyBorder="1" applyAlignment="1">
      <alignment horizontal="center"/>
    </xf>
    <xf numFmtId="2" fontId="12" fillId="0" borderId="0" xfId="10" applyNumberFormat="1" applyFont="1" applyFill="1"/>
    <xf numFmtId="2" fontId="4" fillId="0" borderId="0" xfId="8" applyNumberFormat="1" applyFont="1"/>
    <xf numFmtId="0" fontId="4" fillId="2" borderId="0" xfId="8" applyFont="1" applyFill="1" applyBorder="1"/>
    <xf numFmtId="3" fontId="12" fillId="0" borderId="0" xfId="10" applyNumberFormat="1" applyFont="1" applyAlignment="1">
      <alignment horizontal="center"/>
    </xf>
    <xf numFmtId="3" fontId="12" fillId="2" borderId="0" xfId="10" applyNumberFormat="1" applyFont="1" applyFill="1" applyBorder="1" applyAlignment="1">
      <alignment horizontal="center"/>
    </xf>
    <xf numFmtId="0" fontId="12" fillId="0" borderId="1" xfId="10" applyFont="1" applyBorder="1" applyAlignment="1">
      <alignment horizontal="center" wrapText="1"/>
    </xf>
    <xf numFmtId="0" fontId="8" fillId="0" borderId="1" xfId="10" applyFont="1" applyBorder="1" applyAlignment="1">
      <alignment horizontal="left" wrapText="1"/>
    </xf>
    <xf numFmtId="0" fontId="12" fillId="0" borderId="5" xfId="10" applyFont="1" applyFill="1" applyBorder="1" applyAlignment="1">
      <alignment horizontal="center" wrapText="1"/>
    </xf>
    <xf numFmtId="3" fontId="12" fillId="0" borderId="1" xfId="10" applyNumberFormat="1" applyFont="1" applyBorder="1" applyAlignment="1">
      <alignment horizontal="center"/>
    </xf>
    <xf numFmtId="3" fontId="12" fillId="3" borderId="8" xfId="10" applyNumberFormat="1" applyFont="1" applyFill="1" applyBorder="1" applyAlignment="1">
      <alignment horizontal="center"/>
    </xf>
    <xf numFmtId="0" fontId="14" fillId="16" borderId="1" xfId="10" applyFont="1" applyFill="1" applyBorder="1" applyAlignment="1">
      <alignment horizontal="right"/>
    </xf>
    <xf numFmtId="3" fontId="12" fillId="4" borderId="1" xfId="10" applyNumberFormat="1" applyFont="1" applyFill="1" applyBorder="1" applyAlignment="1">
      <alignment horizontal="center"/>
    </xf>
    <xf numFmtId="2" fontId="12" fillId="4" borderId="5" xfId="10" applyNumberFormat="1" applyFont="1" applyFill="1" applyBorder="1" applyAlignment="1">
      <alignment horizontal="center"/>
    </xf>
    <xf numFmtId="0" fontId="12" fillId="0" borderId="5" xfId="10" applyFont="1" applyBorder="1" applyAlignment="1">
      <alignment wrapText="1"/>
    </xf>
    <xf numFmtId="3" fontId="12" fillId="0" borderId="5" xfId="10" applyNumberFormat="1" applyFont="1" applyBorder="1" applyAlignment="1">
      <alignment horizontal="center"/>
    </xf>
    <xf numFmtId="0" fontId="12" fillId="0" borderId="1" xfId="10" applyFont="1" applyBorder="1" applyAlignment="1">
      <alignment wrapText="1"/>
    </xf>
    <xf numFmtId="3" fontId="12" fillId="3" borderId="1" xfId="10" applyNumberFormat="1" applyFont="1" applyFill="1" applyBorder="1" applyAlignment="1">
      <alignment horizontal="center"/>
    </xf>
    <xf numFmtId="0" fontId="12" fillId="0" borderId="1" xfId="10" applyFont="1" applyFill="1" applyBorder="1" applyAlignment="1">
      <alignment wrapText="1"/>
    </xf>
    <xf numFmtId="2" fontId="12" fillId="0" borderId="1" xfId="10" applyNumberFormat="1" applyFont="1" applyFill="1" applyBorder="1" applyAlignment="1">
      <alignment horizontal="center"/>
    </xf>
    <xf numFmtId="0" fontId="12" fillId="0" borderId="1" xfId="10" applyFont="1" applyFill="1" applyBorder="1" applyAlignment="1">
      <alignment horizontal="center"/>
    </xf>
    <xf numFmtId="0" fontId="12" fillId="0" borderId="5" xfId="10" applyFont="1" applyFill="1" applyBorder="1" applyAlignment="1">
      <alignment horizontal="left"/>
    </xf>
    <xf numFmtId="2" fontId="12" fillId="0" borderId="5" xfId="10" applyNumberFormat="1" applyFont="1" applyFill="1" applyBorder="1" applyAlignment="1">
      <alignment horizontal="center"/>
    </xf>
    <xf numFmtId="0" fontId="12" fillId="0" borderId="5" xfId="10" applyFont="1" applyBorder="1" applyAlignment="1">
      <alignment horizontal="left" wrapText="1"/>
    </xf>
    <xf numFmtId="0" fontId="17" fillId="0" borderId="1" xfId="10" applyFont="1" applyFill="1" applyBorder="1" applyAlignment="1">
      <alignment wrapText="1"/>
    </xf>
    <xf numFmtId="0" fontId="12" fillId="0" borderId="1" xfId="10" applyFont="1" applyBorder="1" applyAlignment="1">
      <alignment horizontal="right" wrapText="1"/>
    </xf>
    <xf numFmtId="0" fontId="12" fillId="0" borderId="5" xfId="10" applyFont="1" applyFill="1" applyBorder="1" applyAlignment="1">
      <alignment horizontal="left" wrapText="1"/>
    </xf>
    <xf numFmtId="3" fontId="12" fillId="0" borderId="5" xfId="10" applyNumberFormat="1" applyFont="1" applyFill="1" applyBorder="1" applyAlignment="1">
      <alignment horizontal="center"/>
    </xf>
    <xf numFmtId="0" fontId="12" fillId="0" borderId="1" xfId="10" applyFont="1" applyFill="1" applyBorder="1" applyAlignment="1">
      <alignment horizontal="left" wrapText="1"/>
    </xf>
    <xf numFmtId="49" fontId="12" fillId="0" borderId="5" xfId="10" applyNumberFormat="1" applyFont="1" applyFill="1" applyBorder="1"/>
    <xf numFmtId="0" fontId="12" fillId="3" borderId="5" xfId="10" applyFont="1" applyFill="1" applyBorder="1" applyAlignment="1">
      <alignment horizontal="right" wrapText="1"/>
    </xf>
    <xf numFmtId="1" fontId="12" fillId="3" borderId="5" xfId="10" applyNumberFormat="1" applyFont="1" applyFill="1" applyBorder="1" applyAlignment="1">
      <alignment horizontal="center"/>
    </xf>
    <xf numFmtId="3" fontId="12" fillId="3" borderId="5" xfId="10" applyNumberFormat="1" applyFont="1" applyFill="1" applyBorder="1" applyAlignment="1">
      <alignment horizontal="center"/>
    </xf>
    <xf numFmtId="49" fontId="12" fillId="0" borderId="1" xfId="10" applyNumberFormat="1" applyFont="1" applyFill="1" applyBorder="1"/>
    <xf numFmtId="3" fontId="12" fillId="0" borderId="24" xfId="10" applyNumberFormat="1" applyFont="1" applyFill="1" applyBorder="1" applyAlignment="1">
      <alignment horizontal="center"/>
    </xf>
    <xf numFmtId="3" fontId="12" fillId="3" borderId="24" xfId="10" applyNumberFormat="1" applyFont="1" applyFill="1" applyBorder="1" applyAlignment="1">
      <alignment horizontal="center"/>
    </xf>
    <xf numFmtId="3" fontId="14" fillId="4" borderId="2" xfId="10" applyNumberFormat="1" applyFont="1" applyFill="1" applyBorder="1" applyAlignment="1">
      <alignment horizontal="center"/>
    </xf>
    <xf numFmtId="3" fontId="14" fillId="2" borderId="0" xfId="10" applyNumberFormat="1" applyFont="1" applyFill="1" applyBorder="1" applyAlignment="1">
      <alignment horizontal="center"/>
    </xf>
    <xf numFmtId="3" fontId="14" fillId="0" borderId="0" xfId="10" applyNumberFormat="1" applyFont="1" applyAlignment="1">
      <alignment horizontal="center"/>
    </xf>
    <xf numFmtId="3" fontId="12" fillId="0" borderId="0" xfId="10" applyNumberFormat="1" applyFont="1" applyFill="1" applyAlignment="1">
      <alignment horizontal="center"/>
    </xf>
    <xf numFmtId="3" fontId="25" fillId="0" borderId="0" xfId="8" applyNumberFormat="1" applyFont="1" applyFill="1" applyAlignment="1">
      <alignment horizontal="center"/>
    </xf>
    <xf numFmtId="3" fontId="25" fillId="2" borderId="0" xfId="8" applyNumberFormat="1" applyFont="1" applyFill="1" applyBorder="1" applyAlignment="1">
      <alignment horizontal="center"/>
    </xf>
    <xf numFmtId="3" fontId="17" fillId="2" borderId="0" xfId="8" applyNumberFormat="1" applyFont="1" applyFill="1" applyBorder="1" applyAlignment="1">
      <alignment horizontal="center"/>
    </xf>
    <xf numFmtId="3" fontId="12" fillId="0" borderId="0" xfId="8" applyNumberFormat="1" applyFont="1" applyAlignment="1">
      <alignment horizontal="center"/>
    </xf>
    <xf numFmtId="3" fontId="12" fillId="2" borderId="0" xfId="8" applyNumberFormat="1" applyFont="1" applyFill="1" applyBorder="1" applyAlignment="1">
      <alignment horizontal="center"/>
    </xf>
    <xf numFmtId="3" fontId="12" fillId="0" borderId="2" xfId="8" applyNumberFormat="1" applyFont="1" applyBorder="1" applyAlignment="1">
      <alignment horizontal="center"/>
    </xf>
    <xf numFmtId="3" fontId="12" fillId="3" borderId="0" xfId="8" applyNumberFormat="1" applyFont="1" applyFill="1" applyAlignment="1">
      <alignment horizontal="center"/>
    </xf>
    <xf numFmtId="0" fontId="12" fillId="4" borderId="1" xfId="8" applyFont="1" applyFill="1" applyBorder="1" applyAlignment="1">
      <alignment horizontal="center"/>
    </xf>
    <xf numFmtId="2" fontId="12" fillId="4" borderId="1" xfId="8" applyNumberFormat="1" applyFont="1" applyFill="1" applyBorder="1" applyAlignment="1">
      <alignment horizontal="center"/>
    </xf>
    <xf numFmtId="3" fontId="12" fillId="4" borderId="2" xfId="8" applyNumberFormat="1" applyFont="1" applyFill="1" applyBorder="1" applyAlignment="1">
      <alignment horizontal="center"/>
    </xf>
    <xf numFmtId="3" fontId="25" fillId="0" borderId="0" xfId="8" applyNumberFormat="1" applyFont="1" applyAlignment="1">
      <alignment horizontal="center"/>
    </xf>
    <xf numFmtId="4" fontId="25" fillId="0" borderId="0" xfId="8" applyNumberFormat="1" applyFont="1" applyAlignment="1">
      <alignment horizontal="center"/>
    </xf>
    <xf numFmtId="0" fontId="32" fillId="0" borderId="23" xfId="0" applyFont="1" applyBorder="1"/>
    <xf numFmtId="0" fontId="32" fillId="0" borderId="24" xfId="0" applyFont="1" applyBorder="1"/>
    <xf numFmtId="0" fontId="25" fillId="0" borderId="0" xfId="4" applyFont="1"/>
    <xf numFmtId="0" fontId="25" fillId="0" borderId="0" xfId="4" applyFont="1" applyBorder="1"/>
    <xf numFmtId="0" fontId="4" fillId="0" borderId="0" xfId="4" applyFont="1"/>
    <xf numFmtId="0" fontId="15" fillId="6" borderId="12" xfId="4" applyFont="1" applyFill="1" applyBorder="1" applyAlignment="1">
      <alignment vertical="top"/>
    </xf>
    <xf numFmtId="0" fontId="15" fillId="6" borderId="14" xfId="4" applyFont="1" applyFill="1" applyBorder="1"/>
    <xf numFmtId="0" fontId="47" fillId="6" borderId="13" xfId="4" applyFont="1" applyFill="1" applyBorder="1"/>
    <xf numFmtId="0" fontId="15" fillId="0" borderId="0" xfId="4" applyFont="1"/>
    <xf numFmtId="0" fontId="53" fillId="0" borderId="0" xfId="4" applyFont="1"/>
    <xf numFmtId="0" fontId="25" fillId="0" borderId="1" xfId="4" applyFont="1" applyBorder="1"/>
    <xf numFmtId="0" fontId="3" fillId="0" borderId="1" xfId="4" applyFont="1" applyBorder="1" applyAlignment="1">
      <alignment horizontal="center" vertical="center"/>
    </xf>
    <xf numFmtId="0" fontId="3" fillId="0" borderId="0" xfId="4" applyFont="1" applyBorder="1" applyAlignment="1">
      <alignment horizontal="center" vertical="center"/>
    </xf>
    <xf numFmtId="0" fontId="3" fillId="0" borderId="1" xfId="4" applyFont="1" applyBorder="1"/>
    <xf numFmtId="4" fontId="25" fillId="0" borderId="1" xfId="4" applyNumberFormat="1" applyFont="1" applyBorder="1"/>
    <xf numFmtId="4" fontId="3" fillId="2" borderId="1" xfId="4" applyNumberFormat="1" applyFont="1" applyFill="1" applyBorder="1"/>
    <xf numFmtId="4" fontId="3" fillId="2" borderId="0" xfId="4" applyNumberFormat="1" applyFont="1" applyFill="1" applyBorder="1"/>
    <xf numFmtId="4" fontId="25" fillId="0" borderId="1" xfId="4" applyNumberFormat="1" applyFont="1" applyBorder="1" applyAlignment="1">
      <alignment horizontal="center" vertical="center"/>
    </xf>
    <xf numFmtId="4" fontId="3" fillId="15" borderId="1" xfId="4" applyNumberFormat="1" applyFont="1" applyFill="1" applyBorder="1" applyAlignment="1">
      <alignment horizontal="center" vertical="center"/>
    </xf>
    <xf numFmtId="0" fontId="25" fillId="0" borderId="0" xfId="4" applyFont="1" applyAlignment="1">
      <alignment horizontal="right"/>
    </xf>
    <xf numFmtId="0" fontId="4" fillId="0" borderId="0" xfId="4" applyFont="1" applyBorder="1"/>
    <xf numFmtId="0" fontId="54" fillId="2" borderId="0" xfId="3" applyFont="1" applyFill="1"/>
    <xf numFmtId="0" fontId="20" fillId="2" borderId="0" xfId="3" applyFont="1" applyFill="1"/>
    <xf numFmtId="0" fontId="18" fillId="2" borderId="0" xfId="4" applyFont="1" applyFill="1"/>
    <xf numFmtId="0" fontId="28" fillId="2" borderId="0" xfId="4" applyFill="1" applyBorder="1"/>
    <xf numFmtId="0" fontId="28" fillId="2" borderId="16" xfId="4" applyFill="1" applyBorder="1"/>
    <xf numFmtId="0" fontId="28" fillId="0" borderId="35" xfId="4" applyBorder="1"/>
    <xf numFmtId="0" fontId="32" fillId="18" borderId="0" xfId="0" applyFont="1" applyFill="1"/>
    <xf numFmtId="0" fontId="19" fillId="0" borderId="0" xfId="0" applyFont="1"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17" fillId="2" borderId="0" xfId="0" applyFont="1" applyFill="1" applyAlignment="1">
      <alignment vertical="center"/>
    </xf>
    <xf numFmtId="0" fontId="56" fillId="0" borderId="0" xfId="0" applyFont="1" applyAlignment="1">
      <alignment vertical="center"/>
    </xf>
    <xf numFmtId="0" fontId="56" fillId="0" borderId="0" xfId="10" applyFont="1"/>
    <xf numFmtId="0" fontId="56" fillId="0" borderId="0" xfId="0" applyFont="1" applyAlignment="1">
      <alignment horizontal="left" vertical="center"/>
    </xf>
    <xf numFmtId="0" fontId="58" fillId="0" borderId="0" xfId="4" applyFont="1"/>
    <xf numFmtId="0" fontId="32" fillId="0" borderId="0" xfId="0" applyFont="1" applyAlignment="1">
      <alignment horizontal="center"/>
    </xf>
    <xf numFmtId="0" fontId="32" fillId="0" borderId="0" xfId="13" applyFont="1"/>
    <xf numFmtId="0" fontId="8" fillId="0" borderId="0" xfId="13" applyFont="1"/>
    <xf numFmtId="0" fontId="8" fillId="0" borderId="0" xfId="2" applyFont="1"/>
    <xf numFmtId="0" fontId="15" fillId="6" borderId="12" xfId="3" applyFont="1" applyFill="1" applyBorder="1" applyAlignment="1">
      <alignment horizontal="left"/>
    </xf>
    <xf numFmtId="0" fontId="15" fillId="6" borderId="14" xfId="3" applyFont="1" applyFill="1" applyBorder="1" applyAlignment="1">
      <alignment horizontal="left"/>
    </xf>
    <xf numFmtId="0" fontId="15" fillId="0" borderId="0" xfId="13" applyFont="1"/>
    <xf numFmtId="49" fontId="32" fillId="0" borderId="0" xfId="13" applyNumberFormat="1" applyFont="1" applyAlignment="1">
      <alignment horizontal="center" vertical="center"/>
    </xf>
    <xf numFmtId="0" fontId="32" fillId="0" borderId="0" xfId="13" applyFont="1" applyAlignment="1">
      <alignment horizontal="left" vertical="center"/>
    </xf>
    <xf numFmtId="0" fontId="32" fillId="0" borderId="0" xfId="13" applyFont="1" applyAlignment="1">
      <alignment horizontal="center" vertical="center"/>
    </xf>
    <xf numFmtId="0" fontId="10" fillId="0" borderId="0" xfId="2"/>
    <xf numFmtId="0" fontId="20" fillId="0" borderId="0" xfId="8" applyFont="1"/>
    <xf numFmtId="0" fontId="10" fillId="0" borderId="0" xfId="2" applyFont="1"/>
    <xf numFmtId="0" fontId="29" fillId="0" borderId="0" xfId="8" applyFont="1"/>
    <xf numFmtId="0" fontId="17" fillId="0" borderId="0" xfId="8" applyFont="1"/>
    <xf numFmtId="0" fontId="32" fillId="6" borderId="13" xfId="13" applyFont="1" applyFill="1" applyBorder="1"/>
    <xf numFmtId="0" fontId="64" fillId="0" borderId="0" xfId="2" applyFont="1"/>
    <xf numFmtId="0" fontId="6" fillId="0" borderId="0" xfId="8" applyFont="1"/>
    <xf numFmtId="0" fontId="9" fillId="0" borderId="0" xfId="8" applyFont="1"/>
    <xf numFmtId="0" fontId="53" fillId="0" borderId="0" xfId="8" applyFont="1"/>
    <xf numFmtId="0" fontId="8" fillId="0" borderId="1" xfId="16" applyFont="1" applyBorder="1" applyAlignment="1">
      <alignment horizontal="center" vertical="center" wrapText="1"/>
    </xf>
    <xf numFmtId="0" fontId="65" fillId="2" borderId="1" xfId="8" applyFont="1" applyFill="1" applyBorder="1" applyAlignment="1">
      <alignment vertical="center" wrapText="1"/>
    </xf>
    <xf numFmtId="3" fontId="17" fillId="0" borderId="1" xfId="8" applyNumberFormat="1" applyFont="1" applyBorder="1" applyAlignment="1">
      <alignment horizontal="center" vertical="center" wrapText="1"/>
    </xf>
    <xf numFmtId="1" fontId="17" fillId="0" borderId="1" xfId="8" applyNumberFormat="1" applyFont="1" applyBorder="1" applyAlignment="1">
      <alignment horizontal="center" vertical="center" wrapText="1"/>
    </xf>
    <xf numFmtId="0" fontId="4" fillId="2" borderId="0" xfId="1" applyFont="1" applyFill="1" applyAlignment="1">
      <alignment vertical="center"/>
    </xf>
    <xf numFmtId="3" fontId="25" fillId="2" borderId="1" xfId="1" applyNumberFormat="1" applyFont="1" applyFill="1" applyBorder="1" applyAlignment="1">
      <alignment horizontal="center" vertical="center"/>
    </xf>
    <xf numFmtId="170" fontId="25" fillId="2" borderId="1" xfId="1" applyNumberFormat="1" applyFont="1" applyFill="1" applyBorder="1" applyAlignment="1">
      <alignment horizontal="center" vertical="center"/>
    </xf>
    <xf numFmtId="3" fontId="3" fillId="5" borderId="1" xfId="1" applyNumberFormat="1" applyFont="1" applyFill="1" applyBorder="1" applyAlignment="1">
      <alignment horizontal="center" vertical="center"/>
    </xf>
    <xf numFmtId="0" fontId="60" fillId="0" borderId="0" xfId="8" applyFont="1"/>
    <xf numFmtId="0" fontId="60" fillId="2" borderId="0" xfId="1" applyFont="1" applyFill="1" applyAlignment="1">
      <alignment vertical="center"/>
    </xf>
    <xf numFmtId="0" fontId="66" fillId="2" borderId="0" xfId="3" applyFont="1" applyFill="1" applyAlignment="1">
      <alignment horizontal="left" vertical="top" wrapText="1"/>
    </xf>
    <xf numFmtId="0" fontId="12" fillId="0" borderId="0" xfId="18" applyFont="1" applyFill="1"/>
    <xf numFmtId="0" fontId="12" fillId="0" borderId="1" xfId="18" applyFont="1" applyFill="1" applyBorder="1" applyAlignment="1">
      <alignment horizontal="center" vertical="center" wrapText="1"/>
    </xf>
    <xf numFmtId="0" fontId="12" fillId="0" borderId="0" xfId="18" applyFont="1" applyFill="1" applyAlignment="1">
      <alignment vertical="center" wrapText="1"/>
    </xf>
    <xf numFmtId="0" fontId="12" fillId="0" borderId="0" xfId="18" applyFont="1" applyFill="1" applyBorder="1" applyAlignment="1">
      <alignment horizontal="center" vertical="center" wrapText="1"/>
    </xf>
    <xf numFmtId="0" fontId="0" fillId="0" borderId="16" xfId="0" applyBorder="1"/>
    <xf numFmtId="0" fontId="12" fillId="0" borderId="0" xfId="18" applyFont="1" applyFill="1" applyAlignment="1">
      <alignment horizontal="right"/>
    </xf>
    <xf numFmtId="0" fontId="12" fillId="8" borderId="1" xfId="18" applyFont="1" applyFill="1" applyBorder="1"/>
    <xf numFmtId="0" fontId="12" fillId="10" borderId="1" xfId="18" applyFont="1" applyFill="1" applyBorder="1" applyAlignment="1">
      <alignment horizontal="center" vertical="center" wrapText="1"/>
    </xf>
    <xf numFmtId="0" fontId="12" fillId="10" borderId="22" xfId="18" applyFont="1" applyFill="1" applyBorder="1" applyAlignment="1">
      <alignment horizontal="center" vertical="center"/>
    </xf>
    <xf numFmtId="0" fontId="12" fillId="10" borderId="8" xfId="18" applyFont="1" applyFill="1" applyBorder="1" applyAlignment="1">
      <alignment horizontal="center" vertical="center"/>
    </xf>
    <xf numFmtId="0" fontId="2" fillId="7"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7" fillId="0" borderId="1" xfId="18" applyFont="1" applyFill="1" applyBorder="1" applyAlignment="1" applyProtection="1">
      <alignment horizontal="center" vertical="center" wrapText="1"/>
      <protection locked="0"/>
    </xf>
    <xf numFmtId="2" fontId="12" fillId="0" borderId="1" xfId="18" applyNumberFormat="1" applyFont="1" applyFill="1" applyBorder="1" applyAlignment="1">
      <alignment horizontal="center" vertical="center"/>
    </xf>
    <xf numFmtId="2" fontId="17" fillId="2" borderId="1" xfId="18" applyNumberFormat="1" applyFont="1" applyFill="1" applyBorder="1" applyAlignment="1">
      <alignment horizontal="center" vertical="center"/>
    </xf>
    <xf numFmtId="2" fontId="17" fillId="0" borderId="1" xfId="18" applyNumberFormat="1" applyFont="1" applyFill="1" applyBorder="1" applyAlignment="1" applyProtection="1">
      <alignment horizontal="center" vertical="center" wrapText="1"/>
      <protection locked="0"/>
    </xf>
    <xf numFmtId="1" fontId="17" fillId="2" borderId="1" xfId="18" applyNumberFormat="1" applyFont="1" applyFill="1" applyBorder="1" applyAlignment="1">
      <alignment horizontal="center" vertical="center"/>
    </xf>
    <xf numFmtId="0" fontId="29" fillId="7" borderId="1" xfId="0" applyFont="1" applyFill="1" applyBorder="1" applyAlignment="1">
      <alignment horizontal="center" vertical="center" wrapText="1"/>
    </xf>
    <xf numFmtId="0" fontId="13" fillId="0" borderId="1" xfId="0" applyFont="1" applyBorder="1" applyAlignment="1">
      <alignment horizontal="left" vertical="top" wrapText="1"/>
    </xf>
    <xf numFmtId="0" fontId="38" fillId="2" borderId="0" xfId="3" applyFont="1" applyFill="1"/>
    <xf numFmtId="2" fontId="12" fillId="9" borderId="1" xfId="0" applyNumberFormat="1" applyFont="1" applyFill="1" applyBorder="1" applyAlignment="1">
      <alignment horizontal="center" vertical="center"/>
    </xf>
    <xf numFmtId="0" fontId="71" fillId="0" borderId="0" xfId="0" applyFont="1"/>
    <xf numFmtId="1" fontId="17" fillId="2" borderId="6" xfId="1" applyNumberFormat="1" applyFont="1" applyFill="1" applyBorder="1" applyAlignment="1">
      <alignment vertical="center" wrapText="1"/>
    </xf>
    <xf numFmtId="0" fontId="17" fillId="3" borderId="1" xfId="4" applyFont="1" applyFill="1" applyBorder="1" applyAlignment="1">
      <alignment horizontal="center" vertical="center" wrapText="1"/>
    </xf>
    <xf numFmtId="0" fontId="3" fillId="3" borderId="1" xfId="4" applyFont="1" applyFill="1" applyBorder="1" applyAlignment="1">
      <alignment horizontal="center" vertical="center" wrapText="1"/>
    </xf>
    <xf numFmtId="0" fontId="13" fillId="0" borderId="8" xfId="2" applyFont="1" applyFill="1" applyBorder="1" applyAlignment="1">
      <alignment horizontal="left" vertical="top"/>
    </xf>
    <xf numFmtId="2" fontId="17" fillId="0" borderId="27" xfId="0" applyNumberFormat="1" applyFont="1" applyFill="1" applyBorder="1" applyAlignment="1">
      <alignment horizontal="center" vertical="center" wrapText="1"/>
    </xf>
    <xf numFmtId="0" fontId="17" fillId="12" borderId="0" xfId="0" applyFont="1" applyFill="1" applyBorder="1" applyAlignment="1">
      <alignment horizontal="center" vertical="center" wrapText="1"/>
    </xf>
    <xf numFmtId="0" fontId="17" fillId="12" borderId="0" xfId="0" applyFont="1" applyFill="1" applyBorder="1" applyAlignment="1">
      <alignment vertical="top" wrapText="1"/>
    </xf>
    <xf numFmtId="2" fontId="17" fillId="12" borderId="0" xfId="0" applyNumberFormat="1" applyFont="1" applyFill="1" applyBorder="1" applyAlignment="1">
      <alignment horizontal="center" vertical="center" wrapText="1"/>
    </xf>
    <xf numFmtId="0" fontId="17" fillId="2" borderId="0" xfId="3" applyFont="1" applyFill="1" applyBorder="1" applyAlignment="1">
      <alignment horizontal="center" vertical="center"/>
    </xf>
    <xf numFmtId="2" fontId="12" fillId="0" borderId="0" xfId="0" applyNumberFormat="1" applyFont="1" applyBorder="1" applyAlignment="1">
      <alignment horizontal="center" vertical="center"/>
    </xf>
    <xf numFmtId="2" fontId="17" fillId="0" borderId="0" xfId="0" applyNumberFormat="1" applyFont="1" applyFill="1" applyBorder="1" applyAlignment="1">
      <alignment horizontal="center" vertical="center" wrapText="1"/>
    </xf>
    <xf numFmtId="0" fontId="32" fillId="0" borderId="8" xfId="20" applyFont="1" applyBorder="1" applyAlignment="1">
      <alignment horizontal="center" vertical="center" wrapText="1"/>
    </xf>
    <xf numFmtId="0" fontId="1" fillId="0" borderId="0" xfId="21"/>
    <xf numFmtId="0" fontId="32" fillId="2" borderId="1" xfId="20" applyFont="1" applyFill="1" applyBorder="1"/>
    <xf numFmtId="0" fontId="12" fillId="0" borderId="0" xfId="21" applyFont="1"/>
    <xf numFmtId="0" fontId="32" fillId="2" borderId="0" xfId="20" applyFont="1" applyFill="1" applyBorder="1"/>
    <xf numFmtId="1" fontId="13" fillId="0" borderId="0" xfId="0" applyNumberFormat="1" applyFont="1" applyFill="1" applyBorder="1" applyAlignment="1">
      <alignment horizontal="center" vertical="center" wrapText="1"/>
    </xf>
    <xf numFmtId="2" fontId="17" fillId="12" borderId="1" xfId="21" applyNumberFormat="1" applyFont="1" applyFill="1" applyBorder="1" applyAlignment="1">
      <alignment horizontal="center" vertical="center" wrapText="1"/>
    </xf>
    <xf numFmtId="2" fontId="17" fillId="12" borderId="46" xfId="21" applyNumberFormat="1" applyFont="1" applyFill="1" applyBorder="1" applyAlignment="1">
      <alignment horizontal="center" vertical="center" wrapText="1"/>
    </xf>
    <xf numFmtId="0" fontId="12" fillId="0" borderId="1" xfId="21" applyFont="1" applyBorder="1"/>
    <xf numFmtId="1" fontId="17" fillId="11" borderId="1" xfId="1" applyNumberFormat="1" applyFont="1" applyFill="1" applyBorder="1" applyAlignment="1">
      <alignment horizontal="center" vertical="center" wrapText="1"/>
    </xf>
    <xf numFmtId="1" fontId="17" fillId="2" borderId="2" xfId="1" applyNumberFormat="1" applyFont="1" applyFill="1" applyBorder="1" applyAlignment="1">
      <alignment horizontal="center" vertical="center" wrapText="1"/>
    </xf>
    <xf numFmtId="1" fontId="3" fillId="11" borderId="1" xfId="1" applyNumberFormat="1" applyFont="1" applyFill="1" applyBorder="1" applyAlignment="1">
      <alignment horizontal="center" vertical="center" wrapText="1"/>
    </xf>
    <xf numFmtId="1" fontId="17" fillId="0" borderId="1" xfId="1" applyNumberFormat="1" applyFont="1" applyFill="1" applyBorder="1" applyAlignment="1">
      <alignment horizontal="center" vertical="center" wrapText="1"/>
    </xf>
    <xf numFmtId="1" fontId="17" fillId="9" borderId="1" xfId="1" applyNumberFormat="1" applyFont="1" applyFill="1" applyBorder="1" applyAlignment="1">
      <alignment horizontal="center" vertical="center" wrapText="1"/>
    </xf>
    <xf numFmtId="1" fontId="3" fillId="9" borderId="1" xfId="1" applyNumberFormat="1" applyFont="1" applyFill="1" applyBorder="1" applyAlignment="1">
      <alignment horizontal="center" vertical="center" wrapText="1"/>
    </xf>
    <xf numFmtId="3" fontId="22" fillId="6" borderId="15" xfId="0" applyNumberFormat="1" applyFont="1" applyFill="1" applyBorder="1" applyAlignment="1">
      <alignment horizontal="center"/>
    </xf>
    <xf numFmtId="3" fontId="21" fillId="6" borderId="13" xfId="3" applyNumberFormat="1" applyFont="1" applyFill="1" applyBorder="1" applyAlignment="1">
      <alignment horizontal="center" vertical="center"/>
    </xf>
    <xf numFmtId="3" fontId="15" fillId="6" borderId="13" xfId="0" applyNumberFormat="1" applyFont="1" applyFill="1" applyBorder="1" applyAlignment="1">
      <alignment horizontal="center" vertical="center"/>
    </xf>
    <xf numFmtId="0" fontId="13" fillId="0" borderId="8" xfId="2" applyFont="1" applyFill="1" applyBorder="1" applyAlignment="1">
      <alignment vertical="top"/>
    </xf>
    <xf numFmtId="0" fontId="22" fillId="0" borderId="1" xfId="2" applyFont="1" applyFill="1" applyBorder="1" applyAlignment="1">
      <alignment vertical="top"/>
    </xf>
    <xf numFmtId="0" fontId="16" fillId="0" borderId="0" xfId="0" applyFont="1"/>
    <xf numFmtId="3" fontId="15" fillId="6" borderId="15" xfId="3" applyNumberFormat="1" applyFont="1" applyFill="1" applyBorder="1" applyAlignment="1">
      <alignment horizontal="center"/>
    </xf>
    <xf numFmtId="0" fontId="15" fillId="0" borderId="0" xfId="0" applyFont="1" applyFill="1" applyBorder="1"/>
    <xf numFmtId="0" fontId="12" fillId="0" borderId="0" xfId="3" applyFont="1" applyFill="1" applyBorder="1"/>
    <xf numFmtId="0" fontId="22" fillId="0" borderId="0" xfId="0" applyFont="1" applyFill="1" applyBorder="1"/>
    <xf numFmtId="0" fontId="32" fillId="0" borderId="0" xfId="0" applyFont="1" applyFill="1" applyBorder="1"/>
    <xf numFmtId="3" fontId="15" fillId="0" borderId="0" xfId="0" applyNumberFormat="1" applyFont="1" applyFill="1" applyBorder="1" applyAlignment="1">
      <alignment horizontal="center" vertical="center"/>
    </xf>
    <xf numFmtId="0" fontId="15" fillId="0" borderId="0" xfId="0" applyFont="1" applyFill="1"/>
    <xf numFmtId="0" fontId="62" fillId="0" borderId="0" xfId="13" applyFont="1" applyAlignment="1">
      <alignment horizontal="center" vertical="center"/>
    </xf>
    <xf numFmtId="0" fontId="72" fillId="0" borderId="1" xfId="0" applyFont="1" applyBorder="1" applyAlignment="1">
      <alignment wrapText="1"/>
    </xf>
    <xf numFmtId="0" fontId="73" fillId="0" borderId="0" xfId="0" applyFont="1"/>
    <xf numFmtId="3" fontId="3" fillId="21" borderId="1" xfId="1" applyNumberFormat="1" applyFont="1" applyFill="1" applyBorder="1" applyAlignment="1">
      <alignment horizontal="center" vertical="center" wrapText="1"/>
    </xf>
    <xf numFmtId="0" fontId="3" fillId="21" borderId="1" xfId="1" applyFont="1" applyFill="1" applyBorder="1" applyAlignment="1">
      <alignment horizontal="center" vertical="center" wrapText="1"/>
    </xf>
    <xf numFmtId="0" fontId="3" fillId="21" borderId="5" xfId="1" applyFont="1" applyFill="1" applyBorder="1" applyAlignment="1">
      <alignment horizontal="center" vertical="center" wrapText="1"/>
    </xf>
    <xf numFmtId="0" fontId="75" fillId="22" borderId="1" xfId="0" applyFont="1" applyFill="1" applyBorder="1" applyAlignment="1">
      <alignment horizontal="center" vertical="center" wrapText="1"/>
    </xf>
    <xf numFmtId="0" fontId="75" fillId="22" borderId="1" xfId="0" applyFont="1" applyFill="1" applyBorder="1" applyAlignment="1">
      <alignment vertical="center" wrapText="1"/>
    </xf>
    <xf numFmtId="3" fontId="3" fillId="22" borderId="1" xfId="0" applyNumberFormat="1" applyFont="1" applyFill="1" applyBorder="1" applyAlignment="1">
      <alignment horizontal="center" vertical="center"/>
    </xf>
    <xf numFmtId="0" fontId="44" fillId="0" borderId="3" xfId="2" applyFont="1" applyFill="1" applyBorder="1" applyAlignment="1">
      <alignment vertical="center" wrapText="1"/>
    </xf>
    <xf numFmtId="0" fontId="44" fillId="0" borderId="3" xfId="2" applyFont="1" applyFill="1" applyBorder="1" applyAlignment="1">
      <alignment vertical="center"/>
    </xf>
    <xf numFmtId="0" fontId="44" fillId="0" borderId="2" xfId="2" applyFont="1" applyFill="1" applyBorder="1" applyAlignment="1">
      <alignment vertical="center" wrapText="1"/>
    </xf>
    <xf numFmtId="0" fontId="8" fillId="0" borderId="1" xfId="3" applyFont="1" applyFill="1" applyBorder="1" applyAlignment="1">
      <alignment vertical="center" wrapText="1"/>
    </xf>
    <xf numFmtId="0" fontId="8" fillId="0" borderId="8" xfId="3" applyFont="1" applyFill="1" applyBorder="1" applyAlignment="1">
      <alignment vertical="center" wrapText="1"/>
    </xf>
    <xf numFmtId="0" fontId="46" fillId="0" borderId="0" xfId="0" applyFont="1" applyAlignment="1">
      <alignment wrapText="1"/>
    </xf>
    <xf numFmtId="4" fontId="14" fillId="0" borderId="0" xfId="0" applyNumberFormat="1" applyFont="1"/>
    <xf numFmtId="0" fontId="76" fillId="0" borderId="1" xfId="0" applyFont="1" applyBorder="1" applyAlignment="1">
      <alignment horizontal="center" wrapText="1"/>
    </xf>
    <xf numFmtId="0" fontId="77" fillId="0" borderId="1" xfId="0" applyFont="1" applyBorder="1" applyAlignment="1">
      <alignment horizontal="center" wrapText="1"/>
    </xf>
    <xf numFmtId="0" fontId="78" fillId="0" borderId="1" xfId="0" applyFont="1" applyBorder="1" applyAlignment="1">
      <alignment horizontal="center" vertical="center" wrapText="1"/>
    </xf>
    <xf numFmtId="0" fontId="32" fillId="0" borderId="1" xfId="0" applyFont="1" applyBorder="1" applyAlignment="1">
      <alignment horizontal="center"/>
    </xf>
    <xf numFmtId="0" fontId="9" fillId="0" borderId="1" xfId="0" applyFont="1" applyBorder="1" applyAlignment="1">
      <alignment horizontal="center" wrapText="1"/>
    </xf>
    <xf numFmtId="0" fontId="79" fillId="0" borderId="1" xfId="0" applyFont="1" applyBorder="1" applyAlignment="1">
      <alignment horizontal="center" vertical="center" wrapText="1"/>
    </xf>
    <xf numFmtId="3" fontId="25" fillId="0" borderId="1" xfId="0" applyNumberFormat="1" applyFont="1" applyBorder="1" applyAlignment="1">
      <alignment horizontal="center"/>
    </xf>
    <xf numFmtId="3" fontId="32" fillId="0" borderId="1" xfId="0" applyNumberFormat="1" applyFont="1" applyBorder="1"/>
    <xf numFmtId="3" fontId="46" fillId="0" borderId="1" xfId="0" applyNumberFormat="1" applyFont="1" applyBorder="1" applyAlignment="1">
      <alignment horizontal="center"/>
    </xf>
    <xf numFmtId="0" fontId="0" fillId="0" borderId="0" xfId="0" applyFill="1"/>
    <xf numFmtId="0" fontId="79" fillId="0" borderId="0" xfId="0" applyFont="1"/>
    <xf numFmtId="0" fontId="79" fillId="0" borderId="0" xfId="0" applyFont="1" applyAlignment="1">
      <alignment horizontal="center"/>
    </xf>
    <xf numFmtId="0" fontId="79" fillId="17" borderId="51" xfId="0" applyFont="1" applyFill="1" applyBorder="1" applyAlignment="1">
      <alignment horizontal="center" vertical="center"/>
    </xf>
    <xf numFmtId="3" fontId="79" fillId="17" borderId="51" xfId="0" applyNumberFormat="1" applyFont="1" applyFill="1" applyBorder="1" applyAlignment="1">
      <alignment horizontal="center" wrapText="1"/>
    </xf>
    <xf numFmtId="171" fontId="79" fillId="17" borderId="52" xfId="0" applyNumberFormat="1" applyFont="1" applyFill="1" applyBorder="1" applyAlignment="1">
      <alignment horizontal="center" wrapText="1"/>
    </xf>
    <xf numFmtId="4" fontId="79" fillId="17" borderId="52" xfId="0" applyNumberFormat="1" applyFont="1" applyFill="1" applyBorder="1" applyAlignment="1">
      <alignment wrapText="1"/>
    </xf>
    <xf numFmtId="4" fontId="79" fillId="17" borderId="54" xfId="0" applyNumberFormat="1" applyFont="1" applyFill="1" applyBorder="1" applyAlignment="1">
      <alignment wrapText="1"/>
    </xf>
    <xf numFmtId="0" fontId="83" fillId="17" borderId="38" xfId="0" applyFont="1" applyFill="1" applyBorder="1" applyAlignment="1">
      <alignment wrapText="1"/>
    </xf>
    <xf numFmtId="0" fontId="79" fillId="0" borderId="61" xfId="0" applyFont="1" applyBorder="1" applyAlignment="1">
      <alignment horizontal="left" vertical="center"/>
    </xf>
    <xf numFmtId="0" fontId="79" fillId="0" borderId="1" xfId="0" applyFont="1" applyBorder="1" applyAlignment="1">
      <alignment horizontal="left" vertical="center" wrapText="1"/>
    </xf>
    <xf numFmtId="4" fontId="79" fillId="0" borderId="1" xfId="0" applyNumberFormat="1" applyFont="1" applyBorder="1" applyAlignment="1">
      <alignment horizontal="right" vertical="center"/>
    </xf>
    <xf numFmtId="3" fontId="79" fillId="0" borderId="1" xfId="0" applyNumberFormat="1" applyFont="1" applyBorder="1" applyAlignment="1">
      <alignment horizontal="center" vertical="center"/>
    </xf>
    <xf numFmtId="4" fontId="79" fillId="0" borderId="1" xfId="0" applyNumberFormat="1" applyFont="1" applyBorder="1" applyAlignment="1">
      <alignment horizontal="right" vertical="center" wrapText="1"/>
    </xf>
    <xf numFmtId="0" fontId="79" fillId="0" borderId="0" xfId="0" applyFont="1" applyAlignment="1">
      <alignment horizontal="left" vertical="center"/>
    </xf>
    <xf numFmtId="0" fontId="83" fillId="0" borderId="62" xfId="0" applyFont="1" applyBorder="1" applyAlignment="1">
      <alignment vertical="center" wrapText="1"/>
    </xf>
    <xf numFmtId="2" fontId="79" fillId="0" borderId="0" xfId="0" applyNumberFormat="1" applyFont="1" applyAlignment="1">
      <alignment horizontal="left" vertical="center"/>
    </xf>
    <xf numFmtId="0" fontId="83" fillId="0" borderId="62" xfId="0" applyFont="1" applyBorder="1" applyAlignment="1">
      <alignment horizontal="left" vertical="center" wrapText="1"/>
    </xf>
    <xf numFmtId="0" fontId="79" fillId="0" borderId="0" xfId="0" applyFont="1" applyAlignment="1">
      <alignment horizontal="center" vertical="center"/>
    </xf>
    <xf numFmtId="1" fontId="79" fillId="0" borderId="0" xfId="0" applyNumberFormat="1" applyFont="1"/>
    <xf numFmtId="0" fontId="82" fillId="17" borderId="44" xfId="0" applyFont="1" applyFill="1" applyBorder="1" applyAlignment="1">
      <alignment horizontal="center" vertical="center"/>
    </xf>
    <xf numFmtId="0" fontId="82" fillId="17" borderId="44" xfId="0" applyFont="1" applyFill="1" applyBorder="1" applyAlignment="1">
      <alignment horizontal="center" wrapText="1"/>
    </xf>
    <xf numFmtId="4" fontId="79" fillId="17" borderId="75" xfId="0" applyNumberFormat="1" applyFont="1" applyFill="1" applyBorder="1" applyAlignment="1">
      <alignment horizontal="center" wrapText="1"/>
    </xf>
    <xf numFmtId="4" fontId="79" fillId="17" borderId="45" xfId="0" applyNumberFormat="1" applyFont="1" applyFill="1" applyBorder="1" applyAlignment="1">
      <alignment horizontal="right" wrapText="1"/>
    </xf>
    <xf numFmtId="0" fontId="82" fillId="17" borderId="13" xfId="0" applyFont="1" applyFill="1" applyBorder="1" applyAlignment="1">
      <alignment wrapText="1"/>
    </xf>
    <xf numFmtId="0" fontId="79" fillId="24" borderId="47" xfId="0" applyFont="1" applyFill="1" applyBorder="1" applyAlignment="1">
      <alignment horizontal="left" vertical="center"/>
    </xf>
    <xf numFmtId="0" fontId="79" fillId="24" borderId="47" xfId="0" applyFont="1" applyFill="1" applyBorder="1" applyAlignment="1">
      <alignment horizontal="center" vertical="center" wrapText="1"/>
    </xf>
    <xf numFmtId="0" fontId="79" fillId="24" borderId="79" xfId="0" applyFont="1" applyFill="1" applyBorder="1" applyAlignment="1">
      <alignment horizontal="center" vertical="center" wrapText="1"/>
    </xf>
    <xf numFmtId="4" fontId="79" fillId="24" borderId="48" xfId="0" applyNumberFormat="1" applyFont="1" applyFill="1" applyBorder="1" applyAlignment="1">
      <alignment horizontal="right" vertical="center" wrapText="1"/>
    </xf>
    <xf numFmtId="0" fontId="83" fillId="24" borderId="80" xfId="0" applyFont="1" applyFill="1" applyBorder="1" applyAlignment="1">
      <alignment horizontal="left" vertical="center" wrapText="1"/>
    </xf>
    <xf numFmtId="0" fontId="79" fillId="0" borderId="61" xfId="0" applyFont="1" applyBorder="1" applyAlignment="1">
      <alignment horizontal="right" vertical="center"/>
    </xf>
    <xf numFmtId="0" fontId="83" fillId="0" borderId="4" xfId="0" applyFont="1" applyBorder="1" applyAlignment="1">
      <alignment horizontal="right" vertical="center" wrapText="1"/>
    </xf>
    <xf numFmtId="3" fontId="83" fillId="0" borderId="1" xfId="0" applyNumberFormat="1" applyFont="1" applyBorder="1" applyAlignment="1">
      <alignment horizontal="right" vertical="center"/>
    </xf>
    <xf numFmtId="4" fontId="83" fillId="0" borderId="2" xfId="0" applyNumberFormat="1" applyFont="1" applyBorder="1" applyAlignment="1">
      <alignment horizontal="right" vertical="center"/>
    </xf>
    <xf numFmtId="3" fontId="83" fillId="0" borderId="61" xfId="0" applyNumberFormat="1" applyFont="1" applyBorder="1" applyAlignment="1">
      <alignment horizontal="center" vertical="center"/>
    </xf>
    <xf numFmtId="3" fontId="83" fillId="0" borderId="1" xfId="0" applyNumberFormat="1" applyFont="1" applyBorder="1" applyAlignment="1">
      <alignment horizontal="center" vertical="center" wrapText="1"/>
    </xf>
    <xf numFmtId="4" fontId="83" fillId="0" borderId="62" xfId="0" applyNumberFormat="1" applyFont="1" applyBorder="1" applyAlignment="1">
      <alignment horizontal="right" vertical="center" wrapText="1"/>
    </xf>
    <xf numFmtId="0" fontId="83" fillId="0" borderId="81" xfId="0" applyFont="1" applyBorder="1" applyAlignment="1">
      <alignment horizontal="left" vertical="center" wrapText="1"/>
    </xf>
    <xf numFmtId="4" fontId="83" fillId="0" borderId="1" xfId="0" applyNumberFormat="1" applyFont="1" applyBorder="1" applyAlignment="1">
      <alignment horizontal="right" vertical="center"/>
    </xf>
    <xf numFmtId="14" fontId="85" fillId="0" borderId="61" xfId="0" applyNumberFormat="1" applyFont="1" applyBorder="1" applyAlignment="1">
      <alignment horizontal="right" vertical="center"/>
    </xf>
    <xf numFmtId="0" fontId="86" fillId="0" borderId="9" xfId="0" applyFont="1" applyBorder="1" applyAlignment="1">
      <alignment horizontal="right" vertical="center" wrapText="1"/>
    </xf>
    <xf numFmtId="4" fontId="86" fillId="0" borderId="1" xfId="0" applyNumberFormat="1" applyFont="1" applyBorder="1" applyAlignment="1">
      <alignment horizontal="right" vertical="center" wrapText="1"/>
    </xf>
    <xf numFmtId="4" fontId="86" fillId="0" borderId="2" xfId="0" applyNumberFormat="1" applyFont="1" applyBorder="1" applyAlignment="1">
      <alignment horizontal="right" vertical="center"/>
    </xf>
    <xf numFmtId="3" fontId="86" fillId="0" borderId="61" xfId="0" applyNumberFormat="1" applyFont="1" applyBorder="1" applyAlignment="1">
      <alignment horizontal="center" vertical="center"/>
    </xf>
    <xf numFmtId="3" fontId="86" fillId="0" borderId="1" xfId="0" applyNumberFormat="1" applyFont="1" applyBorder="1" applyAlignment="1">
      <alignment horizontal="center" vertical="center" wrapText="1"/>
    </xf>
    <xf numFmtId="4" fontId="86" fillId="0" borderId="62" xfId="0" applyNumberFormat="1" applyFont="1" applyBorder="1" applyAlignment="1">
      <alignment horizontal="right" vertical="center" wrapText="1"/>
    </xf>
    <xf numFmtId="0" fontId="86" fillId="0" borderId="81" xfId="0" applyFont="1" applyBorder="1" applyAlignment="1">
      <alignment horizontal="left" vertical="center" wrapText="1"/>
    </xf>
    <xf numFmtId="0" fontId="79" fillId="24" borderId="61" xfId="0" applyFont="1" applyFill="1" applyBorder="1" applyAlignment="1">
      <alignment horizontal="left" vertical="center"/>
    </xf>
    <xf numFmtId="0" fontId="79" fillId="24" borderId="61" xfId="0" applyFont="1" applyFill="1" applyBorder="1" applyAlignment="1">
      <alignment horizontal="center" vertical="center" wrapText="1"/>
    </xf>
    <xf numFmtId="0" fontId="79" fillId="24" borderId="1" xfId="0" applyFont="1" applyFill="1" applyBorder="1" applyAlignment="1">
      <alignment horizontal="center" vertical="center" wrapText="1"/>
    </xf>
    <xf numFmtId="4" fontId="79" fillId="24" borderId="62" xfId="0" applyNumberFormat="1" applyFont="1" applyFill="1" applyBorder="1" applyAlignment="1">
      <alignment horizontal="right" vertical="center" wrapText="1"/>
    </xf>
    <xf numFmtId="0" fontId="83" fillId="24" borderId="81" xfId="0" applyFont="1" applyFill="1" applyBorder="1" applyAlignment="1">
      <alignment horizontal="left" vertical="center" wrapText="1"/>
    </xf>
    <xf numFmtId="171" fontId="83" fillId="0" borderId="2" xfId="0" applyNumberFormat="1" applyFont="1" applyBorder="1" applyAlignment="1">
      <alignment horizontal="right" vertical="center"/>
    </xf>
    <xf numFmtId="0" fontId="79" fillId="24" borderId="56" xfId="0" applyFont="1" applyFill="1" applyBorder="1" applyAlignment="1">
      <alignment horizontal="left" vertical="center"/>
    </xf>
    <xf numFmtId="0" fontId="83" fillId="24" borderId="82" xfId="0" applyFont="1" applyFill="1" applyBorder="1" applyAlignment="1">
      <alignment horizontal="left" vertical="center" wrapText="1"/>
    </xf>
    <xf numFmtId="0" fontId="79" fillId="0" borderId="58" xfId="0" applyFont="1" applyBorder="1" applyAlignment="1">
      <alignment horizontal="right" vertical="center"/>
    </xf>
    <xf numFmtId="0" fontId="83" fillId="0" borderId="83" xfId="0" applyFont="1" applyBorder="1" applyAlignment="1">
      <alignment horizontal="right" vertical="center" wrapText="1"/>
    </xf>
    <xf numFmtId="4" fontId="83" fillId="0" borderId="59" xfId="0" applyNumberFormat="1" applyFont="1" applyBorder="1" applyAlignment="1">
      <alignment horizontal="right" vertical="center"/>
    </xf>
    <xf numFmtId="4" fontId="83" fillId="0" borderId="60" xfId="0" applyNumberFormat="1" applyFont="1" applyBorder="1" applyAlignment="1">
      <alignment horizontal="right" vertical="center"/>
    </xf>
    <xf numFmtId="3" fontId="83" fillId="0" borderId="58" xfId="0" applyNumberFormat="1" applyFont="1" applyBorder="1" applyAlignment="1">
      <alignment horizontal="center" vertical="center"/>
    </xf>
    <xf numFmtId="3" fontId="83" fillId="0" borderId="59" xfId="0" applyNumberFormat="1" applyFont="1" applyBorder="1" applyAlignment="1">
      <alignment horizontal="center" vertical="center" wrapText="1"/>
    </xf>
    <xf numFmtId="4" fontId="83" fillId="0" borderId="84" xfId="0" applyNumberFormat="1" applyFont="1" applyBorder="1" applyAlignment="1">
      <alignment horizontal="right" vertical="center" wrapText="1"/>
    </xf>
    <xf numFmtId="0" fontId="83" fillId="0" borderId="43" xfId="0" applyFont="1" applyBorder="1" applyAlignment="1">
      <alignment horizontal="left" vertical="center" wrapText="1"/>
    </xf>
    <xf numFmtId="0" fontId="87" fillId="0" borderId="0" xfId="0" applyFont="1"/>
    <xf numFmtId="4" fontId="79" fillId="17" borderId="45" xfId="0" applyNumberFormat="1" applyFont="1" applyFill="1" applyBorder="1" applyAlignment="1">
      <alignment horizontal="right" vertical="center" wrapText="1"/>
    </xf>
    <xf numFmtId="0" fontId="83" fillId="17" borderId="13" xfId="0" applyFont="1" applyFill="1" applyBorder="1" applyAlignment="1">
      <alignment vertical="center" wrapText="1"/>
    </xf>
    <xf numFmtId="0" fontId="83" fillId="17" borderId="13" xfId="0" applyFont="1" applyFill="1" applyBorder="1" applyAlignment="1">
      <alignment horizontal="left" vertical="center" wrapText="1"/>
    </xf>
    <xf numFmtId="3" fontId="5" fillId="25" borderId="44" xfId="0" applyNumberFormat="1" applyFont="1" applyFill="1" applyBorder="1" applyAlignment="1">
      <alignment horizontal="center" vertical="center" wrapText="1"/>
    </xf>
    <xf numFmtId="0" fontId="7" fillId="25" borderId="13" xfId="0" applyFont="1" applyFill="1" applyBorder="1" applyAlignment="1">
      <alignment horizontal="left" vertical="center" wrapText="1"/>
    </xf>
    <xf numFmtId="4" fontId="82" fillId="0" borderId="0" xfId="0" applyNumberFormat="1" applyFont="1" applyAlignment="1">
      <alignment horizontal="left"/>
    </xf>
    <xf numFmtId="0" fontId="82" fillId="0" borderId="0" xfId="0" applyFont="1" applyAlignment="1">
      <alignment horizontal="center" vertical="center"/>
    </xf>
    <xf numFmtId="0" fontId="82" fillId="0" borderId="0" xfId="0" applyFont="1" applyAlignment="1">
      <alignment vertical="center"/>
    </xf>
    <xf numFmtId="4" fontId="89" fillId="0" borderId="0" xfId="0" applyNumberFormat="1" applyFont="1" applyAlignment="1">
      <alignment vertical="center"/>
    </xf>
    <xf numFmtId="0" fontId="89" fillId="0" borderId="0" xfId="0" applyFont="1" applyAlignment="1">
      <alignment vertical="center"/>
    </xf>
    <xf numFmtId="2" fontId="82" fillId="0" borderId="0" xfId="0" applyNumberFormat="1" applyFont="1"/>
    <xf numFmtId="0" fontId="82" fillId="0" borderId="0" xfId="0" applyFont="1"/>
    <xf numFmtId="0" fontId="12" fillId="6" borderId="37" xfId="3" applyFont="1" applyFill="1" applyBorder="1"/>
    <xf numFmtId="3" fontId="14" fillId="0" borderId="1" xfId="3" applyNumberFormat="1" applyFont="1" applyFill="1" applyBorder="1"/>
    <xf numFmtId="0" fontId="15" fillId="6" borderId="36" xfId="0" applyFont="1" applyFill="1" applyBorder="1"/>
    <xf numFmtId="0" fontId="44" fillId="0" borderId="1" xfId="0" applyFont="1" applyBorder="1" applyAlignment="1">
      <alignment horizontal="left" vertical="center"/>
    </xf>
    <xf numFmtId="0" fontId="8" fillId="0" borderId="1" xfId="0" applyFont="1" applyBorder="1" applyAlignment="1">
      <alignment horizontal="left" vertical="center" wrapText="1"/>
    </xf>
    <xf numFmtId="0" fontId="91" fillId="0" borderId="1" xfId="0" applyFont="1" applyBorder="1" applyAlignment="1">
      <alignment horizontal="center"/>
    </xf>
    <xf numFmtId="3" fontId="15" fillId="6" borderId="13" xfId="4" applyNumberFormat="1" applyFont="1" applyFill="1" applyBorder="1" applyAlignment="1">
      <alignment horizontal="center" vertical="center"/>
    </xf>
    <xf numFmtId="0" fontId="12" fillId="0" borderId="0" xfId="5" applyFont="1" applyAlignment="1">
      <alignment vertical="center" wrapText="1"/>
    </xf>
    <xf numFmtId="0" fontId="12" fillId="0" borderId="0" xfId="5" applyFont="1" applyAlignment="1">
      <alignment horizontal="right"/>
    </xf>
    <xf numFmtId="0" fontId="12" fillId="0" borderId="1" xfId="5" applyFont="1" applyBorder="1"/>
    <xf numFmtId="0" fontId="12" fillId="0" borderId="1" xfId="6" applyFont="1" applyBorder="1" applyAlignment="1">
      <alignment horizontal="center" vertical="center" wrapText="1"/>
    </xf>
    <xf numFmtId="1" fontId="17" fillId="0" borderId="1" xfId="5" applyNumberFormat="1" applyFont="1" applyBorder="1" applyAlignment="1" applyProtection="1">
      <alignment horizontal="center" vertical="center" wrapText="1"/>
      <protection locked="0"/>
    </xf>
    <xf numFmtId="0" fontId="17" fillId="0" borderId="1" xfId="5" applyFont="1" applyBorder="1" applyAlignment="1" applyProtection="1">
      <alignment horizontal="center" vertical="center" wrapText="1"/>
      <protection locked="0"/>
    </xf>
    <xf numFmtId="2" fontId="17" fillId="0" borderId="1" xfId="5" applyNumberFormat="1" applyFont="1" applyBorder="1" applyAlignment="1" applyProtection="1">
      <alignment horizontal="center" vertical="center" wrapText="1"/>
      <protection locked="0"/>
    </xf>
    <xf numFmtId="2" fontId="12" fillId="0" borderId="1" xfId="5" applyNumberFormat="1" applyFont="1" applyBorder="1" applyAlignment="1">
      <alignment horizontal="center" vertical="center"/>
    </xf>
    <xf numFmtId="49" fontId="12" fillId="0" borderId="1" xfId="5" applyNumberFormat="1" applyFont="1" applyBorder="1" applyAlignment="1">
      <alignment horizontal="center" vertical="center"/>
    </xf>
    <xf numFmtId="1" fontId="12" fillId="0" borderId="1" xfId="5" applyNumberFormat="1" applyFont="1" applyBorder="1" applyAlignment="1">
      <alignment horizontal="center" vertical="center"/>
    </xf>
    <xf numFmtId="0" fontId="17" fillId="0" borderId="1" xfId="7" applyFont="1" applyBorder="1" applyAlignment="1" applyProtection="1">
      <alignment horizontal="left" vertical="center" wrapText="1"/>
      <protection locked="0"/>
    </xf>
    <xf numFmtId="0" fontId="14" fillId="6" borderId="1" xfId="0" applyFont="1" applyFill="1" applyBorder="1" applyAlignment="1">
      <alignment horizontal="center" vertical="center" wrapText="1"/>
    </xf>
    <xf numFmtId="0" fontId="12" fillId="0" borderId="1" xfId="0" applyFont="1" applyBorder="1" applyAlignment="1">
      <alignment horizontal="center" vertical="center"/>
    </xf>
    <xf numFmtId="0" fontId="14" fillId="0" borderId="0" xfId="0" applyFont="1" applyAlignment="1">
      <alignment horizontal="right" vertical="center"/>
    </xf>
    <xf numFmtId="0" fontId="12" fillId="9"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22"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vertical="center" wrapText="1"/>
    </xf>
    <xf numFmtId="0" fontId="12" fillId="2" borderId="33" xfId="0" applyFont="1" applyFill="1" applyBorder="1" applyAlignment="1">
      <alignment horizontal="center" vertical="center"/>
    </xf>
    <xf numFmtId="3" fontId="12" fillId="0" borderId="0" xfId="0" applyNumberFormat="1" applyFont="1" applyAlignment="1">
      <alignment vertical="center"/>
    </xf>
    <xf numFmtId="0" fontId="12" fillId="2" borderId="5" xfId="0" applyFont="1" applyFill="1" applyBorder="1" applyAlignment="1">
      <alignment horizontal="center" vertical="center"/>
    </xf>
    <xf numFmtId="0" fontId="14" fillId="0" borderId="1" xfId="0" applyFont="1" applyBorder="1" applyAlignment="1">
      <alignment horizontal="right" vertical="center"/>
    </xf>
    <xf numFmtId="0" fontId="12" fillId="2" borderId="0" xfId="0" applyFont="1" applyFill="1" applyAlignment="1">
      <alignment vertical="center" wrapText="1"/>
    </xf>
    <xf numFmtId="0" fontId="12" fillId="2" borderId="0" xfId="0" applyFont="1" applyFill="1" applyAlignment="1">
      <alignment horizontal="center" vertical="center"/>
    </xf>
    <xf numFmtId="0" fontId="14" fillId="2" borderId="0" xfId="0" applyFont="1" applyFill="1" applyAlignment="1">
      <alignment horizontal="right" vertical="center"/>
    </xf>
    <xf numFmtId="0" fontId="14" fillId="2" borderId="0" xfId="0" applyFont="1" applyFill="1" applyAlignment="1">
      <alignment horizontal="center" vertical="center"/>
    </xf>
    <xf numFmtId="3" fontId="14" fillId="2" borderId="0" xfId="0" applyNumberFormat="1" applyFont="1" applyFill="1" applyAlignment="1">
      <alignment vertical="center"/>
    </xf>
    <xf numFmtId="2" fontId="37" fillId="2" borderId="0" xfId="0" applyNumberFormat="1" applyFont="1" applyFill="1" applyAlignment="1">
      <alignment vertical="center"/>
    </xf>
    <xf numFmtId="2" fontId="38" fillId="2" borderId="0" xfId="0" applyNumberFormat="1" applyFont="1" applyFill="1" applyAlignment="1">
      <alignment vertical="center"/>
    </xf>
    <xf numFmtId="2" fontId="14" fillId="2" borderId="0" xfId="0" applyNumberFormat="1" applyFont="1" applyFill="1" applyAlignment="1">
      <alignment vertical="center"/>
    </xf>
    <xf numFmtId="0" fontId="92" fillId="0" borderId="0" xfId="0" applyFont="1" applyAlignment="1">
      <alignment horizontal="right" vertical="center"/>
    </xf>
    <xf numFmtId="4" fontId="92" fillId="9" borderId="0" xfId="0" applyNumberFormat="1" applyFont="1" applyFill="1" applyAlignment="1">
      <alignment vertical="center"/>
    </xf>
    <xf numFmtId="2" fontId="14" fillId="9" borderId="0" xfId="0" applyNumberFormat="1" applyFont="1" applyFill="1" applyAlignment="1">
      <alignment horizontal="center" vertical="center"/>
    </xf>
    <xf numFmtId="0" fontId="12" fillId="0" borderId="0" xfId="0" applyFont="1" applyAlignment="1">
      <alignment horizontal="right" vertical="center"/>
    </xf>
    <xf numFmtId="166" fontId="12" fillId="0" borderId="11" xfId="0" applyNumberFormat="1" applyFont="1" applyBorder="1" applyAlignment="1">
      <alignment vertical="center"/>
    </xf>
    <xf numFmtId="2" fontId="14" fillId="6" borderId="0" xfId="0" applyNumberFormat="1" applyFont="1" applyFill="1" applyAlignment="1">
      <alignment vertical="center"/>
    </xf>
    <xf numFmtId="0" fontId="29" fillId="0" borderId="0" xfId="9" applyFont="1" applyAlignment="1">
      <alignment horizontal="center" vertical="center" wrapText="1"/>
    </xf>
    <xf numFmtId="0" fontId="17" fillId="0" borderId="28" xfId="9" applyFont="1" applyBorder="1" applyAlignment="1">
      <alignment horizontal="center" vertical="center" wrapText="1"/>
    </xf>
    <xf numFmtId="0" fontId="17" fillId="0" borderId="0" xfId="9" applyFont="1" applyAlignment="1">
      <alignment horizontal="center" vertical="center" wrapText="1"/>
    </xf>
    <xf numFmtId="0" fontId="12" fillId="26" borderId="0" xfId="0" applyFont="1" applyFill="1" applyAlignment="1">
      <alignment vertical="center"/>
    </xf>
    <xf numFmtId="0" fontId="12" fillId="0" borderId="29" xfId="0" applyFont="1" applyBorder="1" applyAlignment="1">
      <alignment vertical="center"/>
    </xf>
    <xf numFmtId="0" fontId="12" fillId="0" borderId="30" xfId="0" applyFont="1" applyBorder="1" applyAlignment="1">
      <alignment vertical="center"/>
    </xf>
    <xf numFmtId="3" fontId="29" fillId="0" borderId="28" xfId="9" applyNumberFormat="1" applyFont="1" applyBorder="1" applyAlignment="1">
      <alignment horizontal="center" vertical="center"/>
    </xf>
    <xf numFmtId="167" fontId="34" fillId="0" borderId="28" xfId="9" applyNumberFormat="1" applyFont="1" applyBorder="1" applyAlignment="1">
      <alignment horizontal="center" vertical="center"/>
    </xf>
    <xf numFmtId="167" fontId="34" fillId="0" borderId="0" xfId="9" applyNumberFormat="1" applyFont="1" applyAlignment="1">
      <alignment horizontal="center" vertical="center"/>
    </xf>
    <xf numFmtId="0" fontId="12" fillId="0" borderId="30" xfId="0" applyFont="1" applyBorder="1" applyAlignment="1">
      <alignment horizontal="right" vertical="center"/>
    </xf>
    <xf numFmtId="2" fontId="29" fillId="0" borderId="28" xfId="9" applyNumberFormat="1" applyFont="1" applyBorder="1" applyAlignment="1">
      <alignment horizontal="center" vertical="center"/>
    </xf>
    <xf numFmtId="167" fontId="17" fillId="0" borderId="0" xfId="9" applyNumberFormat="1" applyFont="1" applyAlignment="1">
      <alignment horizontal="left" vertical="center"/>
    </xf>
    <xf numFmtId="2" fontId="29" fillId="0" borderId="31" xfId="9" applyNumberFormat="1" applyFont="1" applyBorder="1" applyAlignment="1">
      <alignment horizontal="center" vertical="center"/>
    </xf>
    <xf numFmtId="2" fontId="29" fillId="0" borderId="0" xfId="9" applyNumberFormat="1" applyFont="1" applyAlignment="1">
      <alignment horizontal="center" vertical="center"/>
    </xf>
    <xf numFmtId="2" fontId="12" fillId="0" borderId="23" xfId="0" applyNumberFormat="1" applyFont="1" applyBorder="1" applyAlignment="1">
      <alignment vertical="center"/>
    </xf>
    <xf numFmtId="0" fontId="12" fillId="0" borderId="9" xfId="0" applyFont="1" applyBorder="1" applyAlignment="1">
      <alignment vertical="center"/>
    </xf>
    <xf numFmtId="2" fontId="12" fillId="0" borderId="10" xfId="0" applyNumberFormat="1" applyFont="1" applyBorder="1" applyAlignment="1">
      <alignment vertical="center"/>
    </xf>
    <xf numFmtId="0" fontId="12" fillId="0" borderId="32" xfId="0" applyFont="1" applyBorder="1" applyAlignment="1">
      <alignment vertical="center"/>
    </xf>
    <xf numFmtId="2" fontId="12" fillId="0" borderId="24" xfId="0" applyNumberFormat="1" applyFont="1" applyBorder="1" applyAlignment="1">
      <alignment vertical="center"/>
    </xf>
    <xf numFmtId="0" fontId="12" fillId="0" borderId="25" xfId="0" applyFont="1" applyBorder="1" applyAlignment="1">
      <alignment vertical="center"/>
    </xf>
    <xf numFmtId="2" fontId="14" fillId="15" borderId="0" xfId="0" applyNumberFormat="1" applyFont="1" applyFill="1" applyAlignment="1">
      <alignment vertical="center"/>
    </xf>
    <xf numFmtId="0" fontId="12" fillId="26" borderId="1" xfId="0" applyFont="1" applyFill="1" applyBorder="1" applyAlignment="1">
      <alignment vertical="center"/>
    </xf>
    <xf numFmtId="0" fontId="12" fillId="26" borderId="1" xfId="0" applyFont="1" applyFill="1" applyBorder="1" applyAlignment="1">
      <alignment horizontal="right" vertical="center"/>
    </xf>
    <xf numFmtId="4" fontId="12" fillId="26" borderId="1" xfId="0" applyNumberFormat="1" applyFont="1" applyFill="1" applyBorder="1" applyAlignment="1">
      <alignment vertical="center"/>
    </xf>
    <xf numFmtId="4" fontId="12" fillId="3" borderId="1" xfId="0" applyNumberFormat="1" applyFont="1" applyFill="1" applyBorder="1" applyAlignment="1">
      <alignment vertical="center"/>
    </xf>
    <xf numFmtId="2" fontId="17" fillId="26" borderId="1" xfId="0" applyNumberFormat="1" applyFont="1" applyFill="1" applyBorder="1" applyAlignment="1">
      <alignment vertical="center"/>
    </xf>
    <xf numFmtId="0" fontId="12" fillId="0" borderId="0" xfId="0" applyFont="1" applyFill="1" applyAlignment="1">
      <alignment horizontal="right" vertical="center"/>
    </xf>
    <xf numFmtId="4" fontId="12" fillId="0" borderId="0" xfId="0" applyNumberFormat="1" applyFont="1" applyFill="1" applyAlignment="1">
      <alignment vertical="center"/>
    </xf>
    <xf numFmtId="4" fontId="12" fillId="0" borderId="28" xfId="0" applyNumberFormat="1" applyFont="1" applyBorder="1" applyAlignment="1">
      <alignment horizontal="center" vertical="center"/>
    </xf>
    <xf numFmtId="2" fontId="12" fillId="9" borderId="28" xfId="0" applyNumberFormat="1" applyFont="1" applyFill="1" applyBorder="1" applyAlignment="1">
      <alignment horizontal="center" vertical="center"/>
    </xf>
    <xf numFmtId="3" fontId="12" fillId="0" borderId="28" xfId="0" applyNumberFormat="1" applyFont="1" applyBorder="1" applyAlignment="1">
      <alignment horizontal="center" vertical="center"/>
    </xf>
    <xf numFmtId="4" fontId="12" fillId="0" borderId="1" xfId="0" applyNumberFormat="1" applyFont="1" applyBorder="1" applyAlignment="1">
      <alignment horizontal="center" vertical="center"/>
    </xf>
    <xf numFmtId="2" fontId="12" fillId="0" borderId="1" xfId="0" applyNumberFormat="1" applyFont="1" applyBorder="1" applyAlignment="1">
      <alignment horizontal="center" vertical="center" wrapText="1"/>
    </xf>
    <xf numFmtId="3" fontId="14" fillId="6" borderId="1" xfId="0" applyNumberFormat="1" applyFont="1" applyFill="1" applyBorder="1" applyAlignment="1">
      <alignment horizontal="center" vertical="center"/>
    </xf>
    <xf numFmtId="0" fontId="14" fillId="0" borderId="0" xfId="0" applyFont="1" applyAlignment="1">
      <alignment horizontal="center" vertical="center"/>
    </xf>
    <xf numFmtId="2" fontId="92" fillId="9" borderId="0" xfId="0" applyNumberFormat="1" applyFont="1" applyFill="1" applyAlignment="1">
      <alignment vertical="center"/>
    </xf>
    <xf numFmtId="0" fontId="93" fillId="0" borderId="28" xfId="0" applyFont="1" applyBorder="1" applyAlignment="1">
      <alignment horizontal="right" vertical="center"/>
    </xf>
    <xf numFmtId="0" fontId="93" fillId="0" borderId="28" xfId="0" applyFont="1" applyBorder="1" applyAlignment="1">
      <alignment horizontal="center" vertical="center"/>
    </xf>
    <xf numFmtId="3" fontId="12" fillId="0" borderId="31" xfId="0" applyNumberFormat="1" applyFont="1" applyBorder="1" applyAlignment="1">
      <alignment horizontal="center" vertical="center"/>
    </xf>
    <xf numFmtId="3" fontId="14" fillId="0" borderId="0" xfId="0" applyNumberFormat="1" applyFont="1" applyAlignment="1">
      <alignment horizontal="center" vertical="center"/>
    </xf>
    <xf numFmtId="2" fontId="14" fillId="6" borderId="0" xfId="0" applyNumberFormat="1" applyFont="1" applyFill="1" applyAlignment="1">
      <alignment horizontal="center" vertical="center"/>
    </xf>
    <xf numFmtId="2" fontId="12" fillId="9" borderId="0" xfId="0" applyNumberFormat="1" applyFont="1" applyFill="1" applyAlignment="1">
      <alignment horizontal="center" vertical="center"/>
    </xf>
    <xf numFmtId="4" fontId="12" fillId="0" borderId="1" xfId="0" applyNumberFormat="1" applyFont="1" applyBorder="1" applyAlignment="1">
      <alignment vertical="center"/>
    </xf>
    <xf numFmtId="0" fontId="16" fillId="0" borderId="0" xfId="0" applyFont="1" applyAlignment="1">
      <alignment horizontal="right" vertical="center"/>
    </xf>
    <xf numFmtId="2" fontId="16" fillId="9" borderId="0" xfId="0" applyNumberFormat="1" applyFont="1" applyFill="1" applyAlignment="1">
      <alignment vertical="center"/>
    </xf>
    <xf numFmtId="2" fontId="14" fillId="9" borderId="0" xfId="0" applyNumberFormat="1" applyFont="1" applyFill="1" applyAlignment="1">
      <alignment vertical="center"/>
    </xf>
    <xf numFmtId="0" fontId="0" fillId="0" borderId="0" xfId="0" applyAlignment="1">
      <alignment horizontal="right" vertical="center"/>
    </xf>
    <xf numFmtId="2" fontId="0" fillId="0" borderId="0" xfId="0" applyNumberFormat="1" applyAlignment="1">
      <alignment vertical="center"/>
    </xf>
    <xf numFmtId="4" fontId="12" fillId="2" borderId="0" xfId="0" applyNumberFormat="1" applyFont="1" applyFill="1" applyAlignment="1">
      <alignment vertical="center"/>
    </xf>
    <xf numFmtId="0" fontId="12" fillId="2" borderId="0" xfId="0" applyFont="1" applyFill="1" applyAlignment="1">
      <alignment horizontal="right" vertical="center"/>
    </xf>
    <xf numFmtId="4" fontId="17" fillId="2" borderId="1" xfId="0" applyNumberFormat="1" applyFont="1" applyFill="1" applyBorder="1" applyAlignment="1">
      <alignment vertical="center"/>
    </xf>
    <xf numFmtId="2" fontId="12" fillId="26" borderId="1" xfId="0" applyNumberFormat="1" applyFont="1" applyFill="1" applyBorder="1" applyAlignment="1">
      <alignment vertical="center"/>
    </xf>
    <xf numFmtId="0" fontId="3" fillId="22" borderId="3" xfId="0" applyFont="1" applyFill="1" applyBorder="1" applyAlignment="1">
      <alignment horizontal="right" vertical="center" wrapText="1"/>
    </xf>
    <xf numFmtId="0" fontId="73" fillId="0" borderId="0" xfId="0" applyFont="1" applyFill="1"/>
    <xf numFmtId="0" fontId="73" fillId="0" borderId="0" xfId="0" applyFont="1" applyAlignment="1">
      <alignment horizontal="center"/>
    </xf>
    <xf numFmtId="0" fontId="8" fillId="0" borderId="1" xfId="0" applyFont="1" applyBorder="1" applyAlignment="1">
      <alignment horizontal="center" vertical="center"/>
    </xf>
    <xf numFmtId="49" fontId="13" fillId="0" borderId="8" xfId="2" applyNumberFormat="1" applyFont="1" applyFill="1" applyBorder="1" applyAlignment="1">
      <alignment horizontal="center" vertical="center"/>
    </xf>
    <xf numFmtId="0" fontId="62" fillId="0" borderId="1" xfId="0" applyFont="1" applyBorder="1" applyAlignment="1">
      <alignment horizontal="center" vertical="center"/>
    </xf>
    <xf numFmtId="0" fontId="8" fillId="0" borderId="2" xfId="2" applyFont="1" applyFill="1" applyBorder="1" applyAlignment="1">
      <alignment vertical="center" wrapText="1"/>
    </xf>
    <xf numFmtId="0" fontId="44" fillId="0" borderId="2" xfId="2" applyFont="1" applyFill="1" applyBorder="1" applyAlignment="1">
      <alignment vertical="center"/>
    </xf>
    <xf numFmtId="0" fontId="75" fillId="22" borderId="2" xfId="0" applyFont="1" applyFill="1" applyBorder="1" applyAlignment="1">
      <alignment horizontal="right" vertical="center" wrapText="1"/>
    </xf>
    <xf numFmtId="0" fontId="44" fillId="0" borderId="2" xfId="0" applyFont="1" applyBorder="1" applyAlignment="1">
      <alignment horizontal="left" vertical="center"/>
    </xf>
    <xf numFmtId="0" fontId="72" fillId="0" borderId="2" xfId="0" applyFont="1" applyBorder="1" applyAlignment="1">
      <alignment vertical="center" wrapText="1"/>
    </xf>
    <xf numFmtId="0" fontId="8" fillId="0" borderId="1" xfId="2" applyFont="1" applyFill="1" applyBorder="1" applyAlignment="1">
      <alignment horizontal="center" vertical="top"/>
    </xf>
    <xf numFmtId="0" fontId="8" fillId="0" borderId="1" xfId="2" applyFont="1" applyFill="1" applyBorder="1" applyAlignment="1">
      <alignment horizontal="center" vertical="center" wrapText="1"/>
    </xf>
    <xf numFmtId="0" fontId="8" fillId="0" borderId="1" xfId="2" applyFont="1" applyFill="1" applyBorder="1" applyAlignment="1">
      <alignment horizontal="center" vertical="center"/>
    </xf>
    <xf numFmtId="0" fontId="13" fillId="0" borderId="1" xfId="0" applyFont="1" applyBorder="1" applyAlignment="1">
      <alignment horizontal="center" vertical="center"/>
    </xf>
    <xf numFmtId="49" fontId="13" fillId="0" borderId="1" xfId="2" applyNumberFormat="1" applyFont="1" applyFill="1" applyBorder="1" applyAlignment="1">
      <alignment horizontal="center" vertical="center"/>
    </xf>
    <xf numFmtId="0" fontId="8" fillId="0" borderId="2" xfId="2" applyFont="1" applyFill="1" applyBorder="1" applyAlignment="1">
      <alignment vertical="center"/>
    </xf>
    <xf numFmtId="49" fontId="32" fillId="0" borderId="8" xfId="2" applyNumberFormat="1" applyFont="1" applyFill="1" applyBorder="1" applyAlignment="1">
      <alignment horizontal="center" vertical="center"/>
    </xf>
    <xf numFmtId="0" fontId="73" fillId="0" borderId="1" xfId="0" applyFont="1" applyBorder="1"/>
    <xf numFmtId="0" fontId="8" fillId="0" borderId="5" xfId="2" applyFont="1" applyFill="1" applyBorder="1" applyAlignment="1">
      <alignment horizontal="center" vertical="top"/>
    </xf>
    <xf numFmtId="0" fontId="4" fillId="2" borderId="1" xfId="1" applyFont="1" applyFill="1" applyBorder="1" applyAlignment="1">
      <alignment horizontal="center" vertical="center"/>
    </xf>
    <xf numFmtId="0" fontId="12" fillId="2" borderId="1" xfId="0" applyFont="1" applyFill="1" applyBorder="1" applyAlignment="1">
      <alignment horizontal="left" vertical="center" wrapText="1"/>
    </xf>
    <xf numFmtId="0" fontId="12" fillId="0" borderId="1" xfId="5" applyFont="1" applyBorder="1" applyAlignment="1">
      <alignment horizontal="center" vertical="center" wrapText="1"/>
    </xf>
    <xf numFmtId="0" fontId="12" fillId="10" borderId="1" xfId="5" applyFont="1" applyFill="1" applyBorder="1" applyAlignment="1">
      <alignment horizontal="center" vertical="center" wrapText="1"/>
    </xf>
    <xf numFmtId="0" fontId="12" fillId="0" borderId="1" xfId="10" applyFont="1" applyBorder="1" applyAlignment="1">
      <alignment horizontal="center" vertical="center"/>
    </xf>
    <xf numFmtId="0" fontId="14" fillId="0" borderId="1" xfId="10" applyFont="1" applyBorder="1" applyAlignment="1">
      <alignment horizontal="center" vertical="center" wrapText="1"/>
    </xf>
    <xf numFmtId="0" fontId="12" fillId="0" borderId="1" xfId="10" applyFont="1" applyBorder="1" applyAlignment="1">
      <alignment horizontal="center"/>
    </xf>
    <xf numFmtId="0" fontId="44" fillId="0" borderId="1" xfId="0" applyFont="1" applyBorder="1" applyAlignment="1">
      <alignment horizontal="center"/>
    </xf>
    <xf numFmtId="3" fontId="44" fillId="0" borderId="1" xfId="0" applyNumberFormat="1" applyFont="1" applyBorder="1" applyAlignment="1">
      <alignment horizontal="center"/>
    </xf>
    <xf numFmtId="3" fontId="44" fillId="0" borderId="1" xfId="2" applyNumberFormat="1" applyFont="1" applyFill="1" applyBorder="1" applyAlignment="1">
      <alignment horizontal="center"/>
    </xf>
    <xf numFmtId="3" fontId="91" fillId="0" borderId="1" xfId="0" applyNumberFormat="1" applyFont="1" applyBorder="1" applyAlignment="1">
      <alignment horizontal="center"/>
    </xf>
    <xf numFmtId="3" fontId="87" fillId="0" borderId="1" xfId="0" applyNumberFormat="1" applyFont="1" applyBorder="1" applyAlignment="1">
      <alignment horizontal="center"/>
    </xf>
    <xf numFmtId="3" fontId="87" fillId="23" borderId="1" xfId="0" applyNumberFormat="1" applyFont="1" applyFill="1" applyBorder="1" applyAlignment="1">
      <alignment horizontal="center" wrapText="1"/>
    </xf>
    <xf numFmtId="3" fontId="44" fillId="0" borderId="1" xfId="2" applyNumberFormat="1" applyFont="1" applyFill="1" applyBorder="1" applyAlignment="1">
      <alignment horizontal="center" wrapText="1"/>
    </xf>
    <xf numFmtId="3" fontId="5" fillId="23" borderId="1" xfId="0" applyNumberFormat="1" applyFont="1" applyFill="1" applyBorder="1" applyAlignment="1">
      <alignment horizontal="center"/>
    </xf>
    <xf numFmtId="3" fontId="5" fillId="0" borderId="1" xfId="0" applyNumberFormat="1" applyFont="1" applyBorder="1" applyAlignment="1">
      <alignment horizontal="center"/>
    </xf>
    <xf numFmtId="3" fontId="8" fillId="0" borderId="1" xfId="2" applyNumberFormat="1" applyFont="1" applyFill="1" applyBorder="1" applyAlignment="1">
      <alignment horizontal="center"/>
    </xf>
    <xf numFmtId="3" fontId="4" fillId="0" borderId="1" xfId="0" applyNumberFormat="1" applyFont="1" applyBorder="1" applyAlignment="1">
      <alignment horizontal="center"/>
    </xf>
    <xf numFmtId="0" fontId="8" fillId="0" borderId="1" xfId="0" applyFont="1" applyBorder="1" applyAlignment="1">
      <alignment horizontal="center" vertical="center" wrapText="1"/>
    </xf>
    <xf numFmtId="3" fontId="8" fillId="0" borderId="1" xfId="3" applyNumberFormat="1" applyFont="1" applyFill="1" applyBorder="1" applyAlignment="1">
      <alignment horizontal="center" vertical="center" wrapText="1"/>
    </xf>
    <xf numFmtId="3" fontId="8" fillId="0" borderId="1" xfId="3" applyNumberFormat="1" applyFont="1" applyFill="1" applyBorder="1" applyAlignment="1">
      <alignment horizontal="center" wrapText="1"/>
    </xf>
    <xf numFmtId="0" fontId="44" fillId="27" borderId="1" xfId="0" applyFont="1" applyFill="1" applyBorder="1" applyAlignment="1">
      <alignment horizontal="center" wrapText="1"/>
    </xf>
    <xf numFmtId="3" fontId="44" fillId="27" borderId="1" xfId="0" applyNumberFormat="1" applyFont="1" applyFill="1" applyBorder="1" applyAlignment="1">
      <alignment horizontal="center"/>
    </xf>
    <xf numFmtId="0" fontId="17" fillId="27" borderId="1" xfId="8" applyFont="1" applyFill="1" applyBorder="1" applyAlignment="1">
      <alignment horizontal="center" vertical="center" wrapText="1"/>
    </xf>
    <xf numFmtId="2" fontId="12" fillId="27" borderId="1" xfId="0" applyNumberFormat="1" applyFont="1" applyFill="1" applyBorder="1" applyAlignment="1">
      <alignment horizontal="center" vertical="center"/>
    </xf>
    <xf numFmtId="2" fontId="17" fillId="27" borderId="1" xfId="5" applyNumberFormat="1" applyFont="1" applyFill="1" applyBorder="1" applyAlignment="1">
      <alignment horizontal="center" vertical="center"/>
    </xf>
    <xf numFmtId="0" fontId="28" fillId="27" borderId="1" xfId="4" applyFill="1" applyBorder="1" applyAlignment="1">
      <alignment horizontal="center" vertical="center" wrapText="1"/>
    </xf>
    <xf numFmtId="3" fontId="8" fillId="0" borderId="8" xfId="3" applyNumberFormat="1" applyFont="1" applyFill="1" applyBorder="1" applyAlignment="1">
      <alignment horizontal="center" vertical="center" wrapText="1"/>
    </xf>
    <xf numFmtId="0" fontId="8" fillId="0" borderId="1" xfId="3" applyFont="1" applyFill="1" applyBorder="1" applyAlignment="1">
      <alignment horizontal="center" vertical="center" wrapText="1"/>
    </xf>
    <xf numFmtId="0" fontId="25" fillId="27" borderId="1" xfId="1" applyFont="1" applyFill="1" applyBorder="1" applyAlignment="1">
      <alignment wrapText="1"/>
    </xf>
    <xf numFmtId="1" fontId="25" fillId="27" borderId="1" xfId="1" applyNumberFormat="1" applyFont="1" applyFill="1" applyBorder="1" applyAlignment="1">
      <alignment horizontal="center" vertical="center"/>
    </xf>
    <xf numFmtId="0" fontId="8" fillId="0" borderId="8" xfId="2" applyFont="1" applyFill="1" applyBorder="1" applyAlignment="1">
      <alignment horizontal="center"/>
    </xf>
    <xf numFmtId="3" fontId="3" fillId="22" borderId="1" xfId="0" applyNumberFormat="1" applyFont="1" applyFill="1" applyBorder="1" applyAlignment="1">
      <alignment vertical="center" wrapText="1"/>
    </xf>
    <xf numFmtId="0" fontId="74" fillId="22" borderId="3" xfId="0" applyFont="1" applyFill="1" applyBorder="1" applyAlignment="1">
      <alignment horizontal="right" vertical="center" wrapText="1"/>
    </xf>
    <xf numFmtId="0" fontId="4" fillId="22" borderId="1" xfId="0" applyFont="1" applyFill="1" applyBorder="1" applyAlignment="1">
      <alignment vertical="center" wrapText="1"/>
    </xf>
    <xf numFmtId="0" fontId="21" fillId="0" borderId="0" xfId="1" applyFont="1"/>
    <xf numFmtId="0" fontId="53" fillId="0" borderId="0" xfId="1" applyFont="1"/>
    <xf numFmtId="0" fontId="68" fillId="0" borderId="0" xfId="1" applyFont="1"/>
    <xf numFmtId="0" fontId="12" fillId="0" borderId="0" xfId="5" applyFont="1" applyAlignment="1">
      <alignment horizontal="center" vertical="center" wrapText="1"/>
    </xf>
    <xf numFmtId="0" fontId="14" fillId="16" borderId="8" xfId="5" applyFont="1" applyFill="1" applyBorder="1" applyAlignment="1">
      <alignment horizontal="center" vertical="center"/>
    </xf>
    <xf numFmtId="0" fontId="14" fillId="16" borderId="1" xfId="5" applyFont="1" applyFill="1" applyBorder="1" applyAlignment="1">
      <alignment horizontal="center" vertical="center"/>
    </xf>
    <xf numFmtId="165" fontId="17" fillId="0" borderId="1" xfId="7" applyNumberFormat="1" applyFont="1" applyBorder="1" applyAlignment="1" applyProtection="1">
      <alignment horizontal="center" vertical="center" wrapText="1"/>
      <protection locked="0"/>
    </xf>
    <xf numFmtId="49" fontId="17" fillId="0" borderId="1" xfId="2" applyNumberFormat="1" applyFont="1" applyBorder="1" applyAlignment="1">
      <alignment vertical="center" wrapText="1"/>
    </xf>
    <xf numFmtId="2" fontId="17" fillId="2" borderId="1" xfId="5" applyNumberFormat="1" applyFont="1" applyFill="1" applyBorder="1" applyAlignment="1">
      <alignment horizontal="center" vertical="center"/>
    </xf>
    <xf numFmtId="2" fontId="29" fillId="2" borderId="1" xfId="5" applyNumberFormat="1" applyFont="1" applyFill="1" applyBorder="1" applyAlignment="1">
      <alignment horizontal="center" vertical="center"/>
    </xf>
    <xf numFmtId="3" fontId="12" fillId="29" borderId="4" xfId="0" applyNumberFormat="1" applyFont="1" applyFill="1" applyBorder="1" applyAlignment="1">
      <alignment horizontal="center" vertical="center" wrapText="1"/>
    </xf>
    <xf numFmtId="3" fontId="12" fillId="29" borderId="1" xfId="0" applyNumberFormat="1" applyFont="1" applyFill="1" applyBorder="1" applyAlignment="1">
      <alignment horizontal="center" vertical="center" wrapText="1"/>
    </xf>
    <xf numFmtId="0" fontId="38" fillId="2" borderId="1" xfId="0" applyFont="1" applyFill="1" applyBorder="1" applyAlignment="1">
      <alignment horizontal="center" vertical="center" wrapText="1"/>
    </xf>
    <xf numFmtId="2" fontId="17" fillId="0" borderId="1" xfId="2" applyNumberFormat="1" applyFont="1" applyBorder="1" applyAlignment="1">
      <alignment horizontal="center" vertical="center" wrapText="1"/>
    </xf>
    <xf numFmtId="2" fontId="12" fillId="2" borderId="5"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3" fontId="12" fillId="29" borderId="2" xfId="0" applyNumberFormat="1" applyFont="1" applyFill="1" applyBorder="1" applyAlignment="1">
      <alignment horizontal="center" vertical="center" wrapText="1"/>
    </xf>
    <xf numFmtId="0" fontId="12" fillId="2" borderId="24" xfId="0" applyFont="1" applyFill="1" applyBorder="1" applyAlignment="1">
      <alignment horizontal="center" vertical="center"/>
    </xf>
    <xf numFmtId="2" fontId="96" fillId="27" borderId="1" xfId="0" applyNumberFormat="1" applyFont="1" applyFill="1" applyBorder="1" applyAlignment="1">
      <alignment horizontal="center"/>
    </xf>
    <xf numFmtId="2" fontId="14" fillId="6" borderId="5" xfId="0" applyNumberFormat="1" applyFont="1" applyFill="1" applyBorder="1" applyAlignment="1">
      <alignment horizontal="center" vertical="center" wrapText="1"/>
    </xf>
    <xf numFmtId="2" fontId="21" fillId="0" borderId="0" xfId="1" applyNumberFormat="1" applyFont="1" applyFill="1" applyAlignment="1">
      <alignment horizontal="center" vertical="center"/>
    </xf>
    <xf numFmtId="4" fontId="22" fillId="27" borderId="5" xfId="0" applyNumberFormat="1" applyFont="1" applyFill="1" applyBorder="1" applyAlignment="1">
      <alignment horizontal="center" vertical="center"/>
    </xf>
    <xf numFmtId="4" fontId="22" fillId="6" borderId="5" xfId="0" applyNumberFormat="1" applyFont="1" applyFill="1" applyBorder="1" applyAlignment="1">
      <alignment horizontal="center" vertical="center" wrapText="1"/>
    </xf>
    <xf numFmtId="2" fontId="12" fillId="6" borderId="5" xfId="0" applyNumberFormat="1" applyFont="1" applyFill="1" applyBorder="1" applyAlignment="1">
      <alignment horizontal="center" vertical="center" wrapText="1"/>
    </xf>
    <xf numFmtId="0" fontId="22" fillId="2" borderId="0" xfId="3" applyFont="1" applyFill="1" applyAlignment="1">
      <alignment horizontal="left"/>
    </xf>
    <xf numFmtId="0" fontId="12" fillId="0" borderId="1" xfId="5" applyFont="1" applyBorder="1" applyAlignment="1">
      <alignment horizontal="left" vertical="center" wrapText="1"/>
    </xf>
    <xf numFmtId="0" fontId="12" fillId="2" borderId="5" xfId="0" applyFont="1" applyFill="1" applyBorder="1" applyAlignment="1">
      <alignment horizontal="center" vertical="center" wrapText="1"/>
    </xf>
    <xf numFmtId="2" fontId="12" fillId="2" borderId="25"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2" fontId="12" fillId="2" borderId="1" xfId="0" applyNumberFormat="1" applyFont="1" applyFill="1" applyBorder="1" applyAlignment="1">
      <alignment horizontal="center" vertical="center" wrapText="1"/>
    </xf>
    <xf numFmtId="2" fontId="16" fillId="0" borderId="0" xfId="0" applyNumberFormat="1" applyFont="1"/>
    <xf numFmtId="0" fontId="15" fillId="6" borderId="1" xfId="0" applyFont="1" applyFill="1" applyBorder="1"/>
    <xf numFmtId="2" fontId="15" fillId="6" borderId="1" xfId="0" applyNumberFormat="1" applyFont="1" applyFill="1" applyBorder="1" applyAlignment="1">
      <alignment horizontal="center" vertical="center"/>
    </xf>
    <xf numFmtId="0" fontId="0" fillId="6" borderId="0" xfId="0" applyFill="1"/>
    <xf numFmtId="0" fontId="0" fillId="0" borderId="1" xfId="0" applyBorder="1" applyAlignment="1">
      <alignment horizontal="center" vertical="center" wrapText="1"/>
    </xf>
    <xf numFmtId="0" fontId="0" fillId="0" borderId="1" xfId="0" applyBorder="1" applyAlignment="1">
      <alignment horizontal="center" vertical="center"/>
    </xf>
    <xf numFmtId="0" fontId="0" fillId="6" borderId="1" xfId="0" applyFill="1" applyBorder="1" applyAlignment="1">
      <alignment horizontal="center" vertical="center" wrapText="1"/>
    </xf>
    <xf numFmtId="2" fontId="16" fillId="6" borderId="1" xfId="0" applyNumberFormat="1" applyFont="1" applyFill="1" applyBorder="1" applyAlignment="1">
      <alignment horizontal="center" vertical="center"/>
    </xf>
    <xf numFmtId="2" fontId="22" fillId="3" borderId="1" xfId="0" applyNumberFormat="1" applyFont="1" applyFill="1" applyBorder="1"/>
    <xf numFmtId="0" fontId="44" fillId="0" borderId="1" xfId="0" applyFont="1" applyBorder="1" applyAlignment="1">
      <alignment horizontal="center" vertical="center"/>
    </xf>
    <xf numFmtId="0" fontId="41" fillId="0" borderId="0" xfId="0" applyFont="1"/>
    <xf numFmtId="0" fontId="22" fillId="0" borderId="1" xfId="0" applyFont="1" applyBorder="1" applyAlignment="1">
      <alignment horizontal="center" vertical="center"/>
    </xf>
    <xf numFmtId="3" fontId="22" fillId="6" borderId="1" xfId="0" applyNumberFormat="1" applyFont="1" applyFill="1" applyBorder="1" applyAlignment="1">
      <alignment horizontal="center" vertical="center"/>
    </xf>
    <xf numFmtId="0" fontId="1" fillId="0" borderId="0" xfId="10"/>
    <xf numFmtId="0" fontId="22" fillId="0" borderId="0" xfId="10" applyFont="1"/>
    <xf numFmtId="49" fontId="16" fillId="0" borderId="0" xfId="10" applyNumberFormat="1" applyFont="1"/>
    <xf numFmtId="0" fontId="98" fillId="0" borderId="0" xfId="8" applyFont="1"/>
    <xf numFmtId="0" fontId="44" fillId="0" borderId="1" xfId="16" applyFont="1" applyBorder="1" applyAlignment="1">
      <alignment horizontal="center" vertical="center" wrapText="1"/>
    </xf>
    <xf numFmtId="0" fontId="5" fillId="0" borderId="1" xfId="8" applyFont="1" applyBorder="1" applyAlignment="1">
      <alignment horizontal="center" vertical="center" wrapText="1"/>
    </xf>
    <xf numFmtId="0" fontId="2" fillId="2" borderId="1" xfId="8" applyFill="1" applyBorder="1" applyAlignment="1">
      <alignment vertical="center" wrapText="1"/>
    </xf>
    <xf numFmtId="3" fontId="4" fillId="0" borderId="1" xfId="8" applyNumberFormat="1" applyFont="1" applyBorder="1" applyAlignment="1">
      <alignment horizontal="center" vertical="center" wrapText="1"/>
    </xf>
    <xf numFmtId="3" fontId="5" fillId="2" borderId="1" xfId="1" applyNumberFormat="1" applyFont="1" applyFill="1" applyBorder="1" applyAlignment="1">
      <alignment horizontal="center" vertical="center" wrapText="1"/>
    </xf>
    <xf numFmtId="0" fontId="5" fillId="2" borderId="1" xfId="1" applyFont="1" applyFill="1" applyBorder="1" applyAlignment="1">
      <alignment horizontal="center" vertical="center" wrapText="1"/>
    </xf>
    <xf numFmtId="3" fontId="4" fillId="2" borderId="1" xfId="1" applyNumberFormat="1" applyFont="1" applyFill="1" applyBorder="1" applyAlignment="1">
      <alignment horizontal="center" vertical="center"/>
    </xf>
    <xf numFmtId="0" fontId="4" fillId="2" borderId="1" xfId="8" applyFont="1" applyFill="1" applyBorder="1" applyAlignment="1">
      <alignment vertical="center" wrapText="1"/>
    </xf>
    <xf numFmtId="170" fontId="4" fillId="2" borderId="1" xfId="1" applyNumberFormat="1" applyFont="1" applyFill="1" applyBorder="1" applyAlignment="1">
      <alignment horizontal="center" vertical="center"/>
    </xf>
    <xf numFmtId="3" fontId="4" fillId="2" borderId="1" xfId="1" applyNumberFormat="1" applyFont="1" applyFill="1" applyBorder="1" applyAlignment="1">
      <alignment horizontal="center" vertical="center" wrapText="1"/>
    </xf>
    <xf numFmtId="3" fontId="4" fillId="0" borderId="1" xfId="16" applyNumberFormat="1" applyFont="1" applyBorder="1" applyAlignment="1">
      <alignment horizontal="center" vertical="center"/>
    </xf>
    <xf numFmtId="0" fontId="45" fillId="0" borderId="0" xfId="10" applyFont="1"/>
    <xf numFmtId="0" fontId="5" fillId="0" borderId="1" xfId="8" applyFont="1" applyFill="1" applyBorder="1" applyAlignment="1">
      <alignment horizontal="center" vertical="center" wrapText="1"/>
    </xf>
    <xf numFmtId="1" fontId="29" fillId="0" borderId="1" xfId="8" applyNumberFormat="1" applyFont="1" applyFill="1" applyBorder="1" applyAlignment="1">
      <alignment horizontal="center" vertical="center" wrapText="1"/>
    </xf>
    <xf numFmtId="0" fontId="22" fillId="0" borderId="0" xfId="0" applyFont="1" applyBorder="1"/>
    <xf numFmtId="0" fontId="29" fillId="6" borderId="1" xfId="8" applyFont="1" applyFill="1" applyBorder="1" applyAlignment="1">
      <alignment horizontal="right" vertical="center" wrapText="1"/>
    </xf>
    <xf numFmtId="3" fontId="29" fillId="6" borderId="1" xfId="1" applyNumberFormat="1" applyFont="1" applyFill="1" applyBorder="1" applyAlignment="1">
      <alignment horizontal="center" vertical="center"/>
    </xf>
    <xf numFmtId="3" fontId="22" fillId="3" borderId="1" xfId="10" applyNumberFormat="1" applyFont="1" applyFill="1" applyBorder="1" applyAlignment="1">
      <alignment horizontal="center" vertical="center"/>
    </xf>
    <xf numFmtId="0" fontId="44" fillId="0" borderId="1" xfId="10" applyFont="1" applyBorder="1" applyAlignment="1">
      <alignment horizontal="center" vertical="center"/>
    </xf>
    <xf numFmtId="0" fontId="12" fillId="0" borderId="2" xfId="10" applyFont="1" applyBorder="1" applyAlignment="1">
      <alignment horizontal="left"/>
    </xf>
    <xf numFmtId="0" fontId="12" fillId="0" borderId="3" xfId="10" applyFont="1" applyBorder="1" applyAlignment="1">
      <alignment horizontal="left"/>
    </xf>
    <xf numFmtId="0" fontId="95" fillId="0" borderId="0" xfId="10" applyFont="1"/>
    <xf numFmtId="0" fontId="14" fillId="13" borderId="1" xfId="10" applyFont="1" applyFill="1" applyBorder="1" applyAlignment="1">
      <alignment horizontal="center"/>
    </xf>
    <xf numFmtId="0" fontId="67" fillId="0" borderId="0" xfId="10" applyFont="1"/>
    <xf numFmtId="0" fontId="1" fillId="0" borderId="0" xfId="10" applyAlignment="1">
      <alignment horizontal="right"/>
    </xf>
    <xf numFmtId="0" fontId="14" fillId="0" borderId="1" xfId="10" applyFont="1" applyBorder="1" applyAlignment="1">
      <alignment horizontal="center"/>
    </xf>
    <xf numFmtId="49" fontId="12" fillId="0" borderId="0" xfId="10" applyNumberFormat="1" applyFont="1"/>
    <xf numFmtId="1" fontId="12" fillId="0" borderId="1" xfId="10" applyNumberFormat="1" applyFont="1" applyBorder="1" applyAlignment="1">
      <alignment horizontal="center"/>
    </xf>
    <xf numFmtId="0" fontId="45" fillId="0" borderId="0" xfId="10" applyFont="1" applyAlignment="1">
      <alignment horizontal="left" wrapText="1"/>
    </xf>
    <xf numFmtId="0" fontId="45" fillId="0" borderId="10" xfId="10" applyFont="1" applyBorder="1" applyAlignment="1">
      <alignment horizontal="left" wrapText="1"/>
    </xf>
    <xf numFmtId="0" fontId="14" fillId="6" borderId="1" xfId="10" applyFont="1" applyFill="1" applyBorder="1" applyAlignment="1">
      <alignment horizontal="center"/>
    </xf>
    <xf numFmtId="0" fontId="14" fillId="6" borderId="2" xfId="10" applyFont="1" applyFill="1" applyBorder="1" applyAlignment="1">
      <alignment horizontal="left"/>
    </xf>
    <xf numFmtId="0" fontId="12" fillId="6" borderId="2" xfId="10" applyFont="1" applyFill="1" applyBorder="1" applyAlignment="1">
      <alignment horizontal="left"/>
    </xf>
    <xf numFmtId="2" fontId="14" fillId="6" borderId="1" xfId="10" applyNumberFormat="1" applyFont="1" applyFill="1" applyBorder="1" applyAlignment="1">
      <alignment horizontal="center"/>
    </xf>
    <xf numFmtId="2" fontId="22" fillId="3" borderId="1" xfId="10" applyNumberFormat="1" applyFont="1" applyFill="1" applyBorder="1" applyAlignment="1">
      <alignment horizontal="center" vertical="center"/>
    </xf>
    <xf numFmtId="2" fontId="22" fillId="3" borderId="1" xfId="10" applyNumberFormat="1" applyFont="1" applyFill="1" applyBorder="1"/>
    <xf numFmtId="0" fontId="14" fillId="6" borderId="1" xfId="10" applyFont="1" applyFill="1" applyBorder="1" applyAlignment="1">
      <alignment horizontal="right"/>
    </xf>
    <xf numFmtId="4" fontId="20" fillId="3" borderId="1" xfId="1" applyNumberFormat="1" applyFont="1" applyFill="1" applyBorder="1"/>
    <xf numFmtId="4" fontId="22" fillId="3" borderId="1" xfId="0" applyNumberFormat="1" applyFont="1" applyFill="1" applyBorder="1"/>
    <xf numFmtId="2" fontId="11" fillId="6" borderId="5" xfId="0" applyNumberFormat="1" applyFont="1" applyFill="1" applyBorder="1" applyAlignment="1">
      <alignment horizontal="center" vertical="center" wrapText="1"/>
    </xf>
    <xf numFmtId="0" fontId="13" fillId="6" borderId="1" xfId="10" applyFont="1" applyFill="1" applyBorder="1" applyAlignment="1">
      <alignment horizontal="right"/>
    </xf>
    <xf numFmtId="2" fontId="13" fillId="6" borderId="1" xfId="10" applyNumberFormat="1" applyFont="1" applyFill="1" applyBorder="1"/>
    <xf numFmtId="0" fontId="17" fillId="0" borderId="0" xfId="10" applyFont="1"/>
    <xf numFmtId="2" fontId="22" fillId="3" borderId="1" xfId="10" applyNumberFormat="1" applyFont="1" applyFill="1" applyBorder="1" applyAlignment="1">
      <alignment horizontal="center"/>
    </xf>
    <xf numFmtId="0" fontId="22" fillId="2" borderId="8" xfId="3" applyFont="1" applyFill="1" applyBorder="1" applyAlignment="1">
      <alignment horizontal="center" vertical="center"/>
    </xf>
    <xf numFmtId="0" fontId="22" fillId="0" borderId="8" xfId="0" applyFont="1" applyBorder="1" applyAlignment="1">
      <alignment horizontal="center" vertical="center"/>
    </xf>
    <xf numFmtId="3" fontId="4" fillId="22" borderId="1" xfId="0" applyNumberFormat="1" applyFont="1" applyFill="1" applyBorder="1" applyAlignment="1">
      <alignment horizontal="center" vertical="center" wrapText="1"/>
    </xf>
    <xf numFmtId="3" fontId="3" fillId="22" borderId="1" xfId="0" applyNumberFormat="1" applyFont="1" applyFill="1" applyBorder="1" applyAlignment="1">
      <alignment horizontal="center" vertical="center" wrapText="1"/>
    </xf>
    <xf numFmtId="0" fontId="13" fillId="0" borderId="0" xfId="0" applyFont="1" applyFill="1" applyBorder="1"/>
    <xf numFmtId="3" fontId="32" fillId="0" borderId="0" xfId="0" applyNumberFormat="1" applyFont="1"/>
    <xf numFmtId="0" fontId="13" fillId="0" borderId="0" xfId="0" applyFont="1" applyAlignment="1">
      <alignment horizontal="left" vertical="center"/>
    </xf>
    <xf numFmtId="4" fontId="100" fillId="23" borderId="49" xfId="22" applyNumberFormat="1" applyFont="1" applyFill="1" applyBorder="1" applyAlignment="1">
      <alignment horizontal="center" vertical="center" wrapText="1"/>
    </xf>
    <xf numFmtId="4" fontId="100" fillId="16" borderId="63" xfId="22" applyNumberFormat="1" applyFont="1" applyFill="1" applyBorder="1" applyAlignment="1">
      <alignment horizontal="center" vertical="center" wrapText="1"/>
    </xf>
    <xf numFmtId="4" fontId="100" fillId="16" borderId="50" xfId="22" applyNumberFormat="1" applyFont="1" applyFill="1" applyBorder="1" applyAlignment="1">
      <alignment horizontal="center" vertical="center" wrapText="1"/>
    </xf>
    <xf numFmtId="4" fontId="100" fillId="16" borderId="94" xfId="22" applyNumberFormat="1" applyFont="1" applyFill="1" applyBorder="1" applyAlignment="1">
      <alignment horizontal="center" vertical="center" wrapText="1"/>
    </xf>
    <xf numFmtId="3" fontId="100" fillId="16" borderId="56" xfId="22" applyNumberFormat="1" applyFont="1" applyFill="1" applyBorder="1" applyAlignment="1">
      <alignment horizontal="center" vertical="center"/>
    </xf>
    <xf numFmtId="3" fontId="100" fillId="16" borderId="5" xfId="0" applyNumberFormat="1" applyFont="1" applyFill="1" applyBorder="1" applyAlignment="1">
      <alignment horizontal="center" vertical="center"/>
    </xf>
    <xf numFmtId="3" fontId="100" fillId="16" borderId="5" xfId="22" applyNumberFormat="1" applyFont="1" applyFill="1" applyBorder="1" applyAlignment="1">
      <alignment horizontal="center" vertical="center"/>
    </xf>
    <xf numFmtId="3" fontId="100" fillId="16" borderId="57" xfId="22" applyNumberFormat="1" applyFont="1" applyFill="1" applyBorder="1" applyAlignment="1">
      <alignment horizontal="center" vertical="center"/>
    </xf>
    <xf numFmtId="3" fontId="100" fillId="16" borderId="57" xfId="0" applyNumberFormat="1" applyFont="1" applyFill="1" applyBorder="1" applyAlignment="1">
      <alignment horizontal="center" vertical="center"/>
    </xf>
    <xf numFmtId="4" fontId="72" fillId="23" borderId="95" xfId="22" applyNumberFormat="1" applyFont="1" applyFill="1" applyBorder="1" applyAlignment="1">
      <alignment horizontal="left" vertical="center" wrapText="1"/>
    </xf>
    <xf numFmtId="3" fontId="72" fillId="23" borderId="61" xfId="22" applyNumberFormat="1" applyFont="1" applyFill="1" applyBorder="1" applyAlignment="1">
      <alignment horizontal="center" vertical="center"/>
    </xf>
    <xf numFmtId="3" fontId="72" fillId="16" borderId="1" xfId="0" applyNumberFormat="1" applyFont="1" applyFill="1" applyBorder="1" applyAlignment="1">
      <alignment horizontal="center" vertical="center"/>
    </xf>
    <xf numFmtId="3" fontId="72" fillId="23" borderId="1" xfId="22" applyNumberFormat="1" applyFont="1" applyFill="1" applyBorder="1" applyAlignment="1">
      <alignment horizontal="center" vertical="center"/>
    </xf>
    <xf numFmtId="3" fontId="72" fillId="23" borderId="62" xfId="22" applyNumberFormat="1" applyFont="1" applyFill="1" applyBorder="1" applyAlignment="1">
      <alignment horizontal="center" vertical="center"/>
    </xf>
    <xf numFmtId="3" fontId="72" fillId="16" borderId="62" xfId="0" applyNumberFormat="1" applyFont="1" applyFill="1" applyBorder="1" applyAlignment="1">
      <alignment horizontal="center" vertical="center"/>
    </xf>
    <xf numFmtId="4" fontId="72" fillId="23" borderId="96" xfId="22" applyNumberFormat="1" applyFont="1" applyFill="1" applyBorder="1" applyAlignment="1">
      <alignment horizontal="left" vertical="center"/>
    </xf>
    <xf numFmtId="3" fontId="72" fillId="23" borderId="49" xfId="22" applyNumberFormat="1" applyFont="1" applyFill="1" applyBorder="1" applyAlignment="1">
      <alignment horizontal="center" vertical="center"/>
    </xf>
    <xf numFmtId="3" fontId="72" fillId="16" borderId="63" xfId="0" applyNumberFormat="1" applyFont="1" applyFill="1" applyBorder="1" applyAlignment="1">
      <alignment horizontal="center" vertical="center"/>
    </xf>
    <xf numFmtId="3" fontId="72" fillId="23" borderId="63" xfId="22" applyNumberFormat="1" applyFont="1" applyFill="1" applyBorder="1" applyAlignment="1">
      <alignment horizontal="center" vertical="center"/>
    </xf>
    <xf numFmtId="3" fontId="72" fillId="23" borderId="50" xfId="22" applyNumberFormat="1" applyFont="1" applyFill="1" applyBorder="1" applyAlignment="1">
      <alignment horizontal="center" vertical="center"/>
    </xf>
    <xf numFmtId="3" fontId="72" fillId="16" borderId="50" xfId="0" applyNumberFormat="1" applyFont="1" applyFill="1" applyBorder="1" applyAlignment="1">
      <alignment horizontal="center" vertical="center"/>
    </xf>
    <xf numFmtId="0" fontId="8" fillId="0" borderId="0" xfId="10" applyFont="1" applyAlignment="1">
      <alignment horizontal="center" vertical="center" wrapText="1"/>
    </xf>
    <xf numFmtId="0" fontId="22" fillId="0" borderId="1" xfId="2" applyFont="1" applyBorder="1" applyAlignment="1">
      <alignment horizontal="center"/>
    </xf>
    <xf numFmtId="3" fontId="22" fillId="6" borderId="1" xfId="13" applyNumberFormat="1" applyFont="1" applyFill="1" applyBorder="1" applyAlignment="1">
      <alignment horizontal="center"/>
    </xf>
    <xf numFmtId="0" fontId="22" fillId="0" borderId="0" xfId="13" applyFont="1"/>
    <xf numFmtId="3" fontId="0" fillId="0" borderId="1" xfId="0" applyNumberFormat="1" applyBorder="1" applyAlignment="1">
      <alignment horizontal="center" vertical="center"/>
    </xf>
    <xf numFmtId="0" fontId="16" fillId="0" borderId="1" xfId="0" applyFont="1" applyBorder="1" applyAlignment="1">
      <alignment horizontal="center" vertical="center"/>
    </xf>
    <xf numFmtId="3" fontId="15" fillId="6" borderId="43" xfId="0" applyNumberFormat="1" applyFont="1" applyFill="1" applyBorder="1" applyAlignment="1">
      <alignment horizontal="center" vertical="center"/>
    </xf>
    <xf numFmtId="0" fontId="4" fillId="0" borderId="0" xfId="8" applyFont="1" applyBorder="1" applyAlignment="1">
      <alignment horizontal="center" vertical="center" wrapText="1"/>
    </xf>
    <xf numFmtId="0" fontId="12" fillId="0" borderId="1" xfId="5" applyFont="1" applyBorder="1" applyAlignment="1">
      <alignment horizontal="center" vertical="center" wrapText="1"/>
    </xf>
    <xf numFmtId="0" fontId="12" fillId="0" borderId="1" xfId="5" applyFont="1" applyBorder="1" applyAlignment="1">
      <alignment horizontal="center" vertical="center"/>
    </xf>
    <xf numFmtId="0" fontId="12" fillId="0" borderId="8" xfId="5" applyFont="1" applyBorder="1" applyAlignment="1">
      <alignment horizontal="center" vertical="center"/>
    </xf>
    <xf numFmtId="0" fontId="10" fillId="0" borderId="0" xfId="2"/>
    <xf numFmtId="0" fontId="104" fillId="0" borderId="0" xfId="0" applyFont="1"/>
    <xf numFmtId="0" fontId="103" fillId="0" borderId="0" xfId="0" applyFont="1"/>
    <xf numFmtId="2" fontId="17" fillId="26" borderId="1" xfId="5" applyNumberFormat="1" applyFont="1" applyFill="1" applyBorder="1" applyAlignment="1" applyProtection="1">
      <alignment horizontal="center" vertical="center" wrapText="1"/>
      <protection locked="0"/>
    </xf>
    <xf numFmtId="0" fontId="10" fillId="0" borderId="0" xfId="2"/>
    <xf numFmtId="0" fontId="1" fillId="0" borderId="0" xfId="10"/>
    <xf numFmtId="0" fontId="32" fillId="0" borderId="0" xfId="13" applyFont="1"/>
    <xf numFmtId="0" fontId="15" fillId="6" borderId="12" xfId="3" applyFont="1" applyFill="1" applyBorder="1" applyAlignment="1">
      <alignment horizontal="left"/>
    </xf>
    <xf numFmtId="0" fontId="15" fillId="6" borderId="14" xfId="3" applyFont="1" applyFill="1" applyBorder="1" applyAlignment="1">
      <alignment horizontal="left"/>
    </xf>
    <xf numFmtId="3" fontId="15" fillId="6" borderId="15" xfId="3" applyNumberFormat="1" applyFont="1" applyFill="1" applyBorder="1" applyAlignment="1">
      <alignment horizontal="center"/>
    </xf>
    <xf numFmtId="0" fontId="15" fillId="0" borderId="0" xfId="13" applyFont="1"/>
    <xf numFmtId="0" fontId="17" fillId="2" borderId="0" xfId="3" applyFont="1" applyFill="1"/>
    <xf numFmtId="0" fontId="10" fillId="0" borderId="0" xfId="2"/>
    <xf numFmtId="0" fontId="20" fillId="0" borderId="0" xfId="8" applyFont="1"/>
    <xf numFmtId="0" fontId="4" fillId="0" borderId="0" xfId="8" applyFont="1"/>
    <xf numFmtId="0" fontId="10" fillId="0" borderId="0" xfId="2" applyFont="1"/>
    <xf numFmtId="0" fontId="29" fillId="0" borderId="0" xfId="8" applyFont="1"/>
    <xf numFmtId="0" fontId="17" fillId="0" borderId="0" xfId="8" applyFont="1"/>
    <xf numFmtId="0" fontId="17" fillId="6" borderId="14" xfId="3" applyFont="1" applyFill="1" applyBorder="1"/>
    <xf numFmtId="0" fontId="32" fillId="6" borderId="13" xfId="13" applyFont="1" applyFill="1" applyBorder="1"/>
    <xf numFmtId="0" fontId="64" fillId="0" borderId="0" xfId="2" applyFont="1"/>
    <xf numFmtId="0" fontId="6" fillId="0" borderId="0" xfId="8" applyFont="1"/>
    <xf numFmtId="0" fontId="9" fillId="0" borderId="0" xfId="8" applyFont="1"/>
    <xf numFmtId="0" fontId="12" fillId="0" borderId="0" xfId="5" applyFont="1" applyFill="1"/>
    <xf numFmtId="0" fontId="12" fillId="0" borderId="1" xfId="5" applyFont="1" applyFill="1" applyBorder="1" applyAlignment="1">
      <alignment horizontal="center" vertical="center" wrapText="1"/>
    </xf>
    <xf numFmtId="0" fontId="12" fillId="0" borderId="0" xfId="5" applyFont="1" applyFill="1" applyAlignment="1">
      <alignment vertical="center" wrapText="1"/>
    </xf>
    <xf numFmtId="0" fontId="12" fillId="0" borderId="0" xfId="5" applyFont="1" applyFill="1" applyAlignment="1">
      <alignment horizontal="right"/>
    </xf>
    <xf numFmtId="0" fontId="12" fillId="0" borderId="1" xfId="5" applyFont="1" applyFill="1" applyBorder="1"/>
    <xf numFmtId="0" fontId="12" fillId="0" borderId="1" xfId="5" applyFont="1" applyFill="1" applyBorder="1" applyAlignment="1">
      <alignment horizontal="center" vertical="center"/>
    </xf>
    <xf numFmtId="0" fontId="12" fillId="0" borderId="8" xfId="5" applyFont="1" applyFill="1" applyBorder="1" applyAlignment="1">
      <alignment horizontal="center" vertical="center"/>
    </xf>
    <xf numFmtId="0" fontId="12" fillId="5" borderId="8" xfId="5" applyFont="1" applyFill="1" applyBorder="1" applyAlignment="1">
      <alignment horizontal="center" vertical="center"/>
    </xf>
    <xf numFmtId="0" fontId="12" fillId="0" borderId="1" xfId="5" applyFont="1" applyFill="1" applyBorder="1" applyAlignment="1">
      <alignment horizontal="left" vertical="center" wrapText="1"/>
    </xf>
    <xf numFmtId="0" fontId="17" fillId="2" borderId="1" xfId="5" applyFont="1" applyFill="1" applyBorder="1" applyAlignment="1" applyProtection="1">
      <alignment horizontal="center" vertical="center" wrapText="1"/>
      <protection locked="0"/>
    </xf>
    <xf numFmtId="2" fontId="17" fillId="2" borderId="1" xfId="5" applyNumberFormat="1" applyFont="1" applyFill="1" applyBorder="1" applyAlignment="1" applyProtection="1">
      <alignment horizontal="center" vertical="center" wrapText="1"/>
      <protection locked="0"/>
    </xf>
    <xf numFmtId="2" fontId="12" fillId="2" borderId="1" xfId="5" applyNumberFormat="1" applyFont="1" applyFill="1" applyBorder="1" applyAlignment="1">
      <alignment horizontal="center" vertical="center"/>
    </xf>
    <xf numFmtId="2" fontId="17" fillId="2" borderId="2" xfId="5" applyNumberFormat="1" applyFont="1" applyFill="1" applyBorder="1" applyAlignment="1" applyProtection="1">
      <alignment horizontal="center" vertical="center" wrapText="1"/>
      <protection locked="0"/>
    </xf>
    <xf numFmtId="2" fontId="13" fillId="2" borderId="1" xfId="5" applyNumberFormat="1" applyFont="1" applyFill="1" applyBorder="1" applyAlignment="1">
      <alignment horizontal="center" vertical="center"/>
    </xf>
    <xf numFmtId="2" fontId="17" fillId="5" borderId="1" xfId="5" applyNumberFormat="1" applyFont="1" applyFill="1" applyBorder="1" applyAlignment="1" applyProtection="1">
      <alignment horizontal="center" vertical="center" wrapText="1"/>
      <protection locked="0"/>
    </xf>
    <xf numFmtId="0" fontId="12" fillId="0" borderId="0" xfId="2" applyFont="1" applyAlignment="1">
      <alignment horizontal="left" vertical="top" wrapText="1"/>
    </xf>
    <xf numFmtId="0" fontId="12" fillId="0" borderId="0" xfId="2" applyFont="1" applyAlignment="1">
      <alignment vertical="center" wrapText="1"/>
    </xf>
    <xf numFmtId="0" fontId="12" fillId="0" borderId="1" xfId="2" applyFont="1" applyBorder="1" applyAlignment="1">
      <alignment horizontal="center" vertical="center"/>
    </xf>
    <xf numFmtId="0" fontId="12" fillId="0" borderId="1" xfId="2" applyFont="1" applyFill="1" applyBorder="1" applyAlignment="1">
      <alignment horizontal="left" vertical="center" wrapText="1"/>
    </xf>
    <xf numFmtId="2" fontId="17" fillId="0" borderId="1" xfId="5" applyNumberFormat="1" applyFont="1" applyFill="1" applyBorder="1" applyAlignment="1" applyProtection="1">
      <alignment horizontal="center" vertical="center" wrapText="1"/>
      <protection locked="0"/>
    </xf>
    <xf numFmtId="2" fontId="12" fillId="0" borderId="1" xfId="5" applyNumberFormat="1" applyFont="1" applyFill="1" applyBorder="1" applyAlignment="1">
      <alignment horizontal="center" vertical="center"/>
    </xf>
    <xf numFmtId="0" fontId="12" fillId="2" borderId="1" xfId="2" applyFont="1" applyFill="1" applyBorder="1" applyAlignment="1">
      <alignment horizontal="center" vertical="center"/>
    </xf>
    <xf numFmtId="0" fontId="14" fillId="0" borderId="1" xfId="2" applyFont="1" applyFill="1" applyBorder="1" applyAlignment="1">
      <alignment horizontal="right" vertical="center" wrapText="1"/>
    </xf>
    <xf numFmtId="14" fontId="10" fillId="0" borderId="0" xfId="2" applyNumberFormat="1"/>
    <xf numFmtId="0" fontId="12" fillId="0" borderId="1" xfId="2" applyFont="1" applyBorder="1" applyAlignment="1">
      <alignment horizontal="left" vertical="center" wrapText="1"/>
    </xf>
    <xf numFmtId="0" fontId="12" fillId="0" borderId="0" xfId="2" applyFont="1" applyAlignment="1">
      <alignment horizontal="left" vertical="center" wrapText="1"/>
    </xf>
    <xf numFmtId="0" fontId="58" fillId="0" borderId="0" xfId="17" applyFont="1" applyAlignment="1">
      <alignment vertical="center"/>
    </xf>
    <xf numFmtId="0" fontId="12" fillId="0" borderId="0" xfId="17" applyFont="1" applyAlignment="1">
      <alignment vertical="center"/>
    </xf>
    <xf numFmtId="0" fontId="12" fillId="0" borderId="0" xfId="17" applyFont="1" applyAlignment="1">
      <alignment horizontal="center" vertical="center"/>
    </xf>
    <xf numFmtId="0" fontId="22" fillId="19" borderId="1" xfId="17" applyFont="1" applyFill="1" applyBorder="1" applyAlignment="1">
      <alignment vertical="center"/>
    </xf>
    <xf numFmtId="0" fontId="22" fillId="19" borderId="1" xfId="17" applyFont="1" applyFill="1" applyBorder="1" applyAlignment="1">
      <alignment horizontal="center" vertical="center"/>
    </xf>
    <xf numFmtId="0" fontId="12" fillId="19" borderId="1" xfId="17" applyFont="1" applyFill="1" applyBorder="1" applyAlignment="1">
      <alignment vertical="center" wrapText="1"/>
    </xf>
    <xf numFmtId="0" fontId="12" fillId="0" borderId="1" xfId="17" applyFont="1" applyBorder="1" applyAlignment="1">
      <alignment vertical="center" wrapText="1"/>
    </xf>
    <xf numFmtId="2" fontId="12" fillId="0" borderId="1" xfId="17" applyNumberFormat="1" applyFont="1" applyBorder="1" applyAlignment="1">
      <alignment horizontal="center" vertical="center"/>
    </xf>
    <xf numFmtId="2" fontId="12" fillId="2" borderId="1" xfId="17" applyNumberFormat="1" applyFont="1" applyFill="1" applyBorder="1" applyAlignment="1">
      <alignment horizontal="center" vertical="center"/>
    </xf>
    <xf numFmtId="0" fontId="12" fillId="0" borderId="1" xfId="17" applyFont="1" applyBorder="1" applyAlignment="1">
      <alignment horizontal="center" vertical="center"/>
    </xf>
    <xf numFmtId="0" fontId="14" fillId="0" borderId="1" xfId="17" applyFont="1" applyBorder="1" applyAlignment="1">
      <alignment vertical="center" wrapText="1"/>
    </xf>
    <xf numFmtId="2" fontId="14" fillId="2" borderId="5" xfId="17" applyNumberFormat="1" applyFont="1" applyFill="1" applyBorder="1" applyAlignment="1">
      <alignment horizontal="center" vertical="center"/>
    </xf>
    <xf numFmtId="0" fontId="14" fillId="2" borderId="1" xfId="17" applyFont="1" applyFill="1" applyBorder="1" applyAlignment="1">
      <alignment horizontal="left" vertical="center" wrapText="1"/>
    </xf>
    <xf numFmtId="2" fontId="14" fillId="2" borderId="1" xfId="17" applyNumberFormat="1" applyFont="1" applyFill="1" applyBorder="1" applyAlignment="1">
      <alignment horizontal="center" vertical="center"/>
    </xf>
    <xf numFmtId="0" fontId="12" fillId="2" borderId="0" xfId="3" applyFont="1" applyFill="1"/>
    <xf numFmtId="0" fontId="17" fillId="6" borderId="13" xfId="3" applyFont="1" applyFill="1" applyBorder="1"/>
    <xf numFmtId="0" fontId="12" fillId="0" borderId="0" xfId="10" applyFont="1"/>
    <xf numFmtId="1" fontId="14" fillId="15" borderId="1" xfId="5" applyNumberFormat="1" applyFont="1" applyFill="1" applyBorder="1" applyAlignment="1">
      <alignment horizontal="center" vertical="center"/>
    </xf>
    <xf numFmtId="0" fontId="14" fillId="2" borderId="1" xfId="3" applyFont="1" applyFill="1" applyBorder="1" applyAlignment="1">
      <alignment horizontal="center" vertical="center"/>
    </xf>
    <xf numFmtId="49" fontId="17" fillId="2" borderId="2" xfId="5" applyNumberFormat="1" applyFont="1" applyFill="1" applyBorder="1" applyAlignment="1">
      <alignment horizontal="center" vertical="center"/>
    </xf>
    <xf numFmtId="0" fontId="12" fillId="0" borderId="1" xfId="10" applyFont="1" applyBorder="1" applyAlignment="1">
      <alignment horizontal="left" vertical="center" wrapText="1"/>
    </xf>
    <xf numFmtId="2" fontId="14" fillId="15" borderId="1" xfId="5" applyNumberFormat="1" applyFont="1" applyFill="1" applyBorder="1" applyAlignment="1">
      <alignment horizontal="center" vertical="center"/>
    </xf>
    <xf numFmtId="0" fontId="12" fillId="2" borderId="1" xfId="10" applyFont="1" applyFill="1" applyBorder="1" applyAlignment="1">
      <alignment horizontal="center" vertical="center"/>
    </xf>
    <xf numFmtId="2" fontId="12" fillId="2" borderId="1" xfId="3" applyNumberFormat="1" applyFont="1" applyFill="1" applyBorder="1" applyAlignment="1">
      <alignment horizontal="center" vertical="center"/>
    </xf>
    <xf numFmtId="0" fontId="12" fillId="0" borderId="5" xfId="10" applyFont="1" applyBorder="1" applyAlignment="1">
      <alignment vertical="center" wrapText="1"/>
    </xf>
    <xf numFmtId="1" fontId="12" fillId="0" borderId="1" xfId="10" applyNumberFormat="1" applyFont="1" applyBorder="1" applyAlignment="1">
      <alignment horizontal="center" vertical="center"/>
    </xf>
    <xf numFmtId="2" fontId="12" fillId="0" borderId="1" xfId="10" applyNumberFormat="1" applyFont="1" applyBorder="1" applyAlignment="1">
      <alignment horizontal="center" vertical="center"/>
    </xf>
    <xf numFmtId="2" fontId="12" fillId="2" borderId="1" xfId="10" applyNumberFormat="1" applyFont="1" applyFill="1" applyBorder="1" applyAlignment="1">
      <alignment horizontal="center" vertical="center"/>
    </xf>
    <xf numFmtId="0" fontId="12" fillId="2" borderId="1" xfId="3" applyFont="1" applyFill="1" applyBorder="1" applyAlignment="1">
      <alignment horizontal="center" vertical="center"/>
    </xf>
    <xf numFmtId="0" fontId="22" fillId="20" borderId="92" xfId="10" applyFont="1" applyFill="1" applyBorder="1" applyAlignment="1">
      <alignment horizontal="right"/>
    </xf>
    <xf numFmtId="2" fontId="14" fillId="2" borderId="1" xfId="3" applyNumberFormat="1" applyFont="1" applyFill="1" applyBorder="1" applyAlignment="1">
      <alignment horizontal="center" vertical="center"/>
    </xf>
    <xf numFmtId="0" fontId="12" fillId="2" borderId="1" xfId="17" applyFont="1" applyFill="1" applyBorder="1" applyAlignment="1">
      <alignment horizontal="left" vertical="center" wrapText="1"/>
    </xf>
    <xf numFmtId="2" fontId="12" fillId="0" borderId="4" xfId="17" applyNumberFormat="1" applyFont="1" applyBorder="1" applyAlignment="1">
      <alignment horizontal="center" vertical="center"/>
    </xf>
    <xf numFmtId="2" fontId="12" fillId="0" borderId="1" xfId="10" applyNumberFormat="1" applyFont="1" applyFill="1" applyBorder="1" applyAlignment="1">
      <alignment horizontal="center" vertical="center"/>
    </xf>
    <xf numFmtId="0" fontId="8" fillId="0" borderId="0" xfId="10" applyFont="1" applyAlignment="1">
      <alignment horizontal="left" vertical="center" wrapText="1"/>
    </xf>
    <xf numFmtId="2" fontId="17" fillId="16" borderId="1" xfId="5" applyNumberFormat="1" applyFont="1" applyFill="1" applyBorder="1" applyAlignment="1" applyProtection="1">
      <alignment horizontal="center" vertical="center" wrapText="1"/>
      <protection locked="0"/>
    </xf>
    <xf numFmtId="0" fontId="14" fillId="2" borderId="0" xfId="17" applyFont="1" applyFill="1" applyAlignment="1">
      <alignment horizontal="left" vertical="center" wrapText="1"/>
    </xf>
    <xf numFmtId="0" fontId="105" fillId="2" borderId="5" xfId="17" applyFont="1" applyFill="1" applyBorder="1" applyAlignment="1">
      <alignment horizontal="left" vertical="center" wrapText="1"/>
    </xf>
    <xf numFmtId="1" fontId="106" fillId="16" borderId="1" xfId="17" applyNumberFormat="1" applyFont="1" applyFill="1" applyBorder="1" applyAlignment="1"/>
    <xf numFmtId="2" fontId="106" fillId="16" borderId="1" xfId="17" applyNumberFormat="1" applyFont="1" applyFill="1" applyBorder="1" applyAlignment="1">
      <alignment horizontal="center" vertical="center"/>
    </xf>
    <xf numFmtId="0" fontId="14" fillId="0" borderId="1" xfId="10" applyFont="1" applyBorder="1" applyAlignment="1">
      <alignment horizontal="center" vertical="center"/>
    </xf>
    <xf numFmtId="2" fontId="22" fillId="0" borderId="0" xfId="10" applyNumberFormat="1" applyFont="1" applyAlignment="1">
      <alignment horizontal="center" vertical="center"/>
    </xf>
    <xf numFmtId="2" fontId="22" fillId="0" borderId="43" xfId="10" applyNumberFormat="1" applyFont="1" applyFill="1" applyBorder="1" applyAlignment="1">
      <alignment horizontal="center" vertical="center"/>
    </xf>
    <xf numFmtId="2" fontId="22" fillId="5" borderId="1" xfId="10" applyNumberFormat="1" applyFont="1" applyFill="1" applyBorder="1" applyAlignment="1">
      <alignment horizontal="center" vertical="center"/>
    </xf>
    <xf numFmtId="1" fontId="14" fillId="5" borderId="1" xfId="3" applyNumberFormat="1" applyFont="1" applyFill="1" applyBorder="1" applyAlignment="1">
      <alignment horizontal="center" vertical="center"/>
    </xf>
    <xf numFmtId="0" fontId="13" fillId="5" borderId="1" xfId="0" applyFont="1" applyFill="1" applyBorder="1" applyAlignment="1">
      <alignment horizontal="left" vertical="top" wrapText="1"/>
    </xf>
    <xf numFmtId="0" fontId="32" fillId="5" borderId="1" xfId="0" applyFont="1" applyFill="1" applyBorder="1" applyAlignment="1">
      <alignment horizontal="center" vertical="center"/>
    </xf>
    <xf numFmtId="0" fontId="13" fillId="0" borderId="4" xfId="0" applyFont="1" applyBorder="1" applyAlignment="1">
      <alignment horizontal="left" vertical="top" wrapText="1"/>
    </xf>
    <xf numFmtId="0" fontId="32" fillId="0" borderId="4" xfId="0" applyFont="1" applyBorder="1" applyAlignment="1">
      <alignment horizontal="center" vertical="center"/>
    </xf>
    <xf numFmtId="0" fontId="108" fillId="0" borderId="0" xfId="8" applyFont="1"/>
    <xf numFmtId="0" fontId="12" fillId="2" borderId="0" xfId="3" applyFont="1" applyFill="1" applyAlignment="1">
      <alignment horizontal="left"/>
    </xf>
    <xf numFmtId="0" fontId="109" fillId="0" borderId="0" xfId="0" applyFont="1"/>
    <xf numFmtId="0" fontId="13" fillId="2" borderId="0" xfId="3" applyFont="1" applyFill="1" applyAlignment="1">
      <alignment horizontal="left"/>
    </xf>
    <xf numFmtId="3" fontId="13" fillId="6" borderId="1" xfId="0" applyNumberFormat="1" applyFont="1" applyFill="1" applyBorder="1" applyAlignment="1">
      <alignment horizontal="center" vertical="center"/>
    </xf>
    <xf numFmtId="0" fontId="105" fillId="30" borderId="15" xfId="0" applyFont="1" applyFill="1" applyBorder="1" applyAlignment="1">
      <alignment horizontal="center" vertical="center"/>
    </xf>
    <xf numFmtId="0" fontId="113" fillId="30" borderId="13" xfId="0" applyFont="1" applyFill="1" applyBorder="1" applyAlignment="1">
      <alignment horizontal="center" vertical="center" wrapText="1"/>
    </xf>
    <xf numFmtId="0" fontId="113" fillId="12" borderId="92" xfId="0" applyFont="1" applyFill="1" applyBorder="1" applyAlignment="1">
      <alignment horizontal="center" vertical="center"/>
    </xf>
    <xf numFmtId="0" fontId="112" fillId="12" borderId="43" xfId="0" applyFont="1" applyFill="1" applyBorder="1" applyAlignment="1">
      <alignment horizontal="center" vertical="center"/>
    </xf>
    <xf numFmtId="0" fontId="112" fillId="30" borderId="13" xfId="0" applyFont="1" applyFill="1" applyBorder="1" applyAlignment="1">
      <alignment horizontal="center" vertical="center" wrapText="1"/>
    </xf>
    <xf numFmtId="3" fontId="112" fillId="12" borderId="43" xfId="0" applyNumberFormat="1" applyFont="1" applyFill="1" applyBorder="1" applyAlignment="1">
      <alignment horizontal="center" vertical="center" wrapText="1"/>
    </xf>
    <xf numFmtId="0" fontId="32" fillId="0" borderId="0" xfId="0" applyFont="1" applyAlignment="1">
      <alignment horizontal="right"/>
    </xf>
    <xf numFmtId="0" fontId="79" fillId="0" borderId="0" xfId="0" applyFont="1" applyAlignment="1">
      <alignment horizontal="right" vertical="top" wrapText="1"/>
    </xf>
    <xf numFmtId="0" fontId="79" fillId="0" borderId="0" xfId="0" applyFont="1" applyAlignment="1">
      <alignment horizontal="right" vertical="top"/>
    </xf>
    <xf numFmtId="0" fontId="32" fillId="0" borderId="0" xfId="0" applyFont="1" applyBorder="1" applyAlignment="1">
      <alignment horizontal="right" vertical="center" wrapText="1"/>
    </xf>
    <xf numFmtId="0" fontId="32" fillId="0" borderId="0" xfId="0" applyFont="1" applyBorder="1" applyAlignment="1">
      <alignment horizontal="center" vertical="center" wrapText="1"/>
    </xf>
    <xf numFmtId="0" fontId="12" fillId="2" borderId="0" xfId="3" applyFont="1" applyFill="1" applyBorder="1"/>
    <xf numFmtId="0" fontId="32" fillId="0" borderId="0" xfId="0" applyFont="1" applyBorder="1" applyAlignment="1">
      <alignment horizontal="right" vertical="center" wrapText="1"/>
    </xf>
    <xf numFmtId="0" fontId="20" fillId="0" borderId="0" xfId="0" applyFont="1" applyAlignment="1">
      <alignment horizontal="left" vertical="center" wrapText="1"/>
    </xf>
    <xf numFmtId="0" fontId="7" fillId="0" borderId="1" xfId="0" applyFont="1" applyBorder="1" applyAlignment="1">
      <alignment horizontal="right" vertical="center" wrapText="1"/>
    </xf>
    <xf numFmtId="3" fontId="7" fillId="0" borderId="1" xfId="0" applyNumberFormat="1" applyFont="1" applyBorder="1" applyAlignment="1">
      <alignment horizontal="center" vertical="center"/>
    </xf>
    <xf numFmtId="49" fontId="17" fillId="0" borderId="0" xfId="0" applyNumberFormat="1" applyFont="1" applyAlignment="1">
      <alignment vertical="center" wrapText="1"/>
    </xf>
    <xf numFmtId="0" fontId="34" fillId="0" borderId="0" xfId="0" applyFont="1" applyAlignment="1">
      <alignment horizontal="left" vertical="top" wrapText="1"/>
    </xf>
    <xf numFmtId="3" fontId="29" fillId="2" borderId="1" xfId="0" applyNumberFormat="1" applyFont="1" applyFill="1" applyBorder="1" applyAlignment="1">
      <alignment horizontal="center" vertical="center"/>
    </xf>
    <xf numFmtId="49" fontId="29" fillId="0" borderId="0" xfId="0" applyNumberFormat="1" applyFont="1" applyAlignment="1">
      <alignment vertical="center" wrapText="1"/>
    </xf>
    <xf numFmtId="0" fontId="36" fillId="0" borderId="0" xfId="0" applyFont="1" applyAlignment="1">
      <alignment horizontal="left" vertical="top" wrapText="1"/>
    </xf>
    <xf numFmtId="3" fontId="17" fillId="2" borderId="1" xfId="0" applyNumberFormat="1" applyFont="1" applyFill="1" applyBorder="1" applyAlignment="1">
      <alignment horizontal="center" vertical="center"/>
    </xf>
    <xf numFmtId="0" fontId="29" fillId="0" borderId="0" xfId="0" applyFont="1" applyAlignment="1">
      <alignment vertical="center" wrapText="1"/>
    </xf>
    <xf numFmtId="0" fontId="5" fillId="2" borderId="1"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5" fillId="10" borderId="62" xfId="0" applyFont="1" applyFill="1" applyBorder="1" applyAlignment="1">
      <alignment horizontal="center" vertical="center" wrapText="1"/>
    </xf>
    <xf numFmtId="0" fontId="5" fillId="2" borderId="3" xfId="0" applyFont="1" applyFill="1" applyBorder="1" applyAlignment="1">
      <alignment horizontal="center" vertical="center" wrapText="1"/>
    </xf>
    <xf numFmtId="49" fontId="5" fillId="0" borderId="6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10" borderId="24" xfId="0" applyFont="1" applyFill="1" applyBorder="1" applyAlignment="1">
      <alignment horizontal="center" vertical="center" wrapText="1"/>
    </xf>
    <xf numFmtId="0" fontId="5" fillId="0" borderId="56" xfId="0" applyFont="1" applyBorder="1" applyAlignment="1">
      <alignment horizontal="center" vertical="center" wrapText="1"/>
    </xf>
    <xf numFmtId="0" fontId="5" fillId="10" borderId="57"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vertical="center" wrapText="1"/>
    </xf>
    <xf numFmtId="0" fontId="43" fillId="0" borderId="1" xfId="0" applyFont="1" applyBorder="1" applyAlignment="1">
      <alignment horizontal="center" vertical="center" wrapText="1"/>
    </xf>
    <xf numFmtId="3" fontId="5" fillId="2" borderId="1" xfId="0" applyNumberFormat="1" applyFont="1" applyFill="1" applyBorder="1" applyAlignment="1">
      <alignment horizontal="center" vertical="center" wrapText="1"/>
    </xf>
    <xf numFmtId="3" fontId="5" fillId="10" borderId="2" xfId="0" applyNumberFormat="1" applyFont="1" applyFill="1" applyBorder="1" applyAlignment="1">
      <alignment horizontal="center" vertical="center" wrapText="1"/>
    </xf>
    <xf numFmtId="3" fontId="5" fillId="2" borderId="61" xfId="0" applyNumberFormat="1" applyFont="1" applyFill="1" applyBorder="1" applyAlignment="1">
      <alignment horizontal="center" vertical="center" wrapText="1"/>
    </xf>
    <xf numFmtId="3" fontId="5" fillId="10" borderId="62" xfId="0" applyNumberFormat="1" applyFont="1" applyFill="1" applyBorder="1" applyAlignment="1">
      <alignment horizontal="center" vertical="center" wrapText="1"/>
    </xf>
    <xf numFmtId="3" fontId="5" fillId="2" borderId="3" xfId="0" applyNumberFormat="1" applyFont="1" applyFill="1" applyBorder="1" applyAlignment="1">
      <alignment horizontal="center" vertical="center" wrapText="1"/>
    </xf>
    <xf numFmtId="49" fontId="4" fillId="0" borderId="61" xfId="0" applyNumberFormat="1" applyFont="1" applyBorder="1" applyAlignment="1">
      <alignment horizontal="center" vertical="center" wrapText="1"/>
    </xf>
    <xf numFmtId="0" fontId="4" fillId="0" borderId="1" xfId="0" applyFont="1" applyBorder="1" applyAlignment="1">
      <alignment horizontal="right" vertical="center" wrapText="1"/>
    </xf>
    <xf numFmtId="0" fontId="7" fillId="0" borderId="1" xfId="0" applyFont="1" applyBorder="1" applyAlignment="1">
      <alignment horizontal="center" vertical="center" wrapText="1"/>
    </xf>
    <xf numFmtId="3" fontId="4" fillId="0" borderId="1" xfId="0" applyNumberFormat="1" applyFont="1" applyBorder="1" applyAlignment="1">
      <alignment horizontal="center" vertical="center"/>
    </xf>
    <xf numFmtId="3" fontId="4" fillId="10" borderId="2" xfId="0" applyNumberFormat="1" applyFont="1" applyFill="1" applyBorder="1" applyAlignment="1">
      <alignment horizontal="center" vertical="center"/>
    </xf>
    <xf numFmtId="3" fontId="4" fillId="0" borderId="61" xfId="0" applyNumberFormat="1" applyFont="1" applyBorder="1" applyAlignment="1">
      <alignment horizontal="center" vertical="center"/>
    </xf>
    <xf numFmtId="3" fontId="4" fillId="10" borderId="62" xfId="0" applyNumberFormat="1" applyFont="1" applyFill="1" applyBorder="1" applyAlignment="1">
      <alignment horizontal="center" vertical="center"/>
    </xf>
    <xf numFmtId="0" fontId="43" fillId="2" borderId="1" xfId="0" applyFont="1" applyFill="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61"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3" fontId="5" fillId="10" borderId="2" xfId="0" applyNumberFormat="1" applyFont="1" applyFill="1" applyBorder="1" applyAlignment="1">
      <alignment horizontal="center" vertical="center"/>
    </xf>
    <xf numFmtId="3" fontId="5" fillId="10" borderId="62" xfId="0" applyNumberFormat="1" applyFont="1" applyFill="1" applyBorder="1" applyAlignment="1">
      <alignment horizontal="center" vertical="center"/>
    </xf>
    <xf numFmtId="3" fontId="5" fillId="0" borderId="1" xfId="0" applyNumberFormat="1" applyFont="1" applyBorder="1" applyAlignment="1">
      <alignment horizontal="center" vertical="center"/>
    </xf>
    <xf numFmtId="3" fontId="5" fillId="0" borderId="61" xfId="0" applyNumberFormat="1" applyFont="1" applyBorder="1" applyAlignment="1">
      <alignment horizontal="center" vertical="center"/>
    </xf>
    <xf numFmtId="3" fontId="5" fillId="0" borderId="3" xfId="0" applyNumberFormat="1" applyFont="1" applyBorder="1" applyAlignment="1">
      <alignment horizontal="center" vertical="center"/>
    </xf>
    <xf numFmtId="3" fontId="5" fillId="2" borderId="1" xfId="0" applyNumberFormat="1" applyFont="1" applyFill="1" applyBorder="1" applyAlignment="1">
      <alignment horizontal="right" vertical="center"/>
    </xf>
    <xf numFmtId="3" fontId="5" fillId="10" borderId="2" xfId="0" applyNumberFormat="1" applyFont="1" applyFill="1" applyBorder="1" applyAlignment="1">
      <alignment horizontal="right" vertical="center"/>
    </xf>
    <xf numFmtId="3" fontId="5" fillId="2" borderId="61" xfId="0" applyNumberFormat="1" applyFont="1" applyFill="1" applyBorder="1" applyAlignment="1">
      <alignment horizontal="right" vertical="center"/>
    </xf>
    <xf numFmtId="3" fontId="5" fillId="10" borderId="62" xfId="0" applyNumberFormat="1" applyFont="1" applyFill="1" applyBorder="1" applyAlignment="1">
      <alignment horizontal="right" vertical="center"/>
    </xf>
    <xf numFmtId="3" fontId="5" fillId="2" borderId="3" xfId="0" applyNumberFormat="1" applyFont="1" applyFill="1" applyBorder="1" applyAlignment="1">
      <alignment horizontal="center" vertical="center"/>
    </xf>
    <xf numFmtId="0" fontId="43" fillId="0" borderId="63" xfId="0" applyFont="1" applyBorder="1" applyAlignment="1">
      <alignment horizontal="center" vertical="center" wrapText="1"/>
    </xf>
    <xf numFmtId="4" fontId="5" fillId="0" borderId="63" xfId="0" applyNumberFormat="1" applyFont="1" applyBorder="1" applyAlignment="1">
      <alignment horizontal="right" vertical="center" wrapText="1"/>
    </xf>
    <xf numFmtId="4" fontId="5" fillId="10" borderId="97" xfId="0" applyNumberFormat="1" applyFont="1" applyFill="1" applyBorder="1" applyAlignment="1">
      <alignment horizontal="right" vertical="center" wrapText="1"/>
    </xf>
    <xf numFmtId="4" fontId="5" fillId="0" borderId="49" xfId="0" applyNumberFormat="1" applyFont="1" applyBorder="1" applyAlignment="1">
      <alignment horizontal="right" vertical="center" wrapText="1"/>
    </xf>
    <xf numFmtId="4" fontId="5" fillId="10" borderId="50" xfId="0" applyNumberFormat="1" applyFont="1" applyFill="1" applyBorder="1" applyAlignment="1">
      <alignment horizontal="right" vertical="center" wrapText="1"/>
    </xf>
    <xf numFmtId="4" fontId="5" fillId="0" borderId="90" xfId="0" applyNumberFormat="1" applyFont="1" applyBorder="1" applyAlignment="1">
      <alignment horizontal="center" vertical="center" wrapText="1"/>
    </xf>
    <xf numFmtId="49" fontId="5" fillId="0" borderId="49" xfId="0" applyNumberFormat="1" applyFont="1" applyBorder="1" applyAlignment="1">
      <alignment horizontal="center" vertical="center" wrapText="1"/>
    </xf>
    <xf numFmtId="0" fontId="5" fillId="0" borderId="1" xfId="0" applyFont="1" applyBorder="1" applyAlignment="1">
      <alignment horizontal="right" vertical="center" wrapText="1"/>
    </xf>
    <xf numFmtId="0" fontId="20" fillId="0" borderId="0" xfId="0" applyFont="1" applyAlignment="1">
      <alignment horizontal="center" vertical="center" wrapText="1"/>
    </xf>
    <xf numFmtId="3" fontId="115" fillId="10" borderId="62" xfId="0" applyNumberFormat="1" applyFont="1" applyFill="1" applyBorder="1" applyAlignment="1">
      <alignment horizontal="center" vertical="center"/>
    </xf>
    <xf numFmtId="3" fontId="14" fillId="2" borderId="1" xfId="0" applyNumberFormat="1" applyFont="1" applyFill="1" applyBorder="1" applyAlignment="1">
      <alignment horizontal="center" vertical="center"/>
    </xf>
    <xf numFmtId="3" fontId="56" fillId="10" borderId="62" xfId="0" applyNumberFormat="1" applyFont="1" applyFill="1" applyBorder="1" applyAlignment="1">
      <alignment horizontal="center" vertical="center"/>
    </xf>
    <xf numFmtId="3" fontId="8" fillId="0" borderId="1" xfId="0" applyNumberFormat="1" applyFont="1" applyBorder="1" applyAlignment="1">
      <alignment horizontal="center" vertical="center" wrapText="1"/>
    </xf>
    <xf numFmtId="3" fontId="44" fillId="0" borderId="1" xfId="0" applyNumberFormat="1" applyFont="1" applyBorder="1" applyAlignment="1">
      <alignment horizontal="center" vertical="center"/>
    </xf>
    <xf numFmtId="0" fontId="32" fillId="0" borderId="0" xfId="0" applyFont="1" applyBorder="1" applyAlignment="1">
      <alignment horizontal="right" vertical="center" wrapText="1"/>
    </xf>
    <xf numFmtId="0" fontId="34" fillId="0" borderId="0" xfId="0" applyFont="1" applyAlignment="1">
      <alignment horizontal="left" vertical="top" wrapText="1"/>
    </xf>
    <xf numFmtId="0" fontId="20" fillId="0" borderId="0" xfId="0" applyFont="1" applyAlignment="1">
      <alignment horizontal="center" vertical="center" wrapText="1"/>
    </xf>
    <xf numFmtId="0" fontId="5" fillId="2" borderId="95" xfId="0" applyFont="1" applyFill="1" applyBorder="1" applyAlignment="1">
      <alignment horizontal="center" vertical="center" wrapText="1"/>
    </xf>
    <xf numFmtId="0" fontId="5" fillId="0" borderId="95" xfId="0" applyFont="1" applyBorder="1" applyAlignment="1">
      <alignment horizontal="center" vertical="center" wrapText="1"/>
    </xf>
    <xf numFmtId="3" fontId="5" fillId="2" borderId="95" xfId="0" applyNumberFormat="1" applyFont="1" applyFill="1" applyBorder="1" applyAlignment="1">
      <alignment horizontal="center" vertical="center" wrapText="1"/>
    </xf>
    <xf numFmtId="3" fontId="5" fillId="0" borderId="95" xfId="0" applyNumberFormat="1" applyFont="1" applyBorder="1" applyAlignment="1">
      <alignment horizontal="center" vertical="center"/>
    </xf>
    <xf numFmtId="3" fontId="5" fillId="2" borderId="95" xfId="0" applyNumberFormat="1" applyFont="1" applyFill="1" applyBorder="1" applyAlignment="1">
      <alignment horizontal="center" vertical="center"/>
    </xf>
    <xf numFmtId="4" fontId="5" fillId="0" borderId="96" xfId="0" applyNumberFormat="1" applyFont="1" applyBorder="1" applyAlignment="1">
      <alignment horizontal="center" vertical="center" wrapText="1"/>
    </xf>
    <xf numFmtId="0" fontId="0" fillId="0" borderId="0" xfId="0" applyAlignment="1">
      <alignment wrapText="1"/>
    </xf>
    <xf numFmtId="0" fontId="13" fillId="2" borderId="0" xfId="3" applyFont="1" applyFill="1" applyAlignment="1">
      <alignment horizontal="left" wrapText="1"/>
    </xf>
    <xf numFmtId="0" fontId="32" fillId="0" borderId="0" xfId="0" applyFont="1" applyAlignment="1">
      <alignment wrapText="1"/>
    </xf>
    <xf numFmtId="0" fontId="13" fillId="0" borderId="1" xfId="0" applyFont="1" applyBorder="1" applyAlignment="1">
      <alignment horizontal="center" vertical="center" wrapText="1"/>
    </xf>
    <xf numFmtId="0" fontId="73" fillId="0" borderId="0" xfId="0" applyFont="1" applyAlignment="1">
      <alignment wrapText="1"/>
    </xf>
    <xf numFmtId="49" fontId="17" fillId="0" borderId="0" xfId="0" applyNumberFormat="1" applyFont="1" applyAlignment="1">
      <alignment horizontal="right" vertical="top" wrapText="1"/>
    </xf>
    <xf numFmtId="0" fontId="17" fillId="0" borderId="0" xfId="0" applyFont="1" applyAlignment="1">
      <alignment vertical="top"/>
    </xf>
    <xf numFmtId="0" fontId="34" fillId="0" borderId="0" xfId="0" applyFont="1" applyAlignment="1"/>
    <xf numFmtId="3" fontId="73" fillId="0" borderId="0" xfId="0" applyNumberFormat="1" applyFont="1"/>
    <xf numFmtId="0" fontId="41" fillId="0" borderId="0" xfId="0" applyFont="1" applyAlignment="1">
      <alignment vertical="center" wrapText="1"/>
    </xf>
    <xf numFmtId="0" fontId="8" fillId="0" borderId="0" xfId="0" applyFont="1" applyAlignment="1">
      <alignment horizontal="center" vertical="center" wrapText="1"/>
    </xf>
    <xf numFmtId="0" fontId="41" fillId="0" borderId="0" xfId="0" applyFont="1" applyAlignment="1">
      <alignment horizontal="right" vertical="center" wrapText="1"/>
    </xf>
    <xf numFmtId="0" fontId="32" fillId="0" borderId="11" xfId="0" applyFont="1" applyBorder="1" applyAlignment="1">
      <alignment horizontal="right" vertical="center" wrapText="1"/>
    </xf>
    <xf numFmtId="0" fontId="32" fillId="0" borderId="0" xfId="0" applyFont="1" applyAlignment="1">
      <alignment horizontal="right"/>
    </xf>
    <xf numFmtId="0" fontId="8" fillId="0" borderId="8" xfId="2" applyFont="1" applyFill="1" applyBorder="1" applyAlignment="1">
      <alignment horizontal="center" vertical="top"/>
    </xf>
    <xf numFmtId="0" fontId="8" fillId="0" borderId="5" xfId="2" applyFont="1" applyFill="1" applyBorder="1" applyAlignment="1">
      <alignment horizontal="center" vertical="top"/>
    </xf>
    <xf numFmtId="0" fontId="3" fillId="21" borderId="8" xfId="1" applyFont="1" applyFill="1" applyBorder="1" applyAlignment="1">
      <alignment horizontal="center" vertical="center" wrapText="1"/>
    </xf>
    <xf numFmtId="0" fontId="25" fillId="21" borderId="5" xfId="1" applyFont="1" applyFill="1" applyBorder="1" applyAlignment="1">
      <alignment horizontal="center" vertical="center" wrapText="1"/>
    </xf>
    <xf numFmtId="0" fontId="3" fillId="21" borderId="5" xfId="1" applyFont="1" applyFill="1" applyBorder="1" applyAlignment="1">
      <alignment horizontal="center" vertical="center" wrapText="1"/>
    </xf>
    <xf numFmtId="0" fontId="3" fillId="21" borderId="2" xfId="1" applyFont="1" applyFill="1" applyBorder="1" applyAlignment="1">
      <alignment horizontal="center" vertical="center" wrapText="1"/>
    </xf>
    <xf numFmtId="0" fontId="25" fillId="21" borderId="3" xfId="1" applyFont="1" applyFill="1" applyBorder="1" applyAlignment="1">
      <alignment horizontal="center" vertical="center" wrapText="1"/>
    </xf>
    <xf numFmtId="0" fontId="25" fillId="21" borderId="4" xfId="1" applyFont="1" applyFill="1" applyBorder="1" applyAlignment="1">
      <alignment horizontal="center" vertical="center" wrapText="1"/>
    </xf>
    <xf numFmtId="0" fontId="62" fillId="0" borderId="8" xfId="0" applyFont="1" applyBorder="1" applyAlignment="1">
      <alignment horizontal="center" vertical="center"/>
    </xf>
    <xf numFmtId="0" fontId="62" fillId="0" borderId="5" xfId="0" applyFont="1" applyBorder="1" applyAlignment="1">
      <alignment horizontal="center" vertical="center"/>
    </xf>
    <xf numFmtId="0" fontId="8" fillId="0" borderId="23" xfId="2" applyFont="1" applyFill="1" applyBorder="1" applyAlignment="1">
      <alignment horizontal="left" vertical="center" wrapText="1"/>
    </xf>
    <xf numFmtId="0" fontId="8" fillId="0" borderId="24" xfId="2" applyFont="1" applyFill="1" applyBorder="1" applyAlignment="1">
      <alignment horizontal="left" vertical="center" wrapText="1"/>
    </xf>
    <xf numFmtId="0" fontId="8" fillId="0" borderId="8" xfId="2" applyFont="1" applyFill="1" applyBorder="1" applyAlignment="1">
      <alignment horizontal="center" vertical="center" wrapText="1"/>
    </xf>
    <xf numFmtId="0" fontId="8" fillId="0" borderId="7" xfId="2" applyFont="1" applyFill="1" applyBorder="1" applyAlignment="1">
      <alignment horizontal="center" vertical="center" wrapText="1"/>
    </xf>
    <xf numFmtId="0" fontId="8" fillId="0" borderId="5" xfId="2" applyFont="1" applyFill="1" applyBorder="1" applyAlignment="1">
      <alignment horizontal="center" vertical="center" wrapText="1"/>
    </xf>
    <xf numFmtId="0" fontId="3" fillId="21" borderId="23" xfId="1" applyFont="1" applyFill="1" applyBorder="1" applyAlignment="1">
      <alignment horizontal="center" vertical="center" wrapText="1"/>
    </xf>
    <xf numFmtId="0" fontId="3" fillId="21" borderId="6" xfId="1" applyFont="1" applyFill="1" applyBorder="1" applyAlignment="1">
      <alignment horizontal="center" vertical="center" wrapText="1"/>
    </xf>
    <xf numFmtId="0" fontId="3" fillId="21" borderId="9" xfId="1" applyFont="1" applyFill="1" applyBorder="1" applyAlignment="1">
      <alignment horizontal="center" vertical="center" wrapText="1"/>
    </xf>
    <xf numFmtId="0" fontId="3" fillId="21" borderId="24" xfId="1" applyFont="1" applyFill="1" applyBorder="1" applyAlignment="1">
      <alignment horizontal="center" vertical="center" wrapText="1"/>
    </xf>
    <xf numFmtId="0" fontId="3" fillId="21" borderId="11" xfId="1" applyFont="1" applyFill="1" applyBorder="1" applyAlignment="1">
      <alignment horizontal="center" vertical="center" wrapText="1"/>
    </xf>
    <xf numFmtId="0" fontId="3" fillId="21" borderId="25" xfId="1" applyFont="1" applyFill="1" applyBorder="1" applyAlignment="1">
      <alignment horizontal="center" vertical="center" wrapText="1"/>
    </xf>
    <xf numFmtId="0" fontId="77" fillId="0" borderId="0" xfId="0" applyFont="1" applyAlignment="1">
      <alignment horizontal="left" vertical="top" wrapText="1"/>
    </xf>
    <xf numFmtId="0" fontId="80" fillId="0" borderId="0" xfId="0" applyFont="1" applyAlignment="1">
      <alignment horizontal="left" vertical="top" wrapText="1"/>
    </xf>
    <xf numFmtId="0" fontId="32" fillId="0" borderId="0" xfId="0" applyFont="1" applyBorder="1" applyAlignment="1">
      <alignment horizontal="right" vertical="center" wrapText="1"/>
    </xf>
    <xf numFmtId="0" fontId="76" fillId="0" borderId="8" xfId="0" applyFont="1" applyBorder="1" applyAlignment="1">
      <alignment horizontal="center" wrapText="1"/>
    </xf>
    <xf numFmtId="0" fontId="76" fillId="0" borderId="5" xfId="0" applyFont="1" applyBorder="1" applyAlignment="1">
      <alignment horizontal="center" wrapText="1"/>
    </xf>
    <xf numFmtId="0" fontId="14" fillId="0" borderId="0" xfId="0" applyFont="1" applyAlignment="1">
      <alignment horizontal="right" wrapText="1"/>
    </xf>
    <xf numFmtId="0" fontId="13" fillId="0" borderId="0" xfId="0" applyFont="1" applyAlignment="1">
      <alignment horizontal="center" vertical="center" wrapText="1"/>
    </xf>
    <xf numFmtId="0" fontId="82" fillId="0" borderId="0" xfId="0" applyFont="1" applyAlignment="1">
      <alignment horizontal="right"/>
    </xf>
    <xf numFmtId="4" fontId="82" fillId="0" borderId="0" xfId="0" applyNumberFormat="1" applyFont="1" applyAlignment="1">
      <alignment horizontal="right"/>
    </xf>
    <xf numFmtId="0" fontId="82" fillId="0" borderId="0" xfId="0" applyFont="1" applyAlignment="1">
      <alignment horizontal="right" vertical="center"/>
    </xf>
    <xf numFmtId="0" fontId="89" fillId="0" borderId="0" xfId="0" applyFont="1" applyAlignment="1">
      <alignment horizontal="right" vertical="center"/>
    </xf>
    <xf numFmtId="0" fontId="79" fillId="0" borderId="0" xfId="0" applyFont="1" applyAlignment="1">
      <alignment horizontal="right"/>
    </xf>
    <xf numFmtId="4" fontId="79" fillId="0" borderId="0" xfId="0" applyNumberFormat="1" applyFont="1" applyAlignment="1">
      <alignment horizontal="right"/>
    </xf>
    <xf numFmtId="0" fontId="82" fillId="0" borderId="89" xfId="0" applyFont="1" applyBorder="1" applyAlignment="1">
      <alignment horizontal="center" vertical="center" wrapText="1"/>
    </xf>
    <xf numFmtId="0" fontId="82" fillId="0" borderId="90" xfId="0" applyFont="1" applyBorder="1" applyAlignment="1">
      <alignment horizontal="center" vertical="center" wrapText="1"/>
    </xf>
    <xf numFmtId="0" fontId="82" fillId="0" borderId="91" xfId="0" applyFont="1" applyBorder="1" applyAlignment="1">
      <alignment horizontal="center" vertical="center" wrapText="1"/>
    </xf>
    <xf numFmtId="0" fontId="5" fillId="25" borderId="14" xfId="0" applyFont="1" applyFill="1" applyBorder="1" applyAlignment="1">
      <alignment horizontal="right" vertical="center" wrapText="1"/>
    </xf>
    <xf numFmtId="4" fontId="4" fillId="25" borderId="12" xfId="0" applyNumberFormat="1" applyFont="1" applyFill="1" applyBorder="1" applyAlignment="1">
      <alignment horizontal="center" vertical="center" wrapText="1"/>
    </xf>
    <xf numFmtId="4" fontId="4" fillId="25" borderId="74" xfId="0" applyNumberFormat="1" applyFont="1" applyFill="1" applyBorder="1" applyAlignment="1">
      <alignment horizontal="center" vertical="center" wrapText="1"/>
    </xf>
    <xf numFmtId="4" fontId="5" fillId="25" borderId="73" xfId="0" applyNumberFormat="1" applyFont="1" applyFill="1" applyBorder="1" applyAlignment="1">
      <alignment horizontal="right" vertical="center" wrapText="1"/>
    </xf>
    <xf numFmtId="4" fontId="5" fillId="25" borderId="13" xfId="0" applyNumberFormat="1" applyFont="1" applyFill="1" applyBorder="1" applyAlignment="1">
      <alignment horizontal="right" vertical="center" wrapText="1"/>
    </xf>
    <xf numFmtId="0" fontId="79" fillId="0" borderId="37" xfId="0" applyFont="1" applyBorder="1" applyAlignment="1">
      <alignment horizontal="left"/>
    </xf>
    <xf numFmtId="4" fontId="82" fillId="0" borderId="0" xfId="0" applyNumberFormat="1" applyFont="1" applyAlignment="1">
      <alignment horizontal="left" vertical="center"/>
    </xf>
    <xf numFmtId="0" fontId="82" fillId="0" borderId="0" xfId="0" applyFont="1" applyAlignment="1">
      <alignment horizontal="left" vertical="center"/>
    </xf>
    <xf numFmtId="0" fontId="82" fillId="17" borderId="14" xfId="0" applyFont="1" applyFill="1" applyBorder="1" applyAlignment="1">
      <alignment horizontal="left" vertical="center" wrapText="1"/>
    </xf>
    <xf numFmtId="4" fontId="79" fillId="17" borderId="12" xfId="0" applyNumberFormat="1" applyFont="1" applyFill="1" applyBorder="1" applyAlignment="1">
      <alignment horizontal="center" vertical="center" wrapText="1"/>
    </xf>
    <xf numFmtId="4" fontId="79" fillId="17" borderId="14" xfId="0" applyNumberFormat="1" applyFont="1" applyFill="1" applyBorder="1" applyAlignment="1">
      <alignment horizontal="center" vertical="center" wrapText="1"/>
    </xf>
    <xf numFmtId="4" fontId="79" fillId="17" borderId="74" xfId="0" applyNumberFormat="1" applyFont="1" applyFill="1" applyBorder="1" applyAlignment="1">
      <alignment horizontal="center" vertical="center" wrapText="1"/>
    </xf>
    <xf numFmtId="0" fontId="79" fillId="0" borderId="0" xfId="0" applyFont="1" applyAlignment="1">
      <alignment horizontal="center" vertical="center" wrapText="1"/>
    </xf>
    <xf numFmtId="0" fontId="82" fillId="0" borderId="42" xfId="0" applyFont="1" applyBorder="1" applyAlignment="1">
      <alignment horizontal="left" wrapText="1"/>
    </xf>
    <xf numFmtId="0" fontId="79" fillId="0" borderId="51" xfId="0" applyFont="1" applyBorder="1" applyAlignment="1">
      <alignment horizontal="center" vertical="center" wrapText="1"/>
    </xf>
    <xf numFmtId="0" fontId="79" fillId="0" borderId="55" xfId="0" applyFont="1" applyBorder="1" applyAlignment="1">
      <alignment horizontal="center" vertical="center" wrapText="1"/>
    </xf>
    <xf numFmtId="0" fontId="79" fillId="0" borderId="58" xfId="0" applyFont="1" applyBorder="1" applyAlignment="1">
      <alignment horizontal="center" vertical="center" wrapText="1"/>
    </xf>
    <xf numFmtId="0" fontId="82" fillId="0" borderId="53" xfId="0" applyFont="1" applyBorder="1" applyAlignment="1">
      <alignment horizontal="center" wrapText="1"/>
    </xf>
    <xf numFmtId="0" fontId="82" fillId="0" borderId="37" xfId="0" applyFont="1" applyBorder="1" applyAlignment="1">
      <alignment horizontal="center" wrapText="1"/>
    </xf>
    <xf numFmtId="0" fontId="82" fillId="0" borderId="10" xfId="0" applyFont="1" applyBorder="1" applyAlignment="1">
      <alignment horizontal="center" wrapText="1"/>
    </xf>
    <xf numFmtId="0" fontId="82" fillId="0" borderId="0" xfId="0" applyFont="1" applyAlignment="1">
      <alignment horizontal="center" wrapText="1"/>
    </xf>
    <xf numFmtId="0" fontId="82" fillId="0" borderId="60" xfId="0" applyFont="1" applyBorder="1" applyAlignment="1">
      <alignment horizontal="center" wrapText="1"/>
    </xf>
    <xf numFmtId="0" fontId="82" fillId="0" borderId="42" xfId="0" applyFont="1" applyBorder="1" applyAlignment="1">
      <alignment horizontal="center" wrapText="1"/>
    </xf>
    <xf numFmtId="0" fontId="82" fillId="0" borderId="36" xfId="0" applyFont="1" applyBorder="1" applyAlignment="1">
      <alignment horizontal="center" vertical="center" wrapText="1"/>
    </xf>
    <xf numFmtId="0" fontId="82" fillId="0" borderId="64" xfId="0" applyFont="1" applyBorder="1" applyAlignment="1">
      <alignment horizontal="center" vertical="center" wrapText="1"/>
    </xf>
    <xf numFmtId="0" fontId="82" fillId="0" borderId="39" xfId="0" applyFont="1" applyBorder="1" applyAlignment="1">
      <alignment horizontal="center" vertical="center" wrapText="1"/>
    </xf>
    <xf numFmtId="0" fontId="82" fillId="0" borderId="32" xfId="0" applyFont="1" applyBorder="1" applyAlignment="1">
      <alignment horizontal="center" vertical="center" wrapText="1"/>
    </xf>
    <xf numFmtId="0" fontId="82" fillId="0" borderId="53" xfId="0" applyFont="1" applyBorder="1" applyAlignment="1">
      <alignment horizontal="center" vertical="center" wrapText="1"/>
    </xf>
    <xf numFmtId="0" fontId="82" fillId="0" borderId="38" xfId="0" applyFont="1" applyBorder="1" applyAlignment="1">
      <alignment horizontal="center" vertical="center" wrapText="1"/>
    </xf>
    <xf numFmtId="0" fontId="82" fillId="0" borderId="24" xfId="0" applyFont="1" applyBorder="1" applyAlignment="1">
      <alignment horizontal="center" vertical="center" wrapText="1"/>
    </xf>
    <xf numFmtId="0" fontId="82" fillId="0" borderId="82" xfId="0" applyFont="1" applyBorder="1" applyAlignment="1">
      <alignment horizontal="center" vertical="center" wrapText="1"/>
    </xf>
    <xf numFmtId="0" fontId="82" fillId="0" borderId="85" xfId="0" applyFont="1" applyBorder="1" applyAlignment="1">
      <alignment horizontal="center" wrapText="1"/>
    </xf>
    <xf numFmtId="0" fontId="82" fillId="0" borderId="88" xfId="0" applyFont="1" applyBorder="1" applyAlignment="1">
      <alignment horizontal="center" wrapText="1"/>
    </xf>
    <xf numFmtId="0" fontId="82" fillId="0" borderId="92" xfId="0" applyFont="1" applyBorder="1" applyAlignment="1">
      <alignment horizontal="center" wrapText="1"/>
    </xf>
    <xf numFmtId="4" fontId="79" fillId="0" borderId="0" xfId="0" applyNumberFormat="1" applyFont="1" applyAlignment="1">
      <alignment horizontal="center" vertical="center" wrapText="1"/>
    </xf>
    <xf numFmtId="0" fontId="82" fillId="0" borderId="36" xfId="0" applyFont="1" applyBorder="1" applyAlignment="1">
      <alignment horizontal="center" wrapText="1"/>
    </xf>
    <xf numFmtId="0" fontId="82" fillId="0" borderId="64" xfId="0" applyFont="1" applyBorder="1" applyAlignment="1">
      <alignment horizontal="center" wrapText="1"/>
    </xf>
    <xf numFmtId="0" fontId="82" fillId="0" borderId="86" xfId="0" applyFont="1" applyBorder="1" applyAlignment="1">
      <alignment horizontal="center" wrapText="1"/>
    </xf>
    <xf numFmtId="0" fontId="82" fillId="0" borderId="11" xfId="0" applyFont="1" applyBorder="1" applyAlignment="1">
      <alignment horizontal="center" wrapText="1"/>
    </xf>
    <xf numFmtId="0" fontId="82" fillId="0" borderId="25" xfId="0" applyFont="1" applyBorder="1" applyAlignment="1">
      <alignment horizontal="center" wrapText="1"/>
    </xf>
    <xf numFmtId="0" fontId="82" fillId="0" borderId="54" xfId="0" applyFont="1" applyBorder="1" applyAlignment="1">
      <alignment horizontal="center" wrapText="1"/>
    </xf>
    <xf numFmtId="0" fontId="82" fillId="0" borderId="87" xfId="0" applyFont="1" applyBorder="1" applyAlignment="1">
      <alignment horizontal="center" wrapText="1"/>
    </xf>
    <xf numFmtId="0" fontId="82" fillId="0" borderId="38" xfId="0" applyFont="1" applyBorder="1" applyAlignment="1">
      <alignment horizontal="center" wrapText="1"/>
    </xf>
    <xf numFmtId="0" fontId="82" fillId="0" borderId="40" xfId="0" applyFont="1" applyBorder="1" applyAlignment="1">
      <alignment horizontal="center" wrapText="1"/>
    </xf>
    <xf numFmtId="0" fontId="82" fillId="0" borderId="43" xfId="0" applyFont="1" applyBorder="1" applyAlignment="1">
      <alignment horizontal="center" wrapText="1"/>
    </xf>
    <xf numFmtId="0" fontId="82" fillId="0" borderId="89" xfId="0" applyFont="1" applyBorder="1" applyAlignment="1">
      <alignment horizontal="center" wrapText="1"/>
    </xf>
    <xf numFmtId="0" fontId="82" fillId="0" borderId="90" xfId="0" applyFont="1" applyBorder="1" applyAlignment="1">
      <alignment horizontal="center" wrapText="1"/>
    </xf>
    <xf numFmtId="0" fontId="82" fillId="0" borderId="91" xfId="0" applyFont="1" applyBorder="1" applyAlignment="1">
      <alignment horizontal="center" wrapText="1"/>
    </xf>
    <xf numFmtId="4" fontId="83" fillId="0" borderId="60" xfId="0" applyNumberFormat="1" applyFont="1" applyBorder="1" applyAlignment="1">
      <alignment horizontal="center" vertical="center"/>
    </xf>
    <xf numFmtId="4" fontId="83" fillId="0" borderId="83" xfId="0" applyNumberFormat="1" applyFont="1" applyBorder="1" applyAlignment="1">
      <alignment horizontal="center" vertical="center"/>
    </xf>
    <xf numFmtId="0" fontId="81" fillId="0" borderId="37" xfId="0" applyFont="1" applyBorder="1" applyAlignment="1">
      <alignment horizontal="left" vertical="top" wrapText="1"/>
    </xf>
    <xf numFmtId="0" fontId="81" fillId="0" borderId="0" xfId="0" applyFont="1" applyAlignment="1">
      <alignment horizontal="left" vertical="top" wrapText="1"/>
    </xf>
    <xf numFmtId="4" fontId="83" fillId="0" borderId="2" xfId="0" applyNumberFormat="1" applyFont="1" applyBorder="1" applyAlignment="1">
      <alignment horizontal="center" vertical="center"/>
    </xf>
    <xf numFmtId="4" fontId="83" fillId="0" borderId="4" xfId="0" applyNumberFormat="1" applyFont="1" applyBorder="1" applyAlignment="1">
      <alignment horizontal="center" vertical="center"/>
    </xf>
    <xf numFmtId="0" fontId="79" fillId="24" borderId="2" xfId="0" applyFont="1" applyFill="1" applyBorder="1" applyAlignment="1">
      <alignment horizontal="left" vertical="center" wrapText="1"/>
    </xf>
    <xf numFmtId="0" fontId="79" fillId="24" borderId="3" xfId="0" applyFont="1" applyFill="1" applyBorder="1" applyAlignment="1">
      <alignment horizontal="left" vertical="center" wrapText="1"/>
    </xf>
    <xf numFmtId="4" fontId="79" fillId="24" borderId="2" xfId="0" applyNumberFormat="1" applyFont="1" applyFill="1" applyBorder="1" applyAlignment="1">
      <alignment horizontal="center" vertical="center"/>
    </xf>
    <xf numFmtId="4" fontId="79" fillId="24" borderId="4" xfId="0" applyNumberFormat="1" applyFont="1" applyFill="1" applyBorder="1" applyAlignment="1">
      <alignment horizontal="center" vertical="center"/>
    </xf>
    <xf numFmtId="4" fontId="86" fillId="0" borderId="2" xfId="0" applyNumberFormat="1" applyFont="1" applyBorder="1" applyAlignment="1">
      <alignment horizontal="center" vertical="center"/>
    </xf>
    <xf numFmtId="4" fontId="86" fillId="0" borderId="4" xfId="0" applyNumberFormat="1" applyFont="1" applyBorder="1" applyAlignment="1">
      <alignment horizontal="center" vertical="center"/>
    </xf>
    <xf numFmtId="0" fontId="82" fillId="17" borderId="73" xfId="0" applyFont="1" applyFill="1" applyBorder="1" applyAlignment="1">
      <alignment horizontal="left" wrapText="1"/>
    </xf>
    <xf numFmtId="0" fontId="82" fillId="17" borderId="14" xfId="0" applyFont="1" applyFill="1" applyBorder="1" applyAlignment="1">
      <alignment horizontal="left" wrapText="1"/>
    </xf>
    <xf numFmtId="4" fontId="79" fillId="17" borderId="73" xfId="0" applyNumberFormat="1" applyFont="1" applyFill="1" applyBorder="1" applyAlignment="1">
      <alignment horizontal="center" wrapText="1"/>
    </xf>
    <xf numFmtId="4" fontId="79" fillId="17" borderId="74" xfId="0" applyNumberFormat="1" applyFont="1" applyFill="1" applyBorder="1" applyAlignment="1">
      <alignment horizontal="center" wrapText="1"/>
    </xf>
    <xf numFmtId="0" fontId="79" fillId="24" borderId="76" xfId="0" applyFont="1" applyFill="1" applyBorder="1" applyAlignment="1">
      <alignment horizontal="left" vertical="center" wrapText="1"/>
    </xf>
    <xf numFmtId="0" fontId="79" fillId="24" borderId="77" xfId="0" applyFont="1" applyFill="1" applyBorder="1" applyAlignment="1">
      <alignment horizontal="left" vertical="center" wrapText="1"/>
    </xf>
    <xf numFmtId="4" fontId="79" fillId="24" borderId="76" xfId="0" applyNumberFormat="1" applyFont="1" applyFill="1" applyBorder="1" applyAlignment="1">
      <alignment horizontal="center" vertical="center"/>
    </xf>
    <xf numFmtId="4" fontId="79" fillId="24" borderId="78" xfId="0" applyNumberFormat="1" applyFont="1" applyFill="1" applyBorder="1" applyAlignment="1">
      <alignment horizontal="center" vertical="center"/>
    </xf>
    <xf numFmtId="0" fontId="82" fillId="0" borderId="52" xfId="0" applyFont="1" applyBorder="1" applyAlignment="1">
      <alignment horizontal="center" wrapText="1"/>
    </xf>
    <xf numFmtId="0" fontId="82" fillId="0" borderId="68" xfId="0" applyFont="1" applyBorder="1" applyAlignment="1">
      <alignment horizontal="center" wrapText="1"/>
    </xf>
    <xf numFmtId="0" fontId="82" fillId="0" borderId="69" xfId="0" applyFont="1" applyBorder="1" applyAlignment="1">
      <alignment horizontal="center" wrapText="1"/>
    </xf>
    <xf numFmtId="0" fontId="82" fillId="0" borderId="70" xfId="0" applyFont="1" applyBorder="1" applyAlignment="1">
      <alignment horizontal="center" wrapText="1"/>
    </xf>
    <xf numFmtId="0" fontId="82" fillId="0" borderId="71" xfId="0" applyFont="1" applyBorder="1" applyAlignment="1">
      <alignment horizontal="center" wrapText="1"/>
    </xf>
    <xf numFmtId="0" fontId="82" fillId="0" borderId="34" xfId="0" applyFont="1" applyBorder="1" applyAlignment="1">
      <alignment horizontal="center" wrapText="1"/>
    </xf>
    <xf numFmtId="0" fontId="82" fillId="0" borderId="72" xfId="0" applyFont="1" applyBorder="1" applyAlignment="1">
      <alignment horizontal="center" wrapText="1"/>
    </xf>
    <xf numFmtId="0" fontId="82" fillId="0" borderId="41" xfId="0" applyFont="1" applyBorder="1" applyAlignment="1">
      <alignment horizontal="center" wrapText="1"/>
    </xf>
    <xf numFmtId="0" fontId="82" fillId="0" borderId="7" xfId="0" applyFont="1" applyBorder="1" applyAlignment="1">
      <alignment horizontal="center" wrapText="1"/>
    </xf>
    <xf numFmtId="0" fontId="82" fillId="0" borderId="59" xfId="0" applyFont="1" applyBorder="1" applyAlignment="1">
      <alignment horizontal="center" wrapText="1"/>
    </xf>
    <xf numFmtId="0" fontId="82" fillId="0" borderId="51" xfId="0" applyFont="1" applyBorder="1" applyAlignment="1">
      <alignment horizontal="center" wrapText="1"/>
    </xf>
    <xf numFmtId="0" fontId="82" fillId="0" borderId="65" xfId="0" applyFont="1" applyBorder="1" applyAlignment="1">
      <alignment horizontal="center" wrapText="1"/>
    </xf>
    <xf numFmtId="0" fontId="82" fillId="0" borderId="66" xfId="0" applyFont="1" applyBorder="1" applyAlignment="1">
      <alignment horizontal="center" wrapText="1"/>
    </xf>
    <xf numFmtId="0" fontId="82" fillId="0" borderId="67" xfId="0" applyFont="1" applyBorder="1" applyAlignment="1">
      <alignment horizontal="center" wrapText="1"/>
    </xf>
    <xf numFmtId="0" fontId="79" fillId="17" borderId="37" xfId="0" applyFont="1" applyFill="1" applyBorder="1" applyAlignment="1">
      <alignment horizontal="left" wrapText="1"/>
    </xf>
    <xf numFmtId="0" fontId="83" fillId="0" borderId="62" xfId="0" applyFont="1" applyBorder="1" applyAlignment="1">
      <alignment horizontal="left" vertical="center" wrapText="1"/>
    </xf>
    <xf numFmtId="0" fontId="79" fillId="0" borderId="51" xfId="0" applyFont="1" applyBorder="1" applyAlignment="1">
      <alignment horizontal="center" wrapText="1"/>
    </xf>
    <xf numFmtId="0" fontId="79" fillId="0" borderId="56" xfId="0" applyFont="1" applyBorder="1" applyAlignment="1">
      <alignment horizontal="center" wrapText="1"/>
    </xf>
    <xf numFmtId="0" fontId="79" fillId="0" borderId="52" xfId="0" applyFont="1" applyBorder="1" applyAlignment="1">
      <alignment horizontal="center" wrapText="1"/>
    </xf>
    <xf numFmtId="0" fontId="79" fillId="0" borderId="5" xfId="0" applyFont="1" applyBorder="1" applyAlignment="1">
      <alignment horizontal="center" wrapText="1"/>
    </xf>
    <xf numFmtId="0" fontId="79" fillId="0" borderId="54" xfId="0" applyFont="1" applyBorder="1" applyAlignment="1">
      <alignment horizontal="center" wrapText="1"/>
    </xf>
    <xf numFmtId="0" fontId="79" fillId="0" borderId="57" xfId="0" applyFont="1" applyBorder="1" applyAlignment="1">
      <alignment horizontal="center" wrapText="1"/>
    </xf>
    <xf numFmtId="0" fontId="79" fillId="0" borderId="38" xfId="0" applyFont="1" applyBorder="1" applyAlignment="1">
      <alignment horizontal="center" wrapText="1"/>
    </xf>
    <xf numFmtId="0" fontId="79" fillId="0" borderId="40" xfId="0" applyFont="1" applyBorder="1" applyAlignment="1">
      <alignment horizontal="center" wrapText="1"/>
    </xf>
    <xf numFmtId="0" fontId="79" fillId="0" borderId="43" xfId="0" applyFont="1" applyBorder="1" applyAlignment="1">
      <alignment horizontal="center" wrapText="1"/>
    </xf>
    <xf numFmtId="0" fontId="79" fillId="0" borderId="41" xfId="0" applyFont="1" applyBorder="1" applyAlignment="1">
      <alignment horizontal="center" wrapText="1"/>
    </xf>
    <xf numFmtId="0" fontId="79" fillId="0" borderId="42" xfId="0" applyFont="1" applyBorder="1" applyAlignment="1">
      <alignment horizontal="center" wrapText="1"/>
    </xf>
    <xf numFmtId="0" fontId="68" fillId="0" borderId="0" xfId="0" applyFont="1" applyAlignment="1">
      <alignment horizontal="center" vertical="center" wrapText="1"/>
    </xf>
    <xf numFmtId="0" fontId="79" fillId="0" borderId="7" xfId="0" applyFont="1" applyBorder="1" applyAlignment="1">
      <alignment horizontal="center" wrapText="1"/>
    </xf>
    <xf numFmtId="0" fontId="79" fillId="0" borderId="59" xfId="0" applyFont="1" applyBorder="1" applyAlignment="1">
      <alignment horizontal="center" wrapText="1"/>
    </xf>
    <xf numFmtId="0" fontId="79" fillId="0" borderId="53" xfId="0" applyFont="1" applyBorder="1" applyAlignment="1">
      <alignment horizontal="center" wrapText="1"/>
    </xf>
    <xf numFmtId="0" fontId="79" fillId="0" borderId="10" xfId="0" applyFont="1" applyBorder="1" applyAlignment="1">
      <alignment horizontal="center" wrapText="1"/>
    </xf>
    <xf numFmtId="0" fontId="79" fillId="0" borderId="60" xfId="0" applyFont="1" applyBorder="1" applyAlignment="1">
      <alignment horizontal="center" wrapText="1"/>
    </xf>
    <xf numFmtId="0" fontId="0" fillId="0" borderId="0" xfId="0" applyAlignment="1"/>
    <xf numFmtId="0" fontId="20" fillId="0" borderId="0" xfId="1" applyFont="1" applyAlignment="1">
      <alignment horizontal="left" vertical="top" wrapText="1"/>
    </xf>
    <xf numFmtId="0" fontId="14" fillId="16" borderId="79" xfId="0" applyFont="1" applyFill="1" applyBorder="1" applyAlignment="1">
      <alignment horizontal="center" vertical="center"/>
    </xf>
    <xf numFmtId="0" fontId="14" fillId="16" borderId="48" xfId="0" applyFont="1" applyFill="1" applyBorder="1" applyAlignment="1">
      <alignment horizontal="center" vertical="center"/>
    </xf>
    <xf numFmtId="0" fontId="15" fillId="6" borderId="1" xfId="3" applyFont="1" applyFill="1" applyBorder="1" applyAlignment="1">
      <alignment horizontal="left"/>
    </xf>
    <xf numFmtId="4" fontId="100" fillId="23" borderId="93" xfId="22" applyNumberFormat="1" applyFont="1" applyFill="1" applyBorder="1" applyAlignment="1">
      <alignment horizontal="center" vertical="center" wrapText="1"/>
    </xf>
    <xf numFmtId="4" fontId="100" fillId="23" borderId="89" xfId="22" applyNumberFormat="1" applyFont="1" applyFill="1" applyBorder="1" applyAlignment="1">
      <alignment horizontal="center" vertical="center" wrapText="1"/>
    </xf>
    <xf numFmtId="0" fontId="12" fillId="16" borderId="47" xfId="0" applyFont="1" applyFill="1" applyBorder="1" applyAlignment="1">
      <alignment horizontal="center" vertical="center"/>
    </xf>
    <xf numFmtId="0" fontId="12" fillId="16" borderId="79" xfId="0" applyFont="1" applyFill="1" applyBorder="1" applyAlignment="1">
      <alignment horizontal="center" vertical="center"/>
    </xf>
    <xf numFmtId="4" fontId="100" fillId="23" borderId="79" xfId="22" applyNumberFormat="1" applyFont="1" applyFill="1" applyBorder="1" applyAlignment="1">
      <alignment horizontal="center" vertical="center" wrapText="1"/>
    </xf>
    <xf numFmtId="4" fontId="100" fillId="23" borderId="63" xfId="22" applyNumberFormat="1" applyFont="1" applyFill="1" applyBorder="1" applyAlignment="1">
      <alignment horizontal="center" vertical="center" wrapText="1"/>
    </xf>
    <xf numFmtId="4" fontId="100" fillId="23" borderId="48" xfId="22" applyNumberFormat="1" applyFont="1" applyFill="1" applyBorder="1" applyAlignment="1">
      <alignment horizontal="center" vertical="center" wrapText="1"/>
    </xf>
    <xf numFmtId="4" fontId="100" fillId="23" borderId="50" xfId="22" applyNumberFormat="1" applyFont="1" applyFill="1" applyBorder="1" applyAlignment="1">
      <alignment horizontal="center" vertical="center" wrapText="1"/>
    </xf>
    <xf numFmtId="0" fontId="14" fillId="16" borderId="47" xfId="0" applyFont="1" applyFill="1" applyBorder="1" applyAlignment="1">
      <alignment horizontal="center" vertical="center"/>
    </xf>
    <xf numFmtId="0" fontId="107" fillId="0" borderId="0" xfId="0" applyFont="1" applyAlignment="1">
      <alignment horizontal="left" vertical="top" wrapText="1"/>
    </xf>
    <xf numFmtId="0" fontId="29" fillId="5"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25" fillId="2" borderId="1" xfId="1" applyFont="1" applyFill="1" applyBorder="1" applyAlignment="1">
      <alignment horizontal="center" vertical="center"/>
    </xf>
    <xf numFmtId="0" fontId="4" fillId="2" borderId="1" xfId="1" applyFont="1" applyFill="1" applyBorder="1" applyAlignment="1">
      <alignment horizontal="center" vertical="center"/>
    </xf>
    <xf numFmtId="2" fontId="4" fillId="2" borderId="1" xfId="1" applyNumberFormat="1" applyFont="1" applyFill="1" applyBorder="1" applyAlignment="1">
      <alignment horizontal="center" vertical="center" wrapText="1"/>
    </xf>
    <xf numFmtId="0" fontId="50" fillId="26" borderId="1" xfId="10" applyFont="1" applyFill="1" applyBorder="1" applyAlignment="1">
      <alignment horizontal="center" vertical="center" wrapText="1"/>
    </xf>
    <xf numFmtId="0" fontId="50" fillId="26" borderId="24" xfId="10" applyFont="1" applyFill="1" applyBorder="1" applyAlignment="1">
      <alignment horizontal="center" vertical="center" wrapText="1"/>
    </xf>
    <xf numFmtId="0" fontId="50" fillId="26" borderId="25" xfId="10" applyFont="1" applyFill="1" applyBorder="1" applyAlignment="1">
      <alignment horizontal="center" vertical="center" wrapText="1"/>
    </xf>
    <xf numFmtId="0" fontId="12" fillId="0" borderId="8" xfId="5" applyFont="1" applyFill="1" applyBorder="1" applyAlignment="1">
      <alignment horizontal="center" vertical="center" wrapText="1"/>
    </xf>
    <xf numFmtId="0" fontId="12" fillId="0" borderId="7" xfId="5" applyFont="1" applyFill="1" applyBorder="1" applyAlignment="1">
      <alignment horizontal="center" vertical="center" wrapText="1"/>
    </xf>
    <xf numFmtId="0" fontId="12" fillId="0" borderId="5" xfId="5" applyFont="1" applyFill="1" applyBorder="1" applyAlignment="1">
      <alignment horizontal="center" vertical="center" wrapText="1"/>
    </xf>
    <xf numFmtId="0" fontId="12" fillId="0" borderId="2" xfId="5" applyFont="1" applyFill="1" applyBorder="1" applyAlignment="1">
      <alignment horizontal="center" vertical="center" wrapText="1"/>
    </xf>
    <xf numFmtId="0" fontId="12" fillId="0" borderId="3" xfId="5" applyFont="1" applyFill="1" applyBorder="1" applyAlignment="1">
      <alignment horizontal="center" vertical="center" wrapText="1"/>
    </xf>
    <xf numFmtId="0" fontId="12" fillId="0" borderId="23" xfId="5" applyFont="1" applyFill="1" applyBorder="1" applyAlignment="1">
      <alignment horizontal="center" vertical="center" wrapText="1"/>
    </xf>
    <xf numFmtId="0" fontId="12" fillId="0" borderId="24" xfId="5" applyFont="1" applyFill="1" applyBorder="1" applyAlignment="1">
      <alignment horizontal="center" vertical="center" wrapText="1"/>
    </xf>
    <xf numFmtId="0" fontId="12" fillId="0" borderId="4" xfId="5" applyFont="1" applyFill="1" applyBorder="1" applyAlignment="1">
      <alignment horizontal="center" vertical="center" wrapText="1"/>
    </xf>
    <xf numFmtId="0" fontId="12" fillId="0" borderId="1" xfId="5"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5" xfId="5" applyFont="1" applyFill="1" applyBorder="1" applyAlignment="1">
      <alignment horizontal="center" vertical="center"/>
    </xf>
    <xf numFmtId="0" fontId="94" fillId="26" borderId="1" xfId="10" applyFont="1" applyFill="1" applyBorder="1" applyAlignment="1">
      <alignment horizontal="center" vertical="center" wrapText="1"/>
    </xf>
    <xf numFmtId="0" fontId="10" fillId="0" borderId="6" xfId="2" applyFont="1" applyBorder="1" applyAlignment="1">
      <alignment horizontal="center" vertical="center" wrapText="1"/>
    </xf>
    <xf numFmtId="0" fontId="10" fillId="0" borderId="6" xfId="2" applyBorder="1" applyAlignment="1">
      <alignment horizontal="center" vertical="center" wrapText="1"/>
    </xf>
    <xf numFmtId="0" fontId="10" fillId="0" borderId="2" xfId="2" applyFont="1" applyBorder="1" applyAlignment="1">
      <alignment horizontal="center" wrapText="1"/>
    </xf>
    <xf numFmtId="0" fontId="10" fillId="0" borderId="3" xfId="2" applyFont="1" applyBorder="1" applyAlignment="1">
      <alignment horizontal="center" wrapText="1"/>
    </xf>
    <xf numFmtId="0" fontId="10" fillId="0" borderId="4" xfId="2" applyFont="1" applyBorder="1" applyAlignment="1">
      <alignment horizontal="center" wrapText="1"/>
    </xf>
    <xf numFmtId="0" fontId="12" fillId="0" borderId="1" xfId="5" applyFont="1" applyBorder="1" applyAlignment="1">
      <alignment horizontal="center" vertical="center" wrapText="1"/>
    </xf>
    <xf numFmtId="0" fontId="12" fillId="0" borderId="8" xfId="5" applyFont="1" applyBorder="1" applyAlignment="1">
      <alignment horizontal="center" vertical="center" wrapText="1"/>
    </xf>
    <xf numFmtId="0" fontId="0" fillId="0" borderId="6" xfId="2" applyFont="1" applyBorder="1" applyAlignment="1">
      <alignment horizontal="center" vertical="center" wrapText="1"/>
    </xf>
    <xf numFmtId="0" fontId="0" fillId="0" borderId="0" xfId="2" applyFont="1" applyBorder="1" applyAlignment="1">
      <alignment horizontal="center" vertical="center" wrapText="1"/>
    </xf>
    <xf numFmtId="0" fontId="0" fillId="0" borderId="2" xfId="2" applyFont="1" applyBorder="1" applyAlignment="1">
      <alignment horizontal="center" wrapText="1"/>
    </xf>
    <xf numFmtId="0" fontId="0" fillId="0" borderId="3" xfId="2" applyFont="1" applyBorder="1" applyAlignment="1">
      <alignment horizontal="center" wrapText="1"/>
    </xf>
    <xf numFmtId="0" fontId="0" fillId="0" borderId="4" xfId="2" applyFont="1" applyBorder="1" applyAlignment="1">
      <alignment horizontal="center" wrapText="1"/>
    </xf>
    <xf numFmtId="0" fontId="12" fillId="5" borderId="1" xfId="5" applyFont="1" applyFill="1" applyBorder="1" applyAlignment="1">
      <alignment horizontal="center" vertical="center" wrapText="1"/>
    </xf>
    <xf numFmtId="0" fontId="12" fillId="0" borderId="2" xfId="5" applyFont="1" applyBorder="1" applyAlignment="1">
      <alignment horizontal="center" vertical="center" wrapText="1"/>
    </xf>
    <xf numFmtId="0" fontId="12" fillId="0" borderId="3" xfId="5" applyFont="1" applyBorder="1" applyAlignment="1">
      <alignment horizontal="center" vertical="center" wrapText="1"/>
    </xf>
    <xf numFmtId="0" fontId="12" fillId="0" borderId="4" xfId="5" applyFont="1" applyBorder="1" applyAlignment="1">
      <alignment horizontal="center" vertical="center" wrapText="1"/>
    </xf>
    <xf numFmtId="0" fontId="12" fillId="0" borderId="5" xfId="5" applyFont="1" applyBorder="1" applyAlignment="1">
      <alignment horizontal="center" vertical="center" wrapText="1"/>
    </xf>
    <xf numFmtId="0" fontId="12" fillId="0" borderId="7" xfId="5" applyFont="1" applyBorder="1" applyAlignment="1">
      <alignment horizontal="center" vertical="center" wrapText="1"/>
    </xf>
    <xf numFmtId="0" fontId="12" fillId="0" borderId="23" xfId="5" applyFont="1" applyBorder="1" applyAlignment="1">
      <alignment horizontal="center" vertical="center" wrapText="1"/>
    </xf>
    <xf numFmtId="0" fontId="12" fillId="0" borderId="24" xfId="5" applyFont="1" applyBorder="1" applyAlignment="1">
      <alignment horizontal="center" vertical="center" wrapText="1"/>
    </xf>
    <xf numFmtId="0" fontId="12" fillId="0" borderId="1" xfId="5" applyFont="1" applyBorder="1" applyAlignment="1">
      <alignment horizontal="center" vertical="center"/>
    </xf>
    <xf numFmtId="0" fontId="12" fillId="0" borderId="5" xfId="5" applyFont="1" applyBorder="1" applyAlignment="1">
      <alignment horizontal="center" vertical="center"/>
    </xf>
    <xf numFmtId="0" fontId="12" fillId="0" borderId="0" xfId="2" applyFont="1" applyAlignment="1">
      <alignment horizontal="left" vertical="top" wrapText="1"/>
    </xf>
    <xf numFmtId="0" fontId="1" fillId="26" borderId="24" xfId="10" applyFill="1" applyBorder="1" applyAlignment="1">
      <alignment horizontal="center" vertical="center" wrapText="1"/>
    </xf>
    <xf numFmtId="0" fontId="1" fillId="26" borderId="25" xfId="10" applyFill="1" applyBorder="1" applyAlignment="1">
      <alignment horizontal="center" vertical="center" wrapText="1"/>
    </xf>
    <xf numFmtId="0" fontId="1" fillId="26" borderId="1" xfId="10" applyFill="1" applyBorder="1" applyAlignment="1">
      <alignment horizontal="center" vertical="center" wrapText="1"/>
    </xf>
    <xf numFmtId="0" fontId="0" fillId="0" borderId="2" xfId="2" applyFont="1" applyBorder="1" applyAlignment="1">
      <alignment horizontal="center" vertical="center" wrapText="1"/>
    </xf>
    <xf numFmtId="0" fontId="0" fillId="0" borderId="3" xfId="2" applyFont="1" applyBorder="1" applyAlignment="1">
      <alignment horizontal="center" vertical="center" wrapText="1"/>
    </xf>
    <xf numFmtId="0" fontId="0" fillId="0" borderId="4" xfId="2" applyFont="1" applyBorder="1" applyAlignment="1">
      <alignment horizontal="center" vertical="center" wrapText="1"/>
    </xf>
    <xf numFmtId="0" fontId="0" fillId="0" borderId="6" xfId="2" applyFont="1" applyBorder="1" applyAlignment="1">
      <alignment horizontal="center" wrapText="1"/>
    </xf>
    <xf numFmtId="0" fontId="0" fillId="0" borderId="0" xfId="2" applyFont="1" applyBorder="1" applyAlignment="1">
      <alignment horizontal="center" wrapText="1"/>
    </xf>
    <xf numFmtId="0" fontId="94" fillId="16" borderId="1" xfId="10" applyFont="1" applyFill="1" applyBorder="1" applyAlignment="1">
      <alignment horizontal="center" vertical="center" wrapText="1"/>
    </xf>
    <xf numFmtId="0" fontId="50" fillId="16" borderId="24" xfId="10" applyFont="1" applyFill="1" applyBorder="1" applyAlignment="1">
      <alignment horizontal="center" vertical="center" wrapText="1"/>
    </xf>
    <xf numFmtId="0" fontId="50" fillId="16" borderId="25" xfId="10" applyFont="1" applyFill="1" applyBorder="1" applyAlignment="1">
      <alignment horizontal="center" vertical="center" wrapText="1"/>
    </xf>
    <xf numFmtId="0" fontId="50" fillId="16" borderId="1" xfId="10" applyFont="1" applyFill="1" applyBorder="1" applyAlignment="1">
      <alignment horizontal="center" vertical="center" wrapText="1"/>
    </xf>
    <xf numFmtId="0" fontId="15" fillId="5" borderId="6" xfId="17" applyFont="1" applyFill="1" applyBorder="1" applyAlignment="1">
      <alignment horizontal="center" vertical="center" wrapText="1"/>
    </xf>
    <xf numFmtId="0" fontId="15" fillId="5" borderId="0" xfId="17" applyFont="1" applyFill="1" applyBorder="1" applyAlignment="1">
      <alignment horizontal="center" vertical="center" wrapText="1"/>
    </xf>
    <xf numFmtId="0" fontId="22" fillId="19" borderId="1" xfId="17" applyFont="1" applyFill="1" applyBorder="1" applyAlignment="1">
      <alignment horizontal="left" vertical="center"/>
    </xf>
    <xf numFmtId="0" fontId="22" fillId="19" borderId="8" xfId="17" applyFont="1" applyFill="1" applyBorder="1" applyAlignment="1">
      <alignment horizontal="center" vertical="center" wrapText="1"/>
    </xf>
    <xf numFmtId="0" fontId="22" fillId="19" borderId="5" xfId="17" applyFont="1" applyFill="1" applyBorder="1" applyAlignment="1">
      <alignment horizontal="center" vertical="center" wrapText="1"/>
    </xf>
    <xf numFmtId="0" fontId="14" fillId="0" borderId="2" xfId="17" applyFont="1" applyBorder="1" applyAlignment="1">
      <alignment horizontal="right" vertical="center"/>
    </xf>
    <xf numFmtId="0" fontId="14" fillId="0" borderId="4" xfId="17" applyFont="1" applyBorder="1" applyAlignment="1">
      <alignment horizontal="right" vertical="center"/>
    </xf>
    <xf numFmtId="0" fontId="12" fillId="0" borderId="1" xfId="17" applyFont="1" applyBorder="1" applyAlignment="1">
      <alignment horizontal="left" vertical="center" wrapText="1"/>
    </xf>
    <xf numFmtId="0" fontId="12" fillId="2" borderId="0" xfId="3" applyFont="1" applyFill="1" applyAlignment="1">
      <alignment horizontal="center"/>
    </xf>
    <xf numFmtId="0" fontId="12" fillId="0" borderId="2" xfId="5" applyFont="1" applyBorder="1" applyAlignment="1">
      <alignment horizontal="center" vertical="center"/>
    </xf>
    <xf numFmtId="0" fontId="12" fillId="0" borderId="4" xfId="5" applyFont="1" applyBorder="1" applyAlignment="1">
      <alignment horizontal="center" vertical="center"/>
    </xf>
    <xf numFmtId="0" fontId="12" fillId="2" borderId="2" xfId="10" applyFont="1" applyFill="1" applyBorder="1" applyAlignment="1">
      <alignment horizontal="left" vertical="center" wrapText="1"/>
    </xf>
    <xf numFmtId="0" fontId="12" fillId="2" borderId="4" xfId="10" applyFont="1" applyFill="1" applyBorder="1" applyAlignment="1">
      <alignment horizontal="left" vertical="center" wrapText="1"/>
    </xf>
    <xf numFmtId="0" fontId="12" fillId="2" borderId="2" xfId="3" applyFont="1" applyFill="1" applyBorder="1" applyAlignment="1">
      <alignment horizontal="center" vertical="center" wrapText="1"/>
    </xf>
    <xf numFmtId="0" fontId="12" fillId="2" borderId="4" xfId="3" applyFont="1" applyFill="1" applyBorder="1" applyAlignment="1">
      <alignment horizontal="center" vertical="center" wrapText="1"/>
    </xf>
    <xf numFmtId="0" fontId="12" fillId="2" borderId="23" xfId="10" applyFont="1" applyFill="1" applyBorder="1" applyAlignment="1">
      <alignment horizontal="left" vertical="center" wrapText="1"/>
    </xf>
    <xf numFmtId="0" fontId="12" fillId="2" borderId="9" xfId="10" applyFont="1" applyFill="1" applyBorder="1" applyAlignment="1">
      <alignment horizontal="left" vertical="center" wrapText="1"/>
    </xf>
    <xf numFmtId="0" fontId="12" fillId="2" borderId="10" xfId="10" applyFont="1" applyFill="1" applyBorder="1" applyAlignment="1">
      <alignment horizontal="left" vertical="center" wrapText="1"/>
    </xf>
    <xf numFmtId="0" fontId="12" fillId="2" borderId="32" xfId="10" applyFont="1" applyFill="1" applyBorder="1" applyAlignment="1">
      <alignment horizontal="left" vertical="center" wrapText="1"/>
    </xf>
    <xf numFmtId="0" fontId="12" fillId="2" borderId="24" xfId="10" applyFont="1" applyFill="1" applyBorder="1" applyAlignment="1">
      <alignment horizontal="left" vertical="center" wrapText="1"/>
    </xf>
    <xf numFmtId="0" fontId="12" fillId="2" borderId="25" xfId="10" applyFont="1" applyFill="1" applyBorder="1" applyAlignment="1">
      <alignment horizontal="left" vertical="center" wrapText="1"/>
    </xf>
    <xf numFmtId="0" fontId="12" fillId="0" borderId="23" xfId="10" applyFont="1" applyBorder="1" applyAlignment="1">
      <alignment horizontal="center" vertical="center" wrapText="1"/>
    </xf>
    <xf numFmtId="0" fontId="12" fillId="0" borderId="9" xfId="10" applyFont="1" applyBorder="1" applyAlignment="1">
      <alignment horizontal="center" vertical="center" wrapText="1"/>
    </xf>
    <xf numFmtId="0" fontId="12" fillId="0" borderId="24" xfId="10" applyFont="1" applyBorder="1" applyAlignment="1">
      <alignment horizontal="center" vertical="center" wrapText="1"/>
    </xf>
    <xf numFmtId="0" fontId="12" fillId="0" borderId="25" xfId="10" applyFont="1" applyBorder="1" applyAlignment="1">
      <alignment horizontal="center" vertical="center" wrapText="1"/>
    </xf>
    <xf numFmtId="0" fontId="12" fillId="0" borderId="2" xfId="10" applyFont="1" applyBorder="1" applyAlignment="1">
      <alignment horizontal="center" vertical="center" wrapText="1"/>
    </xf>
    <xf numFmtId="0" fontId="12" fillId="0" borderId="4" xfId="10" applyFont="1" applyBorder="1" applyAlignment="1">
      <alignment horizontal="center" vertical="center" wrapText="1"/>
    </xf>
    <xf numFmtId="0" fontId="12" fillId="0" borderId="3" xfId="10" applyFont="1" applyBorder="1" applyAlignment="1">
      <alignment horizontal="center" vertical="center" wrapText="1"/>
    </xf>
    <xf numFmtId="0" fontId="12" fillId="0" borderId="8" xfId="10" applyFont="1" applyBorder="1" applyAlignment="1">
      <alignment horizontal="center" vertical="center" wrapText="1"/>
    </xf>
    <xf numFmtId="0" fontId="12" fillId="0" borderId="5" xfId="10" applyFont="1" applyBorder="1" applyAlignment="1">
      <alignment horizontal="center" vertical="center" wrapText="1"/>
    </xf>
    <xf numFmtId="0" fontId="12" fillId="5" borderId="8" xfId="10" applyFont="1" applyFill="1" applyBorder="1" applyAlignment="1">
      <alignment horizontal="center" vertical="center" wrapText="1"/>
    </xf>
    <xf numFmtId="0" fontId="12" fillId="5" borderId="5" xfId="10" applyFont="1" applyFill="1" applyBorder="1" applyAlignment="1">
      <alignment horizontal="center" vertical="center" wrapText="1"/>
    </xf>
    <xf numFmtId="2" fontId="14" fillId="15" borderId="8" xfId="5" applyNumberFormat="1" applyFont="1" applyFill="1" applyBorder="1" applyAlignment="1">
      <alignment horizontal="center" vertical="center" wrapText="1"/>
    </xf>
    <xf numFmtId="2" fontId="14" fillId="15" borderId="5" xfId="5" applyNumberFormat="1" applyFont="1" applyFill="1" applyBorder="1" applyAlignment="1">
      <alignment horizontal="center" vertical="center" wrapText="1"/>
    </xf>
    <xf numFmtId="0" fontId="12" fillId="0" borderId="8" xfId="10" applyFont="1" applyFill="1" applyBorder="1" applyAlignment="1">
      <alignment horizontal="center" vertical="center" wrapText="1"/>
    </xf>
    <xf numFmtId="0" fontId="12" fillId="0" borderId="5" xfId="10" applyFont="1" applyFill="1" applyBorder="1" applyAlignment="1">
      <alignment horizontal="center" vertical="center" wrapText="1"/>
    </xf>
    <xf numFmtId="0" fontId="12" fillId="10" borderId="8" xfId="18" applyFont="1" applyFill="1" applyBorder="1" applyAlignment="1">
      <alignment horizontal="center" vertical="center" wrapText="1"/>
    </xf>
    <xf numFmtId="0" fontId="12" fillId="10" borderId="5" xfId="18" applyFont="1" applyFill="1" applyBorder="1" applyAlignment="1">
      <alignment horizontal="center" vertical="center" wrapText="1"/>
    </xf>
    <xf numFmtId="0" fontId="30" fillId="7" borderId="8" xfId="0" applyFont="1" applyFill="1" applyBorder="1" applyAlignment="1">
      <alignment horizontal="center" vertical="center" wrapText="1"/>
    </xf>
    <xf numFmtId="0" fontId="30" fillId="7" borderId="5" xfId="0" applyFont="1" applyFill="1" applyBorder="1" applyAlignment="1">
      <alignment horizontal="center" vertical="center" wrapText="1"/>
    </xf>
    <xf numFmtId="0" fontId="32" fillId="6" borderId="36" xfId="3" applyFont="1" applyFill="1" applyBorder="1" applyAlignment="1">
      <alignment horizontal="left" vertical="top" wrapText="1"/>
    </xf>
    <xf numFmtId="0" fontId="32" fillId="6" borderId="37" xfId="3" applyFont="1" applyFill="1" applyBorder="1" applyAlignment="1">
      <alignment horizontal="left" vertical="top" wrapText="1"/>
    </xf>
    <xf numFmtId="0" fontId="32" fillId="6" borderId="38" xfId="3" applyFont="1" applyFill="1" applyBorder="1" applyAlignment="1">
      <alignment horizontal="left" vertical="top" wrapText="1"/>
    </xf>
    <xf numFmtId="0" fontId="32" fillId="6" borderId="39" xfId="3" applyFont="1" applyFill="1" applyBorder="1" applyAlignment="1">
      <alignment horizontal="left" vertical="top" wrapText="1"/>
    </xf>
    <xf numFmtId="0" fontId="32" fillId="6" borderId="0" xfId="3" applyFont="1" applyFill="1" applyBorder="1" applyAlignment="1">
      <alignment horizontal="left" vertical="top" wrapText="1"/>
    </xf>
    <xf numFmtId="0" fontId="32" fillId="6" borderId="40" xfId="3" applyFont="1" applyFill="1" applyBorder="1" applyAlignment="1">
      <alignment horizontal="left" vertical="top" wrapText="1"/>
    </xf>
    <xf numFmtId="0" fontId="32" fillId="6" borderId="41" xfId="3" applyFont="1" applyFill="1" applyBorder="1" applyAlignment="1">
      <alignment horizontal="left" vertical="top" wrapText="1"/>
    </xf>
    <xf numFmtId="0" fontId="32" fillId="6" borderId="42" xfId="3" applyFont="1" applyFill="1" applyBorder="1" applyAlignment="1">
      <alignment horizontal="left" vertical="top" wrapText="1"/>
    </xf>
    <xf numFmtId="0" fontId="32" fillId="6" borderId="43" xfId="3" applyFont="1" applyFill="1" applyBorder="1" applyAlignment="1">
      <alignment horizontal="left" vertical="top" wrapText="1"/>
    </xf>
    <xf numFmtId="0" fontId="12" fillId="10" borderId="1" xfId="18" applyFont="1" applyFill="1" applyBorder="1" applyAlignment="1">
      <alignment horizontal="center" vertical="center" wrapText="1"/>
    </xf>
    <xf numFmtId="0" fontId="12" fillId="10" borderId="2" xfId="18" applyFont="1" applyFill="1" applyBorder="1" applyAlignment="1">
      <alignment horizontal="center" vertical="center" wrapText="1"/>
    </xf>
    <xf numFmtId="0" fontId="12" fillId="10" borderId="3" xfId="18" applyFont="1" applyFill="1" applyBorder="1" applyAlignment="1">
      <alignment horizontal="center" vertical="center" wrapText="1"/>
    </xf>
    <xf numFmtId="0" fontId="12" fillId="10" borderId="4" xfId="18" applyFont="1" applyFill="1" applyBorder="1" applyAlignment="1">
      <alignment horizontal="center" vertical="center" wrapText="1"/>
    </xf>
    <xf numFmtId="0" fontId="12" fillId="0" borderId="8" xfId="18" applyFont="1" applyFill="1" applyBorder="1" applyAlignment="1">
      <alignment horizontal="center" vertical="center" wrapText="1"/>
    </xf>
    <xf numFmtId="0" fontId="12" fillId="0" borderId="5" xfId="18" applyFont="1" applyFill="1" applyBorder="1" applyAlignment="1">
      <alignment horizontal="center" vertical="center" wrapText="1"/>
    </xf>
    <xf numFmtId="0" fontId="13" fillId="0" borderId="2" xfId="0" applyFont="1" applyBorder="1" applyAlignment="1">
      <alignment horizontal="left" vertical="top"/>
    </xf>
    <xf numFmtId="0" fontId="13" fillId="0" borderId="4" xfId="0" applyFont="1" applyBorder="1" applyAlignment="1">
      <alignment horizontal="left" vertical="top"/>
    </xf>
    <xf numFmtId="0" fontId="32" fillId="0" borderId="2" xfId="0" applyFont="1" applyBorder="1" applyAlignment="1">
      <alignment horizontal="left" vertical="center" wrapText="1"/>
    </xf>
    <xf numFmtId="0" fontId="32" fillId="0" borderId="4" xfId="0" applyFont="1" applyBorder="1" applyAlignment="1">
      <alignment horizontal="left" vertical="center" wrapText="1"/>
    </xf>
    <xf numFmtId="0" fontId="32" fillId="0" borderId="0" xfId="0" applyFont="1" applyBorder="1" applyAlignment="1">
      <alignment horizontal="left" vertical="center" wrapText="1"/>
    </xf>
    <xf numFmtId="0" fontId="14" fillId="10" borderId="2" xfId="5" applyFont="1" applyFill="1" applyBorder="1" applyAlignment="1">
      <alignment horizontal="center" vertical="center" wrapText="1"/>
    </xf>
    <xf numFmtId="0" fontId="14" fillId="10" borderId="4" xfId="5" applyFont="1" applyFill="1" applyBorder="1" applyAlignment="1">
      <alignment horizontal="center" vertical="center" wrapText="1"/>
    </xf>
    <xf numFmtId="0" fontId="28" fillId="0" borderId="2" xfId="4" applyBorder="1" applyAlignment="1">
      <alignment horizontal="left" vertical="top" wrapText="1"/>
    </xf>
    <xf numFmtId="0" fontId="28" fillId="0" borderId="4" xfId="4" applyBorder="1" applyAlignment="1">
      <alignment horizontal="left" vertical="top" wrapText="1"/>
    </xf>
    <xf numFmtId="0" fontId="12" fillId="10" borderId="1" xfId="5" applyFont="1" applyFill="1" applyBorder="1" applyAlignment="1">
      <alignment horizontal="center" vertical="center" wrapText="1"/>
    </xf>
    <xf numFmtId="0" fontId="12" fillId="10" borderId="2" xfId="5" applyFont="1" applyFill="1" applyBorder="1" applyAlignment="1">
      <alignment horizontal="center" vertical="center" wrapText="1"/>
    </xf>
    <xf numFmtId="0" fontId="12" fillId="10" borderId="3" xfId="5" applyFont="1" applyFill="1" applyBorder="1" applyAlignment="1">
      <alignment horizontal="center" vertical="center" wrapText="1"/>
    </xf>
    <xf numFmtId="0" fontId="12" fillId="10" borderId="4" xfId="5" applyFont="1" applyFill="1" applyBorder="1" applyAlignment="1">
      <alignment horizontal="center" vertical="center" wrapText="1"/>
    </xf>
    <xf numFmtId="0" fontId="12" fillId="10" borderId="8" xfId="5" applyFont="1" applyFill="1" applyBorder="1" applyAlignment="1">
      <alignment horizontal="center" vertical="center" wrapText="1"/>
    </xf>
    <xf numFmtId="0" fontId="12" fillId="10" borderId="5" xfId="5" applyFont="1" applyFill="1" applyBorder="1" applyAlignment="1">
      <alignment horizontal="center" vertical="center" wrapText="1"/>
    </xf>
    <xf numFmtId="0" fontId="30" fillId="4" borderId="8" xfId="4" applyFont="1" applyFill="1" applyBorder="1" applyAlignment="1">
      <alignment horizontal="center" vertical="center" wrapText="1"/>
    </xf>
    <xf numFmtId="0" fontId="30" fillId="4" borderId="5" xfId="4" applyFont="1" applyFill="1" applyBorder="1" applyAlignment="1">
      <alignment horizontal="center" vertical="center" wrapText="1"/>
    </xf>
    <xf numFmtId="0" fontId="14" fillId="6" borderId="1" xfId="0" applyFont="1" applyFill="1" applyBorder="1" applyAlignment="1">
      <alignment horizontal="center" vertical="top" wrapText="1"/>
    </xf>
    <xf numFmtId="1" fontId="13" fillId="6" borderId="1" xfId="0" applyNumberFormat="1" applyFont="1" applyFill="1" applyBorder="1" applyAlignment="1">
      <alignment horizontal="center" vertical="center" wrapText="1"/>
    </xf>
    <xf numFmtId="0" fontId="17" fillId="2" borderId="1" xfId="1" applyFont="1" applyFill="1" applyBorder="1" applyAlignment="1">
      <alignment horizontal="center" vertical="center"/>
    </xf>
    <xf numFmtId="0" fontId="17" fillId="2" borderId="1" xfId="1" applyFont="1" applyFill="1" applyBorder="1" applyAlignment="1">
      <alignment horizontal="center" vertical="center" wrapText="1"/>
    </xf>
    <xf numFmtId="2" fontId="17" fillId="2" borderId="1" xfId="1" applyNumberFormat="1" applyFont="1" applyFill="1" applyBorder="1" applyAlignment="1">
      <alignment horizontal="center" vertical="center" wrapText="1"/>
    </xf>
    <xf numFmtId="0" fontId="5" fillId="0" borderId="1" xfId="0" applyFont="1" applyBorder="1" applyAlignment="1">
      <alignment horizontal="left"/>
    </xf>
    <xf numFmtId="0" fontId="32" fillId="0" borderId="1" xfId="0" applyFont="1" applyBorder="1" applyAlignment="1">
      <alignment horizontal="center" vertical="center"/>
    </xf>
    <xf numFmtId="0" fontId="32" fillId="0" borderId="6" xfId="0" applyFont="1" applyBorder="1" applyAlignment="1">
      <alignment horizontal="right"/>
    </xf>
    <xf numFmtId="0" fontId="14" fillId="6" borderId="1" xfId="0" applyFont="1" applyFill="1" applyBorder="1" applyAlignment="1">
      <alignment horizontal="center" vertical="center" wrapText="1"/>
    </xf>
    <xf numFmtId="0" fontId="32" fillId="2" borderId="1" xfId="0" applyFont="1" applyFill="1" applyBorder="1" applyAlignment="1">
      <alignment horizontal="center" vertical="center"/>
    </xf>
    <xf numFmtId="0" fontId="17" fillId="9" borderId="1" xfId="1" applyFont="1" applyFill="1" applyBorder="1" applyAlignment="1">
      <alignment horizontal="center" vertical="center" wrapText="1"/>
    </xf>
    <xf numFmtId="0" fontId="17" fillId="11" borderId="1" xfId="1" applyFont="1" applyFill="1" applyBorder="1" applyAlignment="1">
      <alignment horizontal="center" vertical="center" wrapText="1"/>
    </xf>
    <xf numFmtId="0" fontId="32" fillId="0" borderId="2" xfId="0" applyFont="1" applyFill="1" applyBorder="1" applyAlignment="1">
      <alignment horizontal="center" vertical="center"/>
    </xf>
    <xf numFmtId="0" fontId="32" fillId="0" borderId="4" xfId="0" applyFont="1" applyFill="1" applyBorder="1" applyAlignment="1">
      <alignment horizontal="center" vertical="center"/>
    </xf>
    <xf numFmtId="0" fontId="29" fillId="9" borderId="23" xfId="1" applyFont="1" applyFill="1" applyBorder="1" applyAlignment="1">
      <alignment horizontal="center" vertical="center" wrapText="1"/>
    </xf>
    <xf numFmtId="0" fontId="29" fillId="9" borderId="24" xfId="1" applyFont="1" applyFill="1" applyBorder="1" applyAlignment="1">
      <alignment horizontal="center" vertical="center" wrapText="1"/>
    </xf>
    <xf numFmtId="0" fontId="35" fillId="11" borderId="11" xfId="0" applyFont="1" applyFill="1" applyBorder="1" applyAlignment="1">
      <alignment horizontal="center"/>
    </xf>
    <xf numFmtId="0" fontId="17" fillId="11" borderId="2" xfId="1" applyFont="1" applyFill="1" applyBorder="1" applyAlignment="1">
      <alignment horizontal="center" vertical="center" wrapText="1"/>
    </xf>
    <xf numFmtId="0" fontId="35" fillId="9" borderId="11" xfId="0" applyFont="1" applyFill="1" applyBorder="1" applyAlignment="1">
      <alignment horizontal="center"/>
    </xf>
    <xf numFmtId="0" fontId="12" fillId="0" borderId="1" xfId="21" applyFont="1" applyBorder="1" applyAlignment="1">
      <alignment horizontal="left" vertical="center" wrapText="1"/>
    </xf>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14" fillId="0" borderId="2" xfId="0" applyFont="1" applyBorder="1" applyAlignment="1">
      <alignment horizontal="right" vertical="center"/>
    </xf>
    <xf numFmtId="0" fontId="14" fillId="0" borderId="3" xfId="0" applyFont="1" applyBorder="1" applyAlignment="1">
      <alignment horizontal="right" vertical="center"/>
    </xf>
    <xf numFmtId="0" fontId="14" fillId="0" borderId="4" xfId="0" applyFont="1" applyBorder="1" applyAlignment="1">
      <alignment horizontal="right" vertical="center"/>
    </xf>
    <xf numFmtId="0" fontId="12" fillId="0" borderId="2" xfId="0" applyFont="1" applyBorder="1" applyAlignment="1">
      <alignment horizontal="right" vertical="center"/>
    </xf>
    <xf numFmtId="0" fontId="12" fillId="0" borderId="3" xfId="0" applyFont="1" applyBorder="1" applyAlignment="1">
      <alignment horizontal="right" vertical="center"/>
    </xf>
    <xf numFmtId="0" fontId="12" fillId="0" borderId="4" xfId="0" applyFont="1" applyBorder="1" applyAlignment="1">
      <alignment horizontal="right" vertical="center"/>
    </xf>
    <xf numFmtId="0" fontId="17" fillId="26" borderId="2" xfId="0" applyFont="1" applyFill="1" applyBorder="1" applyAlignment="1">
      <alignment horizontal="right" vertical="center"/>
    </xf>
    <xf numFmtId="0" fontId="17" fillId="26" borderId="3" xfId="0" applyFont="1" applyFill="1" applyBorder="1" applyAlignment="1">
      <alignment horizontal="right" vertical="center"/>
    </xf>
    <xf numFmtId="0" fontId="17" fillId="26" borderId="4" xfId="0" applyFont="1" applyFill="1" applyBorder="1" applyAlignment="1">
      <alignment horizontal="right"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17" fillId="0" borderId="4" xfId="0" applyFont="1" applyBorder="1" applyAlignment="1">
      <alignment horizontal="right" vertical="center"/>
    </xf>
    <xf numFmtId="0" fontId="17" fillId="2" borderId="1" xfId="0" applyFont="1" applyFill="1" applyBorder="1" applyAlignment="1">
      <alignment horizontal="right" vertical="center" wrapText="1"/>
    </xf>
    <xf numFmtId="0" fontId="94" fillId="2" borderId="1" xfId="0" applyFont="1" applyFill="1" applyBorder="1" applyAlignment="1">
      <alignment horizontal="right" vertical="center"/>
    </xf>
    <xf numFmtId="0" fontId="14" fillId="2" borderId="8"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29" fillId="0" borderId="28" xfId="9" applyFont="1" applyBorder="1" applyAlignment="1">
      <alignment horizontal="center" vertical="center" wrapText="1"/>
    </xf>
    <xf numFmtId="0" fontId="14"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4" fillId="2" borderId="7" xfId="0" applyFont="1" applyFill="1" applyBorder="1" applyAlignment="1">
      <alignment horizontal="center" vertical="center" wrapText="1"/>
    </xf>
    <xf numFmtId="0" fontId="0" fillId="0" borderId="5" xfId="0" applyBorder="1" applyAlignment="1">
      <alignment horizontal="center" vertical="center" wrapText="1"/>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3" fillId="0" borderId="1" xfId="0" applyFont="1" applyBorder="1" applyAlignment="1">
      <alignment horizontal="center"/>
    </xf>
    <xf numFmtId="0" fontId="13" fillId="0" borderId="1" xfId="0" applyFont="1" applyBorder="1" applyAlignment="1">
      <alignment horizontal="left"/>
    </xf>
    <xf numFmtId="0" fontId="56" fillId="0" borderId="0" xfId="0" applyFont="1" applyAlignment="1">
      <alignment horizontal="left" vertical="center" wrapText="1"/>
    </xf>
    <xf numFmtId="0" fontId="16" fillId="2" borderId="2" xfId="0" applyFont="1" applyFill="1" applyBorder="1" applyAlignment="1">
      <alignment horizontal="right" vertical="center" wrapText="1"/>
    </xf>
    <xf numFmtId="0" fontId="16" fillId="2" borderId="3" xfId="0" applyFont="1" applyFill="1" applyBorder="1" applyAlignment="1">
      <alignment horizontal="right" vertical="center" wrapText="1"/>
    </xf>
    <xf numFmtId="0" fontId="16" fillId="2" borderId="4" xfId="0" applyFont="1" applyFill="1" applyBorder="1" applyAlignment="1">
      <alignment horizontal="right" vertical="center" wrapText="1"/>
    </xf>
    <xf numFmtId="0" fontId="27" fillId="0" borderId="1" xfId="0" applyFont="1" applyBorder="1" applyAlignment="1">
      <alignment horizontal="center" vertical="center" wrapText="1"/>
    </xf>
    <xf numFmtId="0" fontId="18" fillId="8" borderId="1" xfId="3" applyFont="1" applyFill="1" applyBorder="1" applyAlignment="1">
      <alignment horizontal="left" vertical="center" wrapText="1"/>
    </xf>
    <xf numFmtId="0" fontId="27" fillId="0" borderId="8" xfId="0" applyFont="1" applyBorder="1" applyAlignment="1">
      <alignment horizontal="left" vertical="center" wrapText="1"/>
    </xf>
    <xf numFmtId="0" fontId="27" fillId="0" borderId="5" xfId="0" applyFont="1" applyBorder="1" applyAlignment="1">
      <alignment horizontal="left" vertical="center" wrapText="1"/>
    </xf>
    <xf numFmtId="0" fontId="12" fillId="0" borderId="0" xfId="0" applyFont="1" applyBorder="1" applyAlignment="1">
      <alignment horizontal="center" vertical="center" wrapText="1"/>
    </xf>
    <xf numFmtId="0" fontId="20" fillId="6" borderId="12" xfId="3" applyFont="1" applyFill="1" applyBorder="1" applyAlignment="1">
      <alignment horizontal="center"/>
    </xf>
    <xf numFmtId="0" fontId="20" fillId="6" borderId="13" xfId="3" applyFont="1" applyFill="1" applyBorder="1" applyAlignment="1">
      <alignment horizontal="center"/>
    </xf>
    <xf numFmtId="0" fontId="18" fillId="7" borderId="1" xfId="3" applyFont="1" applyFill="1" applyBorder="1" applyAlignment="1">
      <alignment horizontal="left" vertical="center" wrapText="1"/>
    </xf>
    <xf numFmtId="0" fontId="12" fillId="0" borderId="1" xfId="0" applyFont="1" applyBorder="1" applyAlignment="1">
      <alignment horizontal="left" vertical="center" wrapText="1"/>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7" fillId="26" borderId="2" xfId="0" applyFont="1" applyFill="1" applyBorder="1" applyAlignment="1">
      <alignment horizontal="center" vertical="center"/>
    </xf>
    <xf numFmtId="0" fontId="17" fillId="26" borderId="4" xfId="0" applyFont="1" applyFill="1" applyBorder="1" applyAlignment="1">
      <alignment horizontal="center" vertical="center"/>
    </xf>
    <xf numFmtId="49" fontId="12" fillId="26" borderId="2" xfId="0" applyNumberFormat="1" applyFont="1" applyFill="1" applyBorder="1" applyAlignment="1">
      <alignment horizontal="center" vertical="center"/>
    </xf>
    <xf numFmtId="49" fontId="12" fillId="26" borderId="4" xfId="0" applyNumberFormat="1" applyFont="1" applyFill="1" applyBorder="1" applyAlignment="1">
      <alignment horizontal="center" vertical="center"/>
    </xf>
    <xf numFmtId="0" fontId="12" fillId="3" borderId="2" xfId="0" applyFont="1" applyFill="1" applyBorder="1" applyAlignment="1">
      <alignment horizontal="center" vertical="center"/>
    </xf>
    <xf numFmtId="0" fontId="12" fillId="3" borderId="4" xfId="0" applyFont="1" applyFill="1" applyBorder="1" applyAlignment="1">
      <alignment horizontal="center" vertical="center"/>
    </xf>
    <xf numFmtId="0" fontId="12" fillId="0" borderId="2" xfId="0" applyFont="1" applyBorder="1" applyAlignment="1">
      <alignment horizontal="center" vertical="center"/>
    </xf>
    <xf numFmtId="0" fontId="12" fillId="0" borderId="1" xfId="5" applyFont="1" applyBorder="1" applyAlignment="1">
      <alignment horizontal="center"/>
    </xf>
    <xf numFmtId="0" fontId="12" fillId="0" borderId="1" xfId="10" applyFont="1" applyBorder="1" applyAlignment="1">
      <alignment horizontal="center" wrapText="1"/>
    </xf>
    <xf numFmtId="0" fontId="12" fillId="0" borderId="1" xfId="10" applyFont="1" applyBorder="1" applyAlignment="1">
      <alignment horizontal="center"/>
    </xf>
    <xf numFmtId="0" fontId="14" fillId="0" borderId="1" xfId="10" applyFont="1" applyBorder="1" applyAlignment="1">
      <alignment horizontal="center" vertical="center" wrapText="1"/>
    </xf>
    <xf numFmtId="0" fontId="14" fillId="0" borderId="1" xfId="10" applyFont="1" applyFill="1" applyBorder="1" applyAlignment="1">
      <alignment horizontal="center" vertical="center" wrapText="1"/>
    </xf>
    <xf numFmtId="3" fontId="14" fillId="0" borderId="1" xfId="10" applyNumberFormat="1" applyFont="1" applyBorder="1" applyAlignment="1">
      <alignment horizontal="center" vertical="center" wrapText="1"/>
    </xf>
    <xf numFmtId="0" fontId="43" fillId="0" borderId="1" xfId="5" applyFont="1" applyFill="1" applyBorder="1" applyAlignment="1" applyProtection="1">
      <alignment horizontal="center" vertical="center" wrapText="1"/>
      <protection locked="0"/>
    </xf>
    <xf numFmtId="0" fontId="43" fillId="0" borderId="4" xfId="5" applyFont="1" applyFill="1" applyBorder="1" applyAlignment="1" applyProtection="1">
      <alignment horizontal="center" vertical="center" wrapText="1"/>
      <protection locked="0"/>
    </xf>
    <xf numFmtId="0" fontId="5" fillId="0" borderId="1" xfId="5" applyFont="1" applyFill="1" applyBorder="1" applyAlignment="1" applyProtection="1">
      <alignment horizontal="center" vertical="center" wrapText="1"/>
      <protection locked="0"/>
    </xf>
    <xf numFmtId="0" fontId="5" fillId="0" borderId="4" xfId="5" applyFont="1" applyFill="1" applyBorder="1" applyAlignment="1" applyProtection="1">
      <alignment horizontal="center" vertical="center" wrapText="1"/>
      <protection locked="0"/>
    </xf>
    <xf numFmtId="0" fontId="4" fillId="0" borderId="1" xfId="5" applyFont="1" applyBorder="1" applyAlignment="1">
      <alignment horizontal="center"/>
    </xf>
    <xf numFmtId="0" fontId="5" fillId="0" borderId="0" xfId="12" applyFont="1" applyAlignment="1">
      <alignment horizontal="right"/>
    </xf>
    <xf numFmtId="0" fontId="5" fillId="0" borderId="0" xfId="12" applyFont="1" applyAlignment="1">
      <alignment horizontal="right" vertical="center" wrapText="1"/>
    </xf>
    <xf numFmtId="0" fontId="12" fillId="0" borderId="0" xfId="10" applyFont="1" applyAlignment="1">
      <alignment horizontal="right"/>
    </xf>
    <xf numFmtId="0" fontId="5" fillId="13" borderId="0" xfId="12" applyFont="1" applyFill="1" applyAlignment="1">
      <alignment horizontal="right"/>
    </xf>
    <xf numFmtId="0" fontId="38" fillId="0" borderId="8" xfId="5" applyFont="1" applyBorder="1" applyAlignment="1">
      <alignment horizontal="center"/>
    </xf>
    <xf numFmtId="0" fontId="13" fillId="0" borderId="2" xfId="0" applyFont="1" applyBorder="1" applyAlignment="1">
      <alignment horizontal="left"/>
    </xf>
    <xf numFmtId="0" fontId="13" fillId="0" borderId="3" xfId="0" applyFont="1" applyBorder="1" applyAlignment="1">
      <alignment horizontal="left"/>
    </xf>
    <xf numFmtId="0" fontId="13" fillId="0" borderId="4" xfId="0" applyFont="1" applyBorder="1" applyAlignment="1">
      <alignment horizontal="left"/>
    </xf>
    <xf numFmtId="0" fontId="12" fillId="26" borderId="1" xfId="0" applyFont="1" applyFill="1" applyBorder="1" applyAlignment="1">
      <alignment horizontal="right" vertical="center"/>
    </xf>
    <xf numFmtId="0" fontId="17" fillId="0" borderId="1" xfId="0" applyFont="1" applyBorder="1" applyAlignment="1">
      <alignment horizontal="right" vertical="center"/>
    </xf>
    <xf numFmtId="0" fontId="12" fillId="0" borderId="1" xfId="0" applyFont="1" applyBorder="1" applyAlignment="1">
      <alignment horizontal="right" vertical="center"/>
    </xf>
    <xf numFmtId="49" fontId="12" fillId="26" borderId="1" xfId="0" applyNumberFormat="1" applyFont="1" applyFill="1" applyBorder="1" applyAlignment="1">
      <alignment horizontal="right" vertical="center"/>
    </xf>
    <xf numFmtId="0" fontId="56" fillId="0" borderId="0" xfId="0" applyFont="1" applyAlignment="1">
      <alignment horizontal="left" vertical="top" wrapText="1"/>
    </xf>
    <xf numFmtId="0" fontId="14" fillId="16" borderId="8" xfId="5" applyFont="1" applyFill="1" applyBorder="1" applyAlignment="1">
      <alignment horizontal="center" vertical="center" wrapText="1"/>
    </xf>
    <xf numFmtId="0" fontId="14" fillId="16" borderId="5" xfId="5" applyFont="1" applyFill="1" applyBorder="1" applyAlignment="1">
      <alignment horizontal="center" vertical="center" wrapText="1"/>
    </xf>
    <xf numFmtId="0" fontId="12" fillId="28" borderId="1" xfId="0" applyFont="1" applyFill="1" applyBorder="1" applyAlignment="1">
      <alignment horizontal="center" vertical="center" wrapText="1"/>
    </xf>
    <xf numFmtId="0" fontId="12" fillId="28" borderId="3" xfId="0" applyFont="1" applyFill="1" applyBorder="1" applyAlignment="1">
      <alignment horizontal="center" vertical="center" wrapText="1"/>
    </xf>
    <xf numFmtId="3" fontId="14" fillId="6" borderId="1" xfId="0" applyNumberFormat="1" applyFont="1" applyFill="1" applyBorder="1" applyAlignment="1">
      <alignment horizontal="center" vertical="center" wrapText="1"/>
    </xf>
    <xf numFmtId="0" fontId="14" fillId="10" borderId="1" xfId="5" applyFont="1" applyFill="1" applyBorder="1" applyAlignment="1">
      <alignment horizontal="center" vertical="center" wrapText="1"/>
    </xf>
    <xf numFmtId="0" fontId="44" fillId="27" borderId="1" xfId="0" applyFont="1" applyFill="1" applyBorder="1" applyAlignment="1">
      <alignment horizontal="center" vertical="center" wrapText="1"/>
    </xf>
    <xf numFmtId="0" fontId="12" fillId="28" borderId="4" xfId="0" applyFont="1" applyFill="1" applyBorder="1" applyAlignment="1">
      <alignment horizontal="center" vertical="center" wrapText="1"/>
    </xf>
    <xf numFmtId="3" fontId="12" fillId="6" borderId="1" xfId="0" applyNumberFormat="1" applyFont="1" applyFill="1" applyBorder="1" applyAlignment="1">
      <alignment horizontal="center" vertical="center" wrapText="1"/>
    </xf>
    <xf numFmtId="0" fontId="12" fillId="20" borderId="1" xfId="5" applyFont="1" applyFill="1" applyBorder="1" applyAlignment="1">
      <alignment horizontal="center" vertical="center" wrapText="1"/>
    </xf>
    <xf numFmtId="0" fontId="12" fillId="28" borderId="8" xfId="0" applyFont="1" applyFill="1" applyBorder="1" applyAlignment="1">
      <alignment horizontal="center" vertical="center" wrapText="1"/>
    </xf>
    <xf numFmtId="0" fontId="12" fillId="28" borderId="5" xfId="0" applyFont="1" applyFill="1" applyBorder="1" applyAlignment="1">
      <alignment horizontal="center" vertical="center" wrapText="1"/>
    </xf>
    <xf numFmtId="3" fontId="12" fillId="28" borderId="8" xfId="0" applyNumberFormat="1" applyFont="1" applyFill="1" applyBorder="1" applyAlignment="1">
      <alignment horizontal="center" vertical="center" wrapText="1"/>
    </xf>
    <xf numFmtId="3" fontId="12" fillId="28" borderId="5" xfId="0" applyNumberFormat="1" applyFont="1" applyFill="1" applyBorder="1" applyAlignment="1">
      <alignment horizontal="center" vertical="center" wrapText="1"/>
    </xf>
    <xf numFmtId="0" fontId="22" fillId="6" borderId="1" xfId="0" applyFont="1" applyFill="1" applyBorder="1" applyAlignment="1">
      <alignment horizontal="left"/>
    </xf>
    <xf numFmtId="0" fontId="5" fillId="2" borderId="8"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8"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2" xfId="1" applyFont="1" applyFill="1" applyBorder="1" applyAlignment="1">
      <alignment horizontal="center" vertical="center"/>
    </xf>
    <xf numFmtId="0" fontId="5" fillId="2" borderId="4" xfId="1" applyFont="1" applyFill="1" applyBorder="1" applyAlignment="1">
      <alignment horizontal="center" vertical="center"/>
    </xf>
    <xf numFmtId="2" fontId="5" fillId="2" borderId="2" xfId="1" applyNumberFormat="1" applyFont="1" applyFill="1" applyBorder="1" applyAlignment="1">
      <alignment horizontal="center" vertical="center" wrapText="1"/>
    </xf>
    <xf numFmtId="2" fontId="5" fillId="2" borderId="4" xfId="1" applyNumberFormat="1" applyFont="1" applyFill="1" applyBorder="1" applyAlignment="1">
      <alignment horizontal="center" vertical="center" wrapText="1"/>
    </xf>
    <xf numFmtId="0" fontId="5" fillId="6" borderId="1" xfId="1" applyFont="1" applyFill="1" applyBorder="1" applyAlignment="1">
      <alignment horizontal="center" vertical="center" wrapText="1"/>
    </xf>
    <xf numFmtId="0" fontId="12" fillId="0" borderId="1" xfId="10" applyFont="1" applyBorder="1" applyAlignment="1">
      <alignment horizontal="left"/>
    </xf>
    <xf numFmtId="2" fontId="1" fillId="0" borderId="1" xfId="10" applyNumberFormat="1" applyBorder="1" applyAlignment="1">
      <alignment horizontal="center"/>
    </xf>
    <xf numFmtId="0" fontId="14" fillId="0" borderId="1" xfId="10" applyFont="1" applyBorder="1" applyAlignment="1">
      <alignment horizontal="left"/>
    </xf>
    <xf numFmtId="0" fontId="5" fillId="2" borderId="1" xfId="1" applyFont="1" applyFill="1" applyBorder="1" applyAlignment="1">
      <alignment horizontal="center" vertical="center" wrapText="1"/>
    </xf>
    <xf numFmtId="0" fontId="12" fillId="0" borderId="1" xfId="10" applyFont="1" applyBorder="1" applyAlignment="1">
      <alignment horizontal="left" wrapText="1"/>
    </xf>
    <xf numFmtId="0" fontId="12" fillId="0" borderId="2" xfId="10" applyFont="1" applyBorder="1" applyAlignment="1">
      <alignment horizontal="left"/>
    </xf>
    <xf numFmtId="0" fontId="12" fillId="0" borderId="3" xfId="10" applyFont="1" applyBorder="1" applyAlignment="1">
      <alignment horizontal="left"/>
    </xf>
    <xf numFmtId="0" fontId="22" fillId="6" borderId="39" xfId="0" applyFont="1" applyFill="1" applyBorder="1" applyAlignment="1">
      <alignment horizontal="left"/>
    </xf>
    <xf numFmtId="0" fontId="22" fillId="6" borderId="0" xfId="0" applyFont="1" applyFill="1" applyBorder="1" applyAlignment="1">
      <alignment horizontal="left"/>
    </xf>
    <xf numFmtId="0" fontId="22" fillId="6" borderId="32" xfId="0" applyFont="1" applyFill="1" applyBorder="1" applyAlignment="1">
      <alignment horizontal="left"/>
    </xf>
    <xf numFmtId="0" fontId="17" fillId="0" borderId="10" xfId="10" applyFont="1" applyBorder="1" applyAlignment="1">
      <alignment horizontal="left" vertical="top" wrapText="1"/>
    </xf>
    <xf numFmtId="0" fontId="17" fillId="0" borderId="0" xfId="10" applyFont="1" applyBorder="1" applyAlignment="1">
      <alignment horizontal="left" vertical="top" wrapText="1"/>
    </xf>
    <xf numFmtId="0" fontId="12" fillId="0" borderId="4" xfId="10" applyFont="1" applyBorder="1" applyAlignment="1">
      <alignment horizontal="left"/>
    </xf>
    <xf numFmtId="0" fontId="17" fillId="0" borderId="0" xfId="10" applyFont="1" applyAlignment="1">
      <alignment horizontal="left" wrapText="1"/>
    </xf>
    <xf numFmtId="0" fontId="12" fillId="0" borderId="6" xfId="10" applyFont="1" applyBorder="1" applyAlignment="1">
      <alignment horizontal="left"/>
    </xf>
    <xf numFmtId="0" fontId="14" fillId="6" borderId="1" xfId="10" applyFont="1" applyFill="1" applyBorder="1" applyAlignment="1">
      <alignment horizontal="right"/>
    </xf>
    <xf numFmtId="0" fontId="14" fillId="13" borderId="1" xfId="10" applyFont="1" applyFill="1" applyBorder="1" applyAlignment="1">
      <alignment horizontal="left"/>
    </xf>
    <xf numFmtId="0" fontId="4" fillId="0" borderId="0" xfId="4" applyFont="1" applyAlignment="1">
      <alignment horizontal="center"/>
    </xf>
    <xf numFmtId="0" fontId="23" fillId="0" borderId="0" xfId="4" applyFont="1" applyAlignment="1">
      <alignment horizontal="center"/>
    </xf>
    <xf numFmtId="0" fontId="17" fillId="0" borderId="1" xfId="4" applyFont="1" applyBorder="1" applyAlignment="1">
      <alignment vertical="center" wrapText="1"/>
    </xf>
    <xf numFmtId="0" fontId="17" fillId="0" borderId="2" xfId="4" applyFont="1" applyBorder="1" applyAlignment="1">
      <alignment wrapText="1"/>
    </xf>
    <xf numFmtId="0" fontId="17" fillId="0" borderId="3" xfId="4" applyFont="1" applyBorder="1" applyAlignment="1">
      <alignment wrapText="1"/>
    </xf>
    <xf numFmtId="0" fontId="17" fillId="0" borderId="4" xfId="4" applyFont="1" applyBorder="1" applyAlignment="1">
      <alignment wrapText="1"/>
    </xf>
    <xf numFmtId="0" fontId="17" fillId="0" borderId="2" xfId="4" applyFont="1" applyBorder="1" applyAlignment="1"/>
    <xf numFmtId="0" fontId="17" fillId="0" borderId="3" xfId="4" applyFont="1" applyBorder="1" applyAlignment="1"/>
    <xf numFmtId="0" fontId="17" fillId="0" borderId="4" xfId="4" applyFont="1" applyBorder="1" applyAlignment="1"/>
    <xf numFmtId="0" fontId="3" fillId="15" borderId="2" xfId="4" applyFont="1" applyFill="1" applyBorder="1" applyAlignment="1">
      <alignment horizontal="right"/>
    </xf>
    <xf numFmtId="0" fontId="3" fillId="15" borderId="3" xfId="4" applyFont="1" applyFill="1" applyBorder="1" applyAlignment="1">
      <alignment horizontal="right"/>
    </xf>
    <xf numFmtId="0" fontId="3" fillId="15" borderId="4" xfId="4" applyFont="1" applyFill="1" applyBorder="1" applyAlignment="1">
      <alignment horizontal="right"/>
    </xf>
    <xf numFmtId="0" fontId="32" fillId="7" borderId="23" xfId="4" applyFont="1" applyFill="1" applyBorder="1" applyAlignment="1">
      <alignment horizontal="left" wrapText="1"/>
    </xf>
    <xf numFmtId="0" fontId="32" fillId="7" borderId="6" xfId="4" applyFont="1" applyFill="1" applyBorder="1" applyAlignment="1">
      <alignment horizontal="left" wrapText="1"/>
    </xf>
    <xf numFmtId="0" fontId="32" fillId="7" borderId="9" xfId="4" applyFont="1" applyFill="1" applyBorder="1" applyAlignment="1">
      <alignment horizontal="left" wrapText="1"/>
    </xf>
    <xf numFmtId="0" fontId="32" fillId="7" borderId="24" xfId="4" applyFont="1" applyFill="1" applyBorder="1" applyAlignment="1">
      <alignment horizontal="left" wrapText="1"/>
    </xf>
    <xf numFmtId="0" fontId="32" fillId="7" borderId="11" xfId="4" applyFont="1" applyFill="1" applyBorder="1" applyAlignment="1">
      <alignment horizontal="left" wrapText="1"/>
    </xf>
    <xf numFmtId="0" fontId="32" fillId="7" borderId="25" xfId="4" applyFont="1" applyFill="1" applyBorder="1" applyAlignment="1">
      <alignment horizontal="left" wrapText="1"/>
    </xf>
    <xf numFmtId="0" fontId="17" fillId="0" borderId="2" xfId="4" applyFont="1" applyBorder="1" applyAlignment="1">
      <alignment vertical="center" wrapText="1"/>
    </xf>
    <xf numFmtId="0" fontId="17" fillId="0" borderId="3" xfId="4" applyFont="1" applyBorder="1" applyAlignment="1">
      <alignment vertical="center" wrapText="1"/>
    </xf>
    <xf numFmtId="0" fontId="17" fillId="0" borderId="4" xfId="4" applyFont="1" applyBorder="1" applyAlignment="1">
      <alignment vertical="center" wrapText="1"/>
    </xf>
    <xf numFmtId="0" fontId="17" fillId="0" borderId="2" xfId="4" applyFont="1" applyBorder="1" applyAlignment="1">
      <alignment vertical="center"/>
    </xf>
    <xf numFmtId="0" fontId="17" fillId="0" borderId="3" xfId="4" applyFont="1" applyBorder="1" applyAlignment="1">
      <alignment vertical="center"/>
    </xf>
    <xf numFmtId="0" fontId="17" fillId="0" borderId="4" xfId="4" applyFont="1" applyBorder="1" applyAlignment="1">
      <alignment vertical="center"/>
    </xf>
    <xf numFmtId="0" fontId="110" fillId="0" borderId="0" xfId="0" applyFont="1" applyAlignment="1">
      <alignment horizontal="left" vertical="top"/>
    </xf>
    <xf numFmtId="0" fontId="13" fillId="6" borderId="1" xfId="0" applyFont="1" applyFill="1" applyBorder="1" applyAlignment="1">
      <alignment horizontal="left"/>
    </xf>
    <xf numFmtId="0" fontId="32" fillId="0" borderId="0" xfId="0" applyFont="1" applyAlignment="1">
      <alignment horizontal="left" vertical="center"/>
    </xf>
    <xf numFmtId="0" fontId="111" fillId="0" borderId="0" xfId="0" applyFont="1" applyAlignment="1">
      <alignment horizontal="left" vertical="top" wrapText="1"/>
    </xf>
    <xf numFmtId="0" fontId="110" fillId="0" borderId="0" xfId="0" applyFont="1" applyAlignment="1">
      <alignment horizontal="left" vertical="top" wrapText="1"/>
    </xf>
    <xf numFmtId="0" fontId="111" fillId="0" borderId="0" xfId="0" applyFont="1" applyAlignment="1">
      <alignment horizontal="left" vertical="top"/>
    </xf>
    <xf numFmtId="0" fontId="20" fillId="0" borderId="0" xfId="0" applyFont="1" applyAlignment="1">
      <alignment horizontal="center" vertical="center" wrapText="1"/>
    </xf>
    <xf numFmtId="49" fontId="5" fillId="0" borderId="51" xfId="0" applyNumberFormat="1" applyFont="1" applyBorder="1" applyAlignment="1">
      <alignment horizontal="center" vertical="center" wrapText="1"/>
    </xf>
    <xf numFmtId="49" fontId="5" fillId="0" borderId="55" xfId="0" applyNumberFormat="1" applyFont="1" applyBorder="1" applyAlignment="1">
      <alignment horizontal="center" vertical="center" wrapText="1"/>
    </xf>
    <xf numFmtId="49" fontId="5" fillId="0" borderId="56" xfId="0" applyNumberFormat="1" applyFont="1" applyBorder="1" applyAlignment="1">
      <alignment horizontal="center" vertical="center" wrapText="1"/>
    </xf>
    <xf numFmtId="0" fontId="5" fillId="0" borderId="79" xfId="0" applyFont="1" applyBorder="1" applyAlignment="1">
      <alignment horizontal="center" vertical="center" wrapText="1"/>
    </xf>
    <xf numFmtId="0" fontId="5" fillId="0" borderId="1" xfId="0" applyFont="1" applyBorder="1" applyAlignment="1">
      <alignment horizontal="center" vertical="center" wrapText="1"/>
    </xf>
    <xf numFmtId="0" fontId="43" fillId="0" borderId="79" xfId="0" applyFont="1" applyBorder="1" applyAlignment="1">
      <alignment horizontal="center" vertical="center" wrapText="1"/>
    </xf>
    <xf numFmtId="0" fontId="43" fillId="0" borderId="1" xfId="0" applyFont="1" applyBorder="1" applyAlignment="1">
      <alignment horizontal="center" vertical="center" wrapText="1"/>
    </xf>
    <xf numFmtId="0" fontId="5" fillId="10" borderId="53" xfId="0" applyFont="1" applyFill="1" applyBorder="1" applyAlignment="1">
      <alignment horizontal="center" vertical="center" wrapText="1"/>
    </xf>
    <xf numFmtId="0" fontId="5" fillId="10" borderId="37" xfId="0" applyFont="1" applyFill="1" applyBorder="1" applyAlignment="1">
      <alignment horizontal="center" vertical="center" wrapText="1"/>
    </xf>
    <xf numFmtId="0" fontId="5" fillId="10" borderId="24" xfId="0" applyFont="1" applyFill="1" applyBorder="1" applyAlignment="1">
      <alignment horizontal="center" vertical="center" wrapText="1"/>
    </xf>
    <xf numFmtId="0" fontId="5" fillId="10" borderId="11" xfId="0" applyFont="1" applyFill="1" applyBorder="1" applyAlignment="1">
      <alignment horizontal="center" vertical="center" wrapText="1"/>
    </xf>
    <xf numFmtId="0" fontId="5" fillId="10" borderId="36" xfId="0" applyFont="1" applyFill="1" applyBorder="1" applyAlignment="1">
      <alignment horizontal="center" vertical="center" wrapText="1"/>
    </xf>
    <xf numFmtId="0" fontId="5" fillId="10" borderId="38" xfId="0" applyFont="1" applyFill="1" applyBorder="1" applyAlignment="1">
      <alignment horizontal="center" vertical="center" wrapText="1"/>
    </xf>
    <xf numFmtId="0" fontId="5" fillId="10" borderId="86" xfId="0" applyFont="1" applyFill="1" applyBorder="1" applyAlignment="1">
      <alignment horizontal="center" vertical="center" wrapText="1"/>
    </xf>
    <xf numFmtId="0" fontId="5" fillId="10" borderId="82" xfId="0" applyFont="1" applyFill="1" applyBorder="1" applyAlignment="1">
      <alignment horizontal="center" vertical="center" wrapText="1"/>
    </xf>
    <xf numFmtId="0" fontId="4" fillId="0" borderId="94" xfId="0" applyFont="1" applyBorder="1" applyAlignment="1">
      <alignment horizontal="center" vertical="center" wrapText="1"/>
    </xf>
    <xf numFmtId="0" fontId="4" fillId="0" borderId="95" xfId="0" applyFont="1" applyBorder="1" applyAlignment="1">
      <alignment horizontal="center" vertical="center" wrapText="1"/>
    </xf>
    <xf numFmtId="0" fontId="13" fillId="6" borderId="2" xfId="0" applyFont="1" applyFill="1" applyBorder="1" applyAlignment="1">
      <alignment horizontal="right"/>
    </xf>
    <xf numFmtId="0" fontId="13" fillId="6" borderId="3" xfId="0" applyFont="1" applyFill="1" applyBorder="1" applyAlignment="1">
      <alignment horizontal="right"/>
    </xf>
    <xf numFmtId="0" fontId="13" fillId="6" borderId="4" xfId="0" applyFont="1" applyFill="1" applyBorder="1" applyAlignment="1">
      <alignment horizontal="right"/>
    </xf>
    <xf numFmtId="0" fontId="34" fillId="0" borderId="42" xfId="0" applyFont="1" applyBorder="1" applyAlignment="1">
      <alignment horizontal="right" wrapText="1"/>
    </xf>
    <xf numFmtId="0" fontId="4" fillId="0" borderId="77" xfId="0" applyFont="1" applyBorder="1" applyAlignment="1">
      <alignment horizontal="center" vertical="center" wrapText="1"/>
    </xf>
    <xf numFmtId="0" fontId="4" fillId="0" borderId="3" xfId="0" applyFont="1" applyBorder="1" applyAlignment="1">
      <alignment horizontal="center"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0" fontId="14" fillId="0" borderId="1" xfId="0" applyFont="1" applyBorder="1" applyAlignment="1">
      <alignment horizontal="right" vertical="center" wrapText="1"/>
    </xf>
    <xf numFmtId="0" fontId="5" fillId="0" borderId="2" xfId="0" applyFont="1" applyBorder="1" applyAlignment="1">
      <alignment horizontal="right" vertical="center" wrapText="1"/>
    </xf>
    <xf numFmtId="0" fontId="5" fillId="0" borderId="4" xfId="0" applyFont="1" applyBorder="1" applyAlignment="1">
      <alignment horizontal="right" vertical="center" wrapText="1"/>
    </xf>
    <xf numFmtId="0" fontId="5" fillId="2" borderId="2" xfId="0" applyFont="1" applyFill="1" applyBorder="1" applyAlignment="1">
      <alignment horizontal="right" vertical="center" wrapText="1"/>
    </xf>
    <xf numFmtId="0" fontId="5" fillId="2" borderId="4" xfId="0" applyFont="1" applyFill="1" applyBorder="1" applyAlignment="1">
      <alignment horizontal="right" vertical="center" wrapText="1"/>
    </xf>
    <xf numFmtId="0" fontId="5" fillId="2" borderId="97" xfId="0" applyFont="1" applyFill="1" applyBorder="1" applyAlignment="1">
      <alignment horizontal="right" vertical="center" wrapText="1"/>
    </xf>
    <xf numFmtId="0" fontId="5" fillId="2" borderId="98" xfId="0" applyFont="1" applyFill="1" applyBorder="1" applyAlignment="1">
      <alignment horizontal="right" vertical="center" wrapText="1"/>
    </xf>
    <xf numFmtId="0" fontId="34" fillId="0" borderId="0" xfId="0" applyFont="1" applyAlignment="1">
      <alignment horizontal="left" vertical="top" wrapText="1"/>
    </xf>
    <xf numFmtId="0" fontId="34" fillId="0" borderId="2" xfId="0" applyFont="1" applyBorder="1" applyAlignment="1">
      <alignment horizontal="center" vertical="top" wrapText="1"/>
    </xf>
    <xf numFmtId="0" fontId="34" fillId="0" borderId="3" xfId="0" applyFont="1" applyBorder="1" applyAlignment="1">
      <alignment horizontal="center" vertical="top" wrapText="1"/>
    </xf>
    <xf numFmtId="0" fontId="34" fillId="0" borderId="4" xfId="0" applyFont="1" applyBorder="1" applyAlignment="1">
      <alignment horizontal="center" vertical="top" wrapText="1"/>
    </xf>
    <xf numFmtId="3" fontId="29" fillId="2" borderId="2" xfId="0" applyNumberFormat="1" applyFont="1" applyFill="1" applyBorder="1" applyAlignment="1">
      <alignment horizontal="right" vertical="center"/>
    </xf>
    <xf numFmtId="3" fontId="29" fillId="2" borderId="3" xfId="0" applyNumberFormat="1" applyFont="1" applyFill="1" applyBorder="1" applyAlignment="1">
      <alignment horizontal="right" vertical="center"/>
    </xf>
    <xf numFmtId="3" fontId="29" fillId="2" borderId="4" xfId="0" applyNumberFormat="1" applyFont="1" applyFill="1" applyBorder="1" applyAlignment="1">
      <alignment horizontal="right" vertical="center"/>
    </xf>
    <xf numFmtId="3" fontId="17" fillId="2" borderId="2" xfId="0" applyNumberFormat="1" applyFont="1" applyFill="1" applyBorder="1" applyAlignment="1">
      <alignment horizontal="right" vertical="center"/>
    </xf>
    <xf numFmtId="3" fontId="17" fillId="2" borderId="3" xfId="0" applyNumberFormat="1" applyFont="1" applyFill="1" applyBorder="1" applyAlignment="1">
      <alignment horizontal="right" vertical="center"/>
    </xf>
    <xf numFmtId="3" fontId="17" fillId="2" borderId="4" xfId="0" applyNumberFormat="1" applyFont="1" applyFill="1" applyBorder="1" applyAlignment="1">
      <alignment horizontal="right" vertical="center"/>
    </xf>
    <xf numFmtId="3" fontId="14" fillId="2" borderId="2" xfId="0" applyNumberFormat="1" applyFont="1" applyFill="1" applyBorder="1" applyAlignment="1">
      <alignment horizontal="right" vertical="center"/>
    </xf>
    <xf numFmtId="3" fontId="14" fillId="2" borderId="3" xfId="0" applyNumberFormat="1" applyFont="1" applyFill="1" applyBorder="1" applyAlignment="1">
      <alignment horizontal="right" vertical="center"/>
    </xf>
    <xf numFmtId="3" fontId="14" fillId="2" borderId="4" xfId="0" applyNumberFormat="1" applyFont="1" applyFill="1" applyBorder="1" applyAlignment="1">
      <alignment horizontal="right" vertical="center"/>
    </xf>
    <xf numFmtId="0" fontId="34" fillId="0" borderId="37" xfId="0" applyFont="1" applyBorder="1" applyAlignment="1">
      <alignment horizontal="left" vertical="top" wrapText="1"/>
    </xf>
  </cellXfs>
  <cellStyles count="24">
    <cellStyle name="Normal" xfId="0" builtinId="0"/>
    <cellStyle name="Normal 10 2 2" xfId="8" xr:uid="{00000000-0005-0000-0000-000001000000}"/>
    <cellStyle name="Normal 10 7" xfId="2" xr:uid="{00000000-0005-0000-0000-000002000000}"/>
    <cellStyle name="Normal 2" xfId="4" xr:uid="{00000000-0005-0000-0000-000003000000}"/>
    <cellStyle name="Normal 2 12" xfId="22" xr:uid="{C5EF4A16-DE61-41F3-BFAF-49F636569046}"/>
    <cellStyle name="Normal 2 2" xfId="1" xr:uid="{00000000-0005-0000-0000-000004000000}"/>
    <cellStyle name="Normal 2 3" xfId="10" xr:uid="{00000000-0005-0000-0000-000005000000}"/>
    <cellStyle name="Normal 2 4" xfId="21" xr:uid="{07EE050A-3093-4DDF-A77B-867106D37B23}"/>
    <cellStyle name="Normal 28 7" xfId="9" xr:uid="{00000000-0005-0000-0000-000006000000}"/>
    <cellStyle name="Normal 3" xfId="5" xr:uid="{00000000-0005-0000-0000-000007000000}"/>
    <cellStyle name="Normal 3 10" xfId="20" xr:uid="{8DD67573-6C37-41C1-ADD8-264348BB0714}"/>
    <cellStyle name="Normal 3 2" xfId="14" xr:uid="{00000000-0005-0000-0000-000008000000}"/>
    <cellStyle name="Normal 3 3" xfId="6" xr:uid="{00000000-0005-0000-0000-000009000000}"/>
    <cellStyle name="Normal 3 3 3" xfId="18" xr:uid="{00000000-0005-0000-0000-00000A000000}"/>
    <cellStyle name="Normal 39 9" xfId="3" xr:uid="{00000000-0005-0000-0000-00000B000000}"/>
    <cellStyle name="Normal 4" xfId="17" xr:uid="{00000000-0005-0000-0000-00000C000000}"/>
    <cellStyle name="Normal 4 10" xfId="12" xr:uid="{00000000-0005-0000-0000-00000D000000}"/>
    <cellStyle name="Normal 5" xfId="13" xr:uid="{00000000-0005-0000-0000-00000E000000}"/>
    <cellStyle name="Normal 5 2" xfId="15" xr:uid="{00000000-0005-0000-0000-00000F000000}"/>
    <cellStyle name="Normal 51" xfId="16" xr:uid="{00000000-0005-0000-0000-000010000000}"/>
    <cellStyle name="Normal 6" xfId="23" xr:uid="{3659C42C-444D-485E-B918-1F951392FE60}"/>
    <cellStyle name="Normal_Jaunie tarifi" xfId="11" xr:uid="{00000000-0005-0000-0000-000011000000}"/>
    <cellStyle name="Normal_Sheet1 2" xfId="7" xr:uid="{00000000-0005-0000-0000-000013000000}"/>
    <cellStyle name="Percent 2" xfId="19"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5.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3.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ilvijaJ/Local%20Settings/Temporary%20Internet%20Files/Content.IE5/F51GHD5U/KristineS/My%20Documents/Bud&#382;ets%202012/Budzeta%20forma%2014_05%2001%202012%20(2).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Documents%20and%20Settings/Svetlana.Supulniece/Local%20Settings/Temporary%20Internet%20Files/Content.Outlook/J21U5MYL/LIC%20PP%20parrekins%20pec%202012%209m%20DB/LIC%20laboratorija/R0032%20-LIC%20darbs%20laboratorija%20citam%20ar%20palidz%20veidu%20AI%2031102012.xls?73E465BC" TargetMode="External"/><Relationship Id="rId1" Type="http://schemas.openxmlformats.org/officeDocument/2006/relationships/externalLinkPath" Target="file:///\\73E465BC\R0032%20-LIC%20darbs%20laboratorija%20citam%20ar%20palidz%20veidu%20AI%20311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mbulatoro_pakalpojumu_nodala/Planosana_2012/SAVA/!_Grozijumi%202012.gada%20laikaa/Egija_Grozijumi%20ar%2001.10.2012_NEPIENEMTIE/Apaksas%20SAVA%20rikojuma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iga.citskovska/Documents/2016/Aknu_transp_04.2016/Aknu_transp_kop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01%20ATZINUMI%20Manipulaciju%20apaksas\CIT&#256;S%20SADA&#315;&#256;S%20NEIEK&#315;AUT&#256;S%20MANIPUL&#256;CIJAS\Enter&#257;l&#257;%20un%20parenter&#257;l&#257;%20baro&#353;ana_ievie&#353;ana%20no%201.07.2020\2020.04.09._Kop&#275;j&#257;s%20izmaksas_enter&#257;l&#257;%20un%20parenter&#257;l&#257;%20baro&#353;an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Kitija%20Irbe/Desktop/Paliat&#299;v&#257;s%20apr&#363;pes%20zi&#326;ojums/APR&#274;&#310;INI%20NO%20&#290;IRSTA/08%20Hronisko%20Aprupes%20Paliativo%20GD%2007_0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_pamatlidzekli"/>
      <sheetName val="pec str._PL"/>
      <sheetName val="pēc izm.p. PL"/>
      <sheetName val="pamatlidzekli"/>
      <sheetName val="CITO PL"/>
      <sheetName val="pamatlidzekli (2)"/>
      <sheetName val="PT_mazv.inv."/>
      <sheetName val="pēc izm.p. MI"/>
      <sheetName val="pec str_MI"/>
      <sheetName val="mazv.inventars"/>
      <sheetName val="CITO MI"/>
      <sheetName val="mazv.inventars (2)"/>
      <sheetName val="pakalpojums"/>
      <sheetName val="strukturkodi"/>
      <sheetName val="izm.posteni"/>
      <sheetName val="pec_str__PL"/>
      <sheetName val="pec_str__PL1"/>
      <sheetName val="pēc_izm_p__PL"/>
      <sheetName val="CITO_PL"/>
      <sheetName val="pamatlidzekli_(2)"/>
      <sheetName val="PT_mazv_inv_"/>
      <sheetName val="pēc_izm_p__MI"/>
      <sheetName val="pec_str_MI"/>
      <sheetName val="mazv_inventars"/>
      <sheetName val="CITO_MI"/>
      <sheetName val="mazv_inventars_(2)"/>
      <sheetName val="izm_posten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0032"/>
      <sheetName val="Macro1"/>
      <sheetName val="Datu baze bez -"/>
      <sheetName val="Tarifi 18.piel"/>
      <sheetName val="Manip ar 0 tarif"/>
      <sheetName val="LIC tarifi"/>
    </sheetNames>
    <sheetDataSet>
      <sheetData sheetId="0" refreshError="1"/>
      <sheetData sheetId="1">
        <row r="80">
          <cell r="A80" t="str">
            <v>Recover</v>
          </cell>
        </row>
      </sheetData>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Rikojumam"/>
      <sheetName val="Invaliditātei"/>
      <sheetName val="Sheet5"/>
      <sheetName val="Macro1"/>
      <sheetName val="ligumi kopa"/>
      <sheetName val="Datu avoti"/>
      <sheetName val="R0020"/>
      <sheetName val="trukstosie izm."/>
      <sheetName val="Pivot no Rīkoj."/>
      <sheetName val="RIKOJUMS (ar apakšām)"/>
      <sheetName val="RIKOJUMS_GALA"/>
      <sheetName val="Sadal.pa PP no 01.10.2012"/>
      <sheetName val="Pac.iem."/>
    </sheetNames>
    <sheetDataSet>
      <sheetData sheetId="0" refreshError="1"/>
      <sheetData sheetId="1" refreshError="1"/>
      <sheetData sheetId="2" refreshError="1"/>
      <sheetData sheetId="3">
        <row r="106">
          <cell r="A106" t="str">
            <v>Recover</v>
          </cell>
        </row>
      </sheetData>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sheetName val="teksts"/>
      <sheetName val="amb"/>
      <sheetName val="Opera_salidz"/>
      <sheetName val="salidzinajums"/>
      <sheetName val="p2"/>
      <sheetName val="personals"/>
      <sheetName val="pers(sakotn.versija)"/>
    </sheetNames>
    <sheetDataSet>
      <sheetData sheetId="0">
        <row r="4">
          <cell r="B4">
            <v>20.833333333333332</v>
          </cell>
        </row>
        <row r="5">
          <cell r="B5">
            <v>168</v>
          </cell>
        </row>
        <row r="6">
          <cell r="B6">
            <v>9.5833333333333339</v>
          </cell>
        </row>
        <row r="7">
          <cell r="B7">
            <v>1.25</v>
          </cell>
        </row>
      </sheetData>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pējās izmaksas_manipulācijas"/>
      <sheetName val="M1"/>
      <sheetName val="M2"/>
      <sheetName val="M3"/>
      <sheetName val="M4"/>
      <sheetName val="Kopējās izmaksas_laboratorija"/>
      <sheetName val="L1"/>
      <sheetName val="L2"/>
      <sheetName val="L3"/>
      <sheetName val="Kopējās izmaksas_kabinets"/>
      <sheetName val="Iepirkumam nepieciešamais fin."/>
      <sheetName val="Papildus tarifi"/>
      <sheetName val="P1_ilgkatetrs"/>
      <sheetName val="P4_balonveida gastrosto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5">
          <cell r="D5">
            <v>45</v>
          </cell>
          <cell r="E5">
            <v>60</v>
          </cell>
        </row>
        <row r="25">
          <cell r="I25">
            <v>18.076000000000001</v>
          </cell>
        </row>
        <row r="30">
          <cell r="I30">
            <v>4.2370000000000001</v>
          </cell>
        </row>
        <row r="34">
          <cell r="I34">
            <v>8.8999999999999999E-3</v>
          </cell>
        </row>
        <row r="40">
          <cell r="I40">
            <v>105.62</v>
          </cell>
        </row>
        <row r="46">
          <cell r="I46">
            <v>225.71</v>
          </cell>
        </row>
      </sheetData>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M"/>
      <sheetName val="Paliativa"/>
      <sheetName val="Hroniska"/>
      <sheetName val="Aprupes"/>
      <sheetName val="(Pr Pal)"/>
      <sheetName val="(Pr Hr)"/>
      <sheetName val="(Pr Apr)"/>
      <sheetName val="TehPal Pal"/>
      <sheetName val="TehPal Hr"/>
      <sheetName val="TehPal Apr"/>
      <sheetName val="Transports"/>
    </sheetNames>
    <sheetDataSet>
      <sheetData sheetId="0" refreshError="1"/>
      <sheetData sheetId="1" refreshError="1"/>
      <sheetData sheetId="2" refreshError="1"/>
      <sheetData sheetId="3" refreshError="1"/>
      <sheetData sheetId="4" refreshError="1">
        <row r="14">
          <cell r="F14">
            <v>0.30450223582019298</v>
          </cell>
        </row>
        <row r="156">
          <cell r="F156">
            <v>9.3179999999999996</v>
          </cell>
        </row>
      </sheetData>
      <sheetData sheetId="5" refreshError="1">
        <row r="13">
          <cell r="F13">
            <v>8.5517036087195443E-3</v>
          </cell>
        </row>
        <row r="197">
          <cell r="F197">
            <v>6.8</v>
          </cell>
        </row>
      </sheetData>
      <sheetData sheetId="6" refreshError="1">
        <row r="23">
          <cell r="F23">
            <v>1.2570919635459816</v>
          </cell>
        </row>
        <row r="83">
          <cell r="F83">
            <v>9.6999999999999993</v>
          </cell>
        </row>
      </sheetData>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E9F41-5EB6-4748-AA80-3C6A21399370}">
  <dimension ref="A1:AH44"/>
  <sheetViews>
    <sheetView topLeftCell="A16" zoomScale="70" zoomScaleNormal="70" workbookViewId="0">
      <selection activeCell="D42" sqref="D42"/>
    </sheetView>
  </sheetViews>
  <sheetFormatPr defaultRowHeight="15.75" x14ac:dyDescent="0.25"/>
  <cols>
    <col min="1" max="1" width="12.140625" style="555" customWidth="1"/>
    <col min="2" max="2" width="102.7109375" style="555" customWidth="1"/>
    <col min="3" max="3" width="7.5703125" style="752" customWidth="1"/>
    <col min="4" max="4" width="36.42578125" style="555" customWidth="1"/>
    <col min="5" max="7" width="12.42578125" style="555" customWidth="1"/>
    <col min="8" max="10" width="12.85546875" style="555" customWidth="1"/>
    <col min="11" max="12" width="13.42578125" style="555" customWidth="1"/>
    <col min="13" max="16384" width="9.140625" style="555"/>
  </cols>
  <sheetData>
    <row r="1" spans="1:12" x14ac:dyDescent="0.25">
      <c r="G1" s="100"/>
      <c r="H1" s="901"/>
      <c r="I1" s="901"/>
      <c r="J1" s="100"/>
      <c r="K1" s="1137" t="s">
        <v>1341</v>
      </c>
      <c r="L1" s="1137"/>
    </row>
    <row r="2" spans="1:12" ht="55.5" customHeight="1" x14ac:dyDescent="0.25">
      <c r="G2" s="1136" t="s">
        <v>1342</v>
      </c>
      <c r="H2" s="1136"/>
      <c r="I2" s="1136"/>
      <c r="J2" s="1136"/>
      <c r="K2" s="1136"/>
      <c r="L2" s="1136"/>
    </row>
    <row r="3" spans="1:12" x14ac:dyDescent="0.25">
      <c r="A3" s="1140" t="s">
        <v>1209</v>
      </c>
      <c r="B3" s="1140" t="s">
        <v>1210</v>
      </c>
      <c r="C3" s="1140" t="s">
        <v>1186</v>
      </c>
      <c r="D3" s="1140" t="s">
        <v>1004</v>
      </c>
      <c r="E3" s="1153" t="s">
        <v>1333</v>
      </c>
      <c r="F3" s="1154"/>
      <c r="G3" s="1155"/>
      <c r="H3" s="1143" t="s">
        <v>1334</v>
      </c>
      <c r="I3" s="1144"/>
      <c r="J3" s="1144"/>
      <c r="K3" s="1144"/>
      <c r="L3" s="1145"/>
    </row>
    <row r="4" spans="1:12" ht="110.25" x14ac:dyDescent="0.25">
      <c r="A4" s="1141"/>
      <c r="B4" s="1142"/>
      <c r="C4" s="1142"/>
      <c r="D4" s="1142"/>
      <c r="E4" s="1156"/>
      <c r="F4" s="1157"/>
      <c r="G4" s="1158"/>
      <c r="H4" s="556" t="s">
        <v>1005</v>
      </c>
      <c r="I4" s="556" t="s">
        <v>1006</v>
      </c>
      <c r="J4" s="556" t="s">
        <v>1407</v>
      </c>
      <c r="K4" s="557" t="s">
        <v>1007</v>
      </c>
      <c r="L4" s="558" t="s">
        <v>1008</v>
      </c>
    </row>
    <row r="5" spans="1:12" x14ac:dyDescent="0.25">
      <c r="A5" s="559"/>
      <c r="B5" s="758" t="s">
        <v>219</v>
      </c>
      <c r="C5" s="559"/>
      <c r="D5" s="560"/>
      <c r="E5" s="561">
        <f>E6+E13</f>
        <v>17970759.332018316</v>
      </c>
      <c r="F5" s="561">
        <f t="shared" ref="F5:G5" si="0">F6+F13</f>
        <v>17970759.332018316</v>
      </c>
      <c r="G5" s="561">
        <f t="shared" si="0"/>
        <v>17970759.332018316</v>
      </c>
      <c r="H5" s="561">
        <f>H6+H13</f>
        <v>18048895.055007391</v>
      </c>
      <c r="I5" s="561">
        <f>I6+I13</f>
        <v>18924995.123492315</v>
      </c>
      <c r="J5" s="561">
        <f>J6+J13</f>
        <v>20017217.19197724</v>
      </c>
      <c r="K5" s="561">
        <f>K6+K13</f>
        <v>0</v>
      </c>
      <c r="L5" s="561">
        <f>L6+L13</f>
        <v>20017217.19197724</v>
      </c>
    </row>
    <row r="6" spans="1:12" x14ac:dyDescent="0.25">
      <c r="A6" s="559"/>
      <c r="B6" s="750" t="s">
        <v>1014</v>
      </c>
      <c r="C6" s="559"/>
      <c r="D6" s="560"/>
      <c r="E6" s="802">
        <f>SUM(E7:E12)</f>
        <v>17065989</v>
      </c>
      <c r="F6" s="802">
        <f t="shared" ref="F6:G6" si="1">SUM(F7:F12)</f>
        <v>17065989</v>
      </c>
      <c r="G6" s="802">
        <f t="shared" si="1"/>
        <v>17065989</v>
      </c>
      <c r="H6" s="561">
        <f>SUM(H7:H12)</f>
        <v>5793510.7546199299</v>
      </c>
      <c r="I6" s="561">
        <f>SUM(I7:I12)</f>
        <v>6153866.1433584671</v>
      </c>
      <c r="J6" s="561">
        <f>SUM(J7:J12)</f>
        <v>6553319.5320970025</v>
      </c>
      <c r="K6" s="561">
        <f t="shared" ref="K6" si="2">SUM(K7:K12)</f>
        <v>0</v>
      </c>
      <c r="L6" s="561">
        <f>SUM(L7:L12)</f>
        <v>6553319.5320970025</v>
      </c>
    </row>
    <row r="7" spans="1:12" ht="28.5" customHeight="1" x14ac:dyDescent="0.25">
      <c r="A7" s="559"/>
      <c r="B7" s="803" t="s">
        <v>1225</v>
      </c>
      <c r="C7" s="559"/>
      <c r="D7" s="804" t="s">
        <v>996</v>
      </c>
      <c r="E7" s="898">
        <f>E18</f>
        <v>0</v>
      </c>
      <c r="F7" s="898">
        <f t="shared" ref="F7:K7" si="3">F18</f>
        <v>0</v>
      </c>
      <c r="G7" s="898">
        <f t="shared" si="3"/>
        <v>0</v>
      </c>
      <c r="H7" s="898">
        <f t="shared" si="3"/>
        <v>424800</v>
      </c>
      <c r="I7" s="898">
        <f t="shared" si="3"/>
        <v>781200</v>
      </c>
      <c r="J7" s="898">
        <f t="shared" si="3"/>
        <v>1137600</v>
      </c>
      <c r="K7" s="898">
        <f t="shared" si="3"/>
        <v>0</v>
      </c>
      <c r="L7" s="898">
        <f>'3.6.'!P7</f>
        <v>1137600</v>
      </c>
    </row>
    <row r="8" spans="1:12" ht="28.5" customHeight="1" x14ac:dyDescent="0.25">
      <c r="A8" s="559"/>
      <c r="B8" s="803"/>
      <c r="C8" s="559"/>
      <c r="D8" s="804" t="s">
        <v>998</v>
      </c>
      <c r="E8" s="898">
        <f>E25+E34+E35</f>
        <v>49069</v>
      </c>
      <c r="F8" s="898">
        <f t="shared" ref="F8:L8" si="4">F25+F34+F35</f>
        <v>49069</v>
      </c>
      <c r="G8" s="898">
        <f t="shared" si="4"/>
        <v>49069</v>
      </c>
      <c r="H8" s="898">
        <f t="shared" si="4"/>
        <v>246642</v>
      </c>
      <c r="I8" s="898">
        <f t="shared" si="4"/>
        <v>265147</v>
      </c>
      <c r="J8" s="898">
        <f t="shared" si="4"/>
        <v>283653</v>
      </c>
      <c r="K8" s="898">
        <f t="shared" si="4"/>
        <v>0</v>
      </c>
      <c r="L8" s="898">
        <f t="shared" si="4"/>
        <v>283653</v>
      </c>
    </row>
    <row r="9" spans="1:12" ht="28.5" customHeight="1" x14ac:dyDescent="0.25">
      <c r="A9" s="559"/>
      <c r="B9" s="803"/>
      <c r="C9" s="559"/>
      <c r="D9" s="804" t="s">
        <v>997</v>
      </c>
      <c r="E9" s="898">
        <f>E22</f>
        <v>0</v>
      </c>
      <c r="F9" s="898">
        <f t="shared" ref="F9:L9" si="5">F22</f>
        <v>0</v>
      </c>
      <c r="G9" s="898">
        <f t="shared" si="5"/>
        <v>0</v>
      </c>
      <c r="H9" s="898">
        <f t="shared" si="5"/>
        <v>1930</v>
      </c>
      <c r="I9" s="898">
        <f t="shared" si="5"/>
        <v>3592</v>
      </c>
      <c r="J9" s="898">
        <f t="shared" si="5"/>
        <v>5254</v>
      </c>
      <c r="K9" s="898">
        <f t="shared" si="5"/>
        <v>0</v>
      </c>
      <c r="L9" s="898">
        <f t="shared" si="5"/>
        <v>5254</v>
      </c>
    </row>
    <row r="10" spans="1:12" ht="28.5" customHeight="1" x14ac:dyDescent="0.25">
      <c r="A10" s="559"/>
      <c r="B10" s="803"/>
      <c r="C10" s="559"/>
      <c r="D10" s="804" t="s">
        <v>995</v>
      </c>
      <c r="E10" s="898">
        <f>E19+E21+E24+E27+E29+E30+E36+E37</f>
        <v>7205615</v>
      </c>
      <c r="F10" s="898">
        <f t="shared" ref="F10:L10" si="6">F19+F21+F24+F27+F29+F30+F36+F37</f>
        <v>7205615</v>
      </c>
      <c r="G10" s="898">
        <f t="shared" si="6"/>
        <v>7205615</v>
      </c>
      <c r="H10" s="898">
        <f>H19+H21+H24+H27+H29+H30+H36+H37</f>
        <v>1700176.7546199302</v>
      </c>
      <c r="I10" s="898">
        <f>I19+I21+I24+I27+I29+I30+I36+I37</f>
        <v>1692558.1433584667</v>
      </c>
      <c r="J10" s="898">
        <f>J19+J21+J24+J27+J29+J30+J36+J37</f>
        <v>1708243.532097003</v>
      </c>
      <c r="K10" s="898">
        <f t="shared" si="6"/>
        <v>0</v>
      </c>
      <c r="L10" s="898">
        <f t="shared" si="6"/>
        <v>1708243.532097003</v>
      </c>
    </row>
    <row r="11" spans="1:12" ht="28.5" customHeight="1" x14ac:dyDescent="0.25">
      <c r="A11" s="559"/>
      <c r="B11" s="803"/>
      <c r="C11" s="559"/>
      <c r="D11" s="804" t="s">
        <v>1009</v>
      </c>
      <c r="E11" s="898">
        <f>E20+E23+E28+E32+E33</f>
        <v>9811305</v>
      </c>
      <c r="F11" s="898">
        <f t="shared" ref="F11:L11" si="7">F20+F23+F28+F32+F33</f>
        <v>9811305</v>
      </c>
      <c r="G11" s="898">
        <f t="shared" si="7"/>
        <v>9811305</v>
      </c>
      <c r="H11" s="898">
        <f t="shared" si="7"/>
        <v>3404169</v>
      </c>
      <c r="I11" s="898">
        <f t="shared" si="7"/>
        <v>3411369</v>
      </c>
      <c r="J11" s="898">
        <f t="shared" si="7"/>
        <v>3418569</v>
      </c>
      <c r="K11" s="898">
        <f t="shared" si="7"/>
        <v>0</v>
      </c>
      <c r="L11" s="898">
        <f t="shared" si="7"/>
        <v>3418569</v>
      </c>
    </row>
    <row r="12" spans="1:12" ht="20.25" customHeight="1" x14ac:dyDescent="0.25">
      <c r="A12" s="559"/>
      <c r="B12" s="803"/>
      <c r="C12" s="559"/>
      <c r="D12" s="804" t="s">
        <v>1010</v>
      </c>
      <c r="E12" s="898">
        <f>E26</f>
        <v>0</v>
      </c>
      <c r="F12" s="898">
        <f t="shared" ref="F12:L12" si="8">F26</f>
        <v>0</v>
      </c>
      <c r="G12" s="898">
        <f t="shared" si="8"/>
        <v>0</v>
      </c>
      <c r="H12" s="898">
        <f t="shared" si="8"/>
        <v>15793</v>
      </c>
      <c r="I12" s="898">
        <f t="shared" si="8"/>
        <v>0</v>
      </c>
      <c r="J12" s="898">
        <f t="shared" si="8"/>
        <v>0</v>
      </c>
      <c r="K12" s="898">
        <f t="shared" si="8"/>
        <v>0</v>
      </c>
      <c r="L12" s="898">
        <f t="shared" si="8"/>
        <v>0</v>
      </c>
    </row>
    <row r="13" spans="1:12" x14ac:dyDescent="0.25">
      <c r="A13" s="559"/>
      <c r="B13" s="750" t="s">
        <v>1015</v>
      </c>
      <c r="C13" s="559"/>
      <c r="D13" s="560"/>
      <c r="E13" s="899">
        <f>E14</f>
        <v>904770.33201831637</v>
      </c>
      <c r="F13" s="899">
        <f t="shared" ref="F13:G13" si="9">F14</f>
        <v>904770.33201831637</v>
      </c>
      <c r="G13" s="899">
        <f t="shared" si="9"/>
        <v>904770.33201831637</v>
      </c>
      <c r="H13" s="899">
        <f>SUM(H14:H15)</f>
        <v>12255384.300387461</v>
      </c>
      <c r="I13" s="899">
        <f t="shared" ref="I13:L13" si="10">SUM(I14:I15)</f>
        <v>12771128.98013385</v>
      </c>
      <c r="J13" s="899">
        <f t="shared" si="10"/>
        <v>13463897.65988024</v>
      </c>
      <c r="K13" s="899">
        <f t="shared" si="10"/>
        <v>0</v>
      </c>
      <c r="L13" s="899">
        <f t="shared" si="10"/>
        <v>13463897.65988024</v>
      </c>
    </row>
    <row r="14" spans="1:12" ht="25.5" x14ac:dyDescent="0.25">
      <c r="A14" s="559"/>
      <c r="B14" s="750" t="s">
        <v>1225</v>
      </c>
      <c r="C14" s="559"/>
      <c r="D14" s="804" t="s">
        <v>1149</v>
      </c>
      <c r="E14" s="898">
        <f>E39</f>
        <v>904770.33201831637</v>
      </c>
      <c r="F14" s="898">
        <f>F39</f>
        <v>904770.33201831637</v>
      </c>
      <c r="G14" s="898">
        <f>G39</f>
        <v>904770.33201831637</v>
      </c>
      <c r="H14" s="898">
        <f>H16+H39</f>
        <v>2100384.9003874604</v>
      </c>
      <c r="I14" s="898">
        <f t="shared" ref="I14:J14" si="11">I16+I39</f>
        <v>2424042.5801338498</v>
      </c>
      <c r="J14" s="898">
        <f t="shared" si="11"/>
        <v>2924724.2598802396</v>
      </c>
      <c r="K14" s="898">
        <f t="shared" ref="K14" si="12">K16</f>
        <v>0</v>
      </c>
      <c r="L14" s="898">
        <f>J14</f>
        <v>2924724.2598802396</v>
      </c>
    </row>
    <row r="15" spans="1:12" x14ac:dyDescent="0.25">
      <c r="A15" s="559"/>
      <c r="B15" s="750"/>
      <c r="C15" s="559"/>
      <c r="D15" s="804" t="s">
        <v>1424</v>
      </c>
      <c r="E15" s="898">
        <v>0</v>
      </c>
      <c r="F15" s="898">
        <v>0</v>
      </c>
      <c r="G15" s="898">
        <v>0</v>
      </c>
      <c r="H15" s="898">
        <f>H38</f>
        <v>10154999.4</v>
      </c>
      <c r="I15" s="898">
        <f>I38</f>
        <v>10347086.4</v>
      </c>
      <c r="J15" s="898">
        <f>J38</f>
        <v>10539173.4</v>
      </c>
      <c r="K15" s="898">
        <v>0</v>
      </c>
      <c r="L15" s="898">
        <f>L38</f>
        <v>10539173.4</v>
      </c>
    </row>
    <row r="16" spans="1:12" s="751" customFormat="1" ht="30" customHeight="1" x14ac:dyDescent="0.25">
      <c r="A16" s="764" t="s">
        <v>1405</v>
      </c>
      <c r="B16" s="759" t="s">
        <v>1148</v>
      </c>
      <c r="C16" s="753" t="s">
        <v>1187</v>
      </c>
      <c r="D16" s="658" t="s">
        <v>1149</v>
      </c>
      <c r="E16" s="788">
        <v>0</v>
      </c>
      <c r="F16" s="788">
        <v>0</v>
      </c>
      <c r="G16" s="788">
        <v>0</v>
      </c>
      <c r="H16" s="778">
        <f>'3.3.'!B7</f>
        <v>885120</v>
      </c>
      <c r="I16" s="778">
        <f>'3.3.'!B8</f>
        <v>885120</v>
      </c>
      <c r="J16" s="778">
        <f>'3.3.'!B9</f>
        <v>1062144</v>
      </c>
      <c r="K16" s="777"/>
      <c r="L16" s="778">
        <f>'3.3.'!B10</f>
        <v>1062144</v>
      </c>
    </row>
    <row r="17" spans="1:34" ht="21.75" customHeight="1" x14ac:dyDescent="0.25">
      <c r="A17" s="754" t="s">
        <v>1188</v>
      </c>
      <c r="B17" s="757" t="s">
        <v>1189</v>
      </c>
      <c r="C17" s="761" t="s">
        <v>1198</v>
      </c>
      <c r="D17" s="517"/>
      <c r="E17" s="801"/>
      <c r="F17" s="801"/>
      <c r="G17" s="801"/>
      <c r="H17" s="779">
        <f>SUM(H18:H26)</f>
        <v>583791.75461993017</v>
      </c>
      <c r="I17" s="779">
        <f t="shared" ref="I17:L17" si="13">SUM(I18:I26)</f>
        <v>948946.14335846656</v>
      </c>
      <c r="J17" s="779">
        <f t="shared" si="13"/>
        <v>1329893.532097003</v>
      </c>
      <c r="K17" s="779"/>
      <c r="L17" s="779">
        <f t="shared" si="13"/>
        <v>1329893.532097003</v>
      </c>
    </row>
    <row r="18" spans="1:34" ht="26.25" x14ac:dyDescent="0.25">
      <c r="A18" s="755" t="s">
        <v>1190</v>
      </c>
      <c r="B18" s="756" t="s">
        <v>1358</v>
      </c>
      <c r="C18" s="1150"/>
      <c r="D18" s="554" t="s">
        <v>996</v>
      </c>
      <c r="E18" s="801">
        <v>0</v>
      </c>
      <c r="F18" s="801">
        <v>0</v>
      </c>
      <c r="G18" s="801">
        <v>0</v>
      </c>
      <c r="H18" s="780">
        <f>'3.6.'!N7</f>
        <v>424800</v>
      </c>
      <c r="I18" s="780">
        <f>'3.6.'!O7</f>
        <v>781200</v>
      </c>
      <c r="J18" s="780">
        <f>'3.6.'!P7</f>
        <v>1137600</v>
      </c>
      <c r="K18" s="780"/>
      <c r="L18" s="781">
        <f>J18</f>
        <v>1137600</v>
      </c>
    </row>
    <row r="19" spans="1:34" ht="26.25" x14ac:dyDescent="0.25">
      <c r="A19" s="755" t="s">
        <v>1191</v>
      </c>
      <c r="B19" s="756" t="s">
        <v>1359</v>
      </c>
      <c r="C19" s="1151"/>
      <c r="D19" s="554" t="s">
        <v>995</v>
      </c>
      <c r="E19" s="801">
        <v>0</v>
      </c>
      <c r="F19" s="801">
        <v>0</v>
      </c>
      <c r="G19" s="801">
        <v>0</v>
      </c>
      <c r="H19" s="780">
        <f>'3.6.'!N8</f>
        <v>24945</v>
      </c>
      <c r="I19" s="780">
        <f>'3.6.'!O8</f>
        <v>24945</v>
      </c>
      <c r="J19" s="780">
        <f>'3.6.'!P8</f>
        <v>24945</v>
      </c>
      <c r="K19" s="780"/>
      <c r="L19" s="781">
        <f t="shared" ref="L19:L26" si="14">J19</f>
        <v>24945</v>
      </c>
    </row>
    <row r="20" spans="1:34" ht="26.25" x14ac:dyDescent="0.25">
      <c r="A20" s="755" t="s">
        <v>1192</v>
      </c>
      <c r="B20" s="760" t="s">
        <v>974</v>
      </c>
      <c r="C20" s="1151"/>
      <c r="D20" s="554" t="s">
        <v>994</v>
      </c>
      <c r="E20" s="801">
        <v>0</v>
      </c>
      <c r="F20" s="801">
        <v>0</v>
      </c>
      <c r="G20" s="801">
        <v>0</v>
      </c>
      <c r="H20" s="780">
        <f>'3.6.'!N9</f>
        <v>5202</v>
      </c>
      <c r="I20" s="780">
        <f>'3.6.'!O9</f>
        <v>9319</v>
      </c>
      <c r="J20" s="780">
        <f>'3.6.'!P9</f>
        <v>13437</v>
      </c>
      <c r="K20" s="782"/>
      <c r="L20" s="781">
        <f t="shared" si="14"/>
        <v>13437</v>
      </c>
    </row>
    <row r="21" spans="1:34" ht="26.25" x14ac:dyDescent="0.25">
      <c r="A21" s="755" t="s">
        <v>1193</v>
      </c>
      <c r="B21" s="760" t="s">
        <v>975</v>
      </c>
      <c r="C21" s="1151"/>
      <c r="D21" s="554" t="s">
        <v>995</v>
      </c>
      <c r="E21" s="801">
        <v>0</v>
      </c>
      <c r="F21" s="801">
        <v>0</v>
      </c>
      <c r="G21" s="801">
        <v>0</v>
      </c>
      <c r="H21" s="780">
        <f>'3.6.'!N10</f>
        <v>7372.7546199300996</v>
      </c>
      <c r="I21" s="780">
        <f>'3.6.'!O10</f>
        <v>13577.143358466576</v>
      </c>
      <c r="J21" s="780">
        <f>'3.6.'!P10</f>
        <v>19781.532097003052</v>
      </c>
      <c r="K21" s="780"/>
      <c r="L21" s="781">
        <f t="shared" si="14"/>
        <v>19781.532097003052</v>
      </c>
      <c r="M21" s="567"/>
      <c r="N21" s="567"/>
      <c r="O21" s="567"/>
      <c r="P21" s="567"/>
      <c r="Q21" s="567"/>
      <c r="R21" s="567"/>
      <c r="S21" s="567"/>
      <c r="T21" s="567"/>
      <c r="U21" s="567"/>
      <c r="V21" s="567"/>
      <c r="W21" s="567"/>
      <c r="X21" s="567"/>
      <c r="Y21" s="567"/>
      <c r="Z21" s="567"/>
      <c r="AA21" s="567"/>
      <c r="AB21" s="567"/>
      <c r="AC21" s="567"/>
      <c r="AD21" s="567"/>
      <c r="AE21" s="567"/>
      <c r="AF21" s="567"/>
      <c r="AG21" s="567"/>
      <c r="AH21" s="567"/>
    </row>
    <row r="22" spans="1:34" ht="26.25" x14ac:dyDescent="0.25">
      <c r="A22" s="755" t="s">
        <v>1194</v>
      </c>
      <c r="B22" s="756" t="s">
        <v>976</v>
      </c>
      <c r="C22" s="1151"/>
      <c r="D22" s="554" t="s">
        <v>997</v>
      </c>
      <c r="E22" s="801">
        <v>0</v>
      </c>
      <c r="F22" s="801">
        <v>0</v>
      </c>
      <c r="G22" s="801">
        <v>0</v>
      </c>
      <c r="H22" s="780">
        <f>'3.6.'!N11</f>
        <v>1930</v>
      </c>
      <c r="I22" s="780">
        <f>'3.6.'!O11</f>
        <v>3592</v>
      </c>
      <c r="J22" s="780">
        <f>'3.6.'!P11</f>
        <v>5254</v>
      </c>
      <c r="K22" s="780"/>
      <c r="L22" s="781">
        <f t="shared" si="14"/>
        <v>5254</v>
      </c>
    </row>
    <row r="23" spans="1:34" ht="26.25" x14ac:dyDescent="0.25">
      <c r="A23" s="1146" t="s">
        <v>1195</v>
      </c>
      <c r="B23" s="1148" t="s">
        <v>988</v>
      </c>
      <c r="C23" s="1151"/>
      <c r="D23" s="554" t="s">
        <v>1009</v>
      </c>
      <c r="E23" s="801">
        <v>0</v>
      </c>
      <c r="F23" s="801">
        <v>0</v>
      </c>
      <c r="G23" s="801">
        <v>0</v>
      </c>
      <c r="H23" s="780">
        <f>'3.6.6.'!AG22</f>
        <v>6186</v>
      </c>
      <c r="I23" s="780">
        <f>'3.6.6.'!AI22</f>
        <v>9269</v>
      </c>
      <c r="J23" s="780">
        <f>'3.6.6.'!AK22</f>
        <v>12351</v>
      </c>
      <c r="K23" s="780"/>
      <c r="L23" s="781">
        <f t="shared" si="14"/>
        <v>12351</v>
      </c>
    </row>
    <row r="24" spans="1:34" ht="26.25" x14ac:dyDescent="0.25">
      <c r="A24" s="1147"/>
      <c r="B24" s="1149"/>
      <c r="C24" s="1151"/>
      <c r="D24" s="554" t="s">
        <v>995</v>
      </c>
      <c r="E24" s="801">
        <v>0</v>
      </c>
      <c r="F24" s="801">
        <v>0</v>
      </c>
      <c r="G24" s="801">
        <v>0</v>
      </c>
      <c r="H24" s="780">
        <f>'3.6.6.'!AF22</f>
        <v>19045</v>
      </c>
      <c r="I24" s="780">
        <f>'3.6.6.'!AH22</f>
        <v>28526</v>
      </c>
      <c r="J24" s="780">
        <f>'3.6.6.'!AJ22</f>
        <v>38007</v>
      </c>
      <c r="K24" s="659"/>
      <c r="L24" s="781">
        <f t="shared" si="14"/>
        <v>38007</v>
      </c>
    </row>
    <row r="25" spans="1:34" ht="26.25" x14ac:dyDescent="0.25">
      <c r="A25" s="755" t="s">
        <v>1196</v>
      </c>
      <c r="B25" s="756" t="s">
        <v>993</v>
      </c>
      <c r="C25" s="1151"/>
      <c r="D25" s="554" t="s">
        <v>998</v>
      </c>
      <c r="E25" s="801">
        <v>0</v>
      </c>
      <c r="F25" s="801">
        <v>0</v>
      </c>
      <c r="G25" s="801">
        <v>0</v>
      </c>
      <c r="H25" s="780">
        <f>'3.6.'!N13</f>
        <v>78518</v>
      </c>
      <c r="I25" s="780">
        <f>'3.6.'!O13</f>
        <v>78518</v>
      </c>
      <c r="J25" s="780">
        <f>'3.6.'!P13</f>
        <v>78518</v>
      </c>
      <c r="K25" s="659"/>
      <c r="L25" s="781">
        <f t="shared" si="14"/>
        <v>78518</v>
      </c>
    </row>
    <row r="26" spans="1:34" ht="21.75" customHeight="1" x14ac:dyDescent="0.25">
      <c r="A26" s="755" t="s">
        <v>1197</v>
      </c>
      <c r="B26" s="756" t="s">
        <v>977</v>
      </c>
      <c r="C26" s="1152"/>
      <c r="D26" s="554" t="s">
        <v>1010</v>
      </c>
      <c r="E26" s="801">
        <v>0</v>
      </c>
      <c r="F26" s="801">
        <v>0</v>
      </c>
      <c r="G26" s="801">
        <v>0</v>
      </c>
      <c r="H26" s="780">
        <f>'3.6.'!N14</f>
        <v>15793</v>
      </c>
      <c r="I26" s="780">
        <f>'3.6.'!O14</f>
        <v>0</v>
      </c>
      <c r="J26" s="780">
        <f>'3.6.'!P14</f>
        <v>0</v>
      </c>
      <c r="K26" s="659"/>
      <c r="L26" s="781">
        <f t="shared" si="14"/>
        <v>0</v>
      </c>
    </row>
    <row r="27" spans="1:34" ht="25.5" x14ac:dyDescent="0.25">
      <c r="A27" s="765" t="s">
        <v>1206</v>
      </c>
      <c r="B27" s="564" t="s">
        <v>987</v>
      </c>
      <c r="C27" s="762" t="s">
        <v>1198</v>
      </c>
      <c r="D27" s="565" t="s">
        <v>995</v>
      </c>
      <c r="E27" s="790">
        <f>ROUND('4.1.'!C12+'4.1.'!U28,0)</f>
        <v>7178381</v>
      </c>
      <c r="F27" s="790">
        <f>E27</f>
        <v>7178381</v>
      </c>
      <c r="G27" s="790">
        <f>E27</f>
        <v>7178381</v>
      </c>
      <c r="H27" s="783">
        <f>'4.1.'!F7</f>
        <v>1166270</v>
      </c>
      <c r="I27" s="783">
        <f>H27</f>
        <v>1166270</v>
      </c>
      <c r="J27" s="784">
        <f>I27</f>
        <v>1166270</v>
      </c>
      <c r="K27" s="784"/>
      <c r="L27" s="784">
        <f>H27</f>
        <v>1166270</v>
      </c>
    </row>
    <row r="28" spans="1:34" ht="25.5" x14ac:dyDescent="0.25">
      <c r="A28" s="754" t="s">
        <v>1335</v>
      </c>
      <c r="B28" s="757" t="s">
        <v>918</v>
      </c>
      <c r="C28" s="763" t="s">
        <v>1198</v>
      </c>
      <c r="D28" s="566" t="s">
        <v>994</v>
      </c>
      <c r="E28" s="797">
        <f>ROUND('5.5.'!J12+'5.5.'!G19+'5.5.'!M41,0)</f>
        <v>2708343</v>
      </c>
      <c r="F28" s="797">
        <f>E28</f>
        <v>2708343</v>
      </c>
      <c r="G28" s="797">
        <f>E28</f>
        <v>2708343</v>
      </c>
      <c r="H28" s="779">
        <f>'5.5.'!M6</f>
        <v>341371</v>
      </c>
      <c r="I28" s="779">
        <f>H28</f>
        <v>341371</v>
      </c>
      <c r="J28" s="784">
        <f>H28</f>
        <v>341371</v>
      </c>
      <c r="K28" s="784"/>
      <c r="L28" s="784">
        <f>H28</f>
        <v>341371</v>
      </c>
    </row>
    <row r="29" spans="1:34" ht="24" customHeight="1" x14ac:dyDescent="0.25">
      <c r="A29" s="765" t="s">
        <v>1212</v>
      </c>
      <c r="B29" s="563" t="s">
        <v>1211</v>
      </c>
      <c r="C29" s="763" t="s">
        <v>1198</v>
      </c>
      <c r="D29" s="565" t="s">
        <v>995</v>
      </c>
      <c r="E29" s="798">
        <v>0</v>
      </c>
      <c r="F29" s="798">
        <v>0</v>
      </c>
      <c r="G29" s="798">
        <v>0</v>
      </c>
      <c r="H29" s="779">
        <f>'5.8.'!F6</f>
        <v>70196</v>
      </c>
      <c r="I29" s="779">
        <f t="shared" ref="I29:I37" si="15">H29</f>
        <v>70196</v>
      </c>
      <c r="J29" s="784">
        <f t="shared" ref="J29:J37" si="16">H29</f>
        <v>70196</v>
      </c>
      <c r="K29" s="784"/>
      <c r="L29" s="784">
        <f t="shared" ref="L29:L37" si="17">H29</f>
        <v>70196</v>
      </c>
    </row>
    <row r="30" spans="1:34" ht="24.75" customHeight="1" x14ac:dyDescent="0.25">
      <c r="A30" s="765" t="s">
        <v>1340</v>
      </c>
      <c r="B30" s="562" t="s">
        <v>909</v>
      </c>
      <c r="C30" s="762" t="s">
        <v>1198</v>
      </c>
      <c r="D30" s="565" t="s">
        <v>995</v>
      </c>
      <c r="E30" s="789">
        <f>ROUND('5.9.'!D13,0)</f>
        <v>27234</v>
      </c>
      <c r="F30" s="789">
        <f>E30</f>
        <v>27234</v>
      </c>
      <c r="G30" s="789">
        <f>E30</f>
        <v>27234</v>
      </c>
      <c r="H30" s="783">
        <f>'5.9.'!E8</f>
        <v>30634</v>
      </c>
      <c r="I30" s="783">
        <f>H30</f>
        <v>30634</v>
      </c>
      <c r="J30" s="785">
        <f>H30</f>
        <v>30634</v>
      </c>
      <c r="K30" s="785"/>
      <c r="L30" s="785">
        <f>J30</f>
        <v>30634</v>
      </c>
    </row>
    <row r="31" spans="1:34" x14ac:dyDescent="0.25">
      <c r="A31" s="764" t="s">
        <v>1213</v>
      </c>
      <c r="B31" s="657" t="s">
        <v>1214</v>
      </c>
      <c r="C31" s="753" t="s">
        <v>1198</v>
      </c>
      <c r="D31" s="768"/>
      <c r="E31" s="768"/>
      <c r="F31" s="768"/>
      <c r="G31" s="768"/>
      <c r="H31" s="779">
        <f>SUM(H32:H33)</f>
        <v>3051410</v>
      </c>
      <c r="I31" s="779">
        <f t="shared" ref="I31" si="18">H31</f>
        <v>3051410</v>
      </c>
      <c r="J31" s="785">
        <f t="shared" ref="J31" si="19">H31</f>
        <v>3051410</v>
      </c>
      <c r="K31" s="785"/>
      <c r="L31" s="785">
        <f t="shared" ref="L31" si="20">H31</f>
        <v>3051410</v>
      </c>
    </row>
    <row r="32" spans="1:34" ht="25.5" x14ac:dyDescent="0.25">
      <c r="A32" s="767" t="s">
        <v>1215</v>
      </c>
      <c r="B32" s="766" t="s">
        <v>1011</v>
      </c>
      <c r="C32" s="1138"/>
      <c r="D32" s="566" t="s">
        <v>994</v>
      </c>
      <c r="E32" s="797">
        <f>ROUND('6.2.1.'!I10,0)</f>
        <v>922635</v>
      </c>
      <c r="F32" s="797">
        <f>E32</f>
        <v>922635</v>
      </c>
      <c r="G32" s="797">
        <f>E32</f>
        <v>922635</v>
      </c>
      <c r="H32" s="786">
        <f>'6.2.1.'!K6</f>
        <v>774662</v>
      </c>
      <c r="I32" s="786">
        <f t="shared" si="15"/>
        <v>774662</v>
      </c>
      <c r="J32" s="787">
        <f t="shared" si="16"/>
        <v>774662</v>
      </c>
      <c r="K32" s="787"/>
      <c r="L32" s="787">
        <f t="shared" si="17"/>
        <v>774662</v>
      </c>
    </row>
    <row r="33" spans="1:12" ht="25.5" x14ac:dyDescent="0.25">
      <c r="A33" s="767" t="s">
        <v>1216</v>
      </c>
      <c r="B33" s="766" t="s">
        <v>1012</v>
      </c>
      <c r="C33" s="1139"/>
      <c r="D33" s="566" t="s">
        <v>994</v>
      </c>
      <c r="E33" s="797">
        <f>ROUND('6.2.2.'!I9,0)</f>
        <v>6180327</v>
      </c>
      <c r="F33" s="797">
        <f>E33</f>
        <v>6180327</v>
      </c>
      <c r="G33" s="797">
        <f>E33</f>
        <v>6180327</v>
      </c>
      <c r="H33" s="786">
        <f>'6.2.2.'!L6</f>
        <v>2276748</v>
      </c>
      <c r="I33" s="786">
        <f t="shared" si="15"/>
        <v>2276748</v>
      </c>
      <c r="J33" s="787">
        <f t="shared" si="16"/>
        <v>2276748</v>
      </c>
      <c r="K33" s="787"/>
      <c r="L33" s="787">
        <f t="shared" si="17"/>
        <v>2276748</v>
      </c>
    </row>
    <row r="34" spans="1:12" ht="24.75" customHeight="1" x14ac:dyDescent="0.25">
      <c r="A34" s="754" t="s">
        <v>1226</v>
      </c>
      <c r="B34" s="562" t="s">
        <v>1254</v>
      </c>
      <c r="C34" s="769" t="s">
        <v>1198</v>
      </c>
      <c r="D34" s="554" t="s">
        <v>998</v>
      </c>
      <c r="E34" s="797">
        <f>ROUND('6.3.'!L28+'6.3.'!L45+'6.3.'!L63,0)</f>
        <v>49069</v>
      </c>
      <c r="F34" s="797">
        <f>E34</f>
        <v>49069</v>
      </c>
      <c r="G34" s="797">
        <f>E34</f>
        <v>49069</v>
      </c>
      <c r="H34" s="779">
        <f>'6.3.'!L6</f>
        <v>76246</v>
      </c>
      <c r="I34" s="779">
        <f>H34</f>
        <v>76246</v>
      </c>
      <c r="J34" s="785">
        <f>H34</f>
        <v>76246</v>
      </c>
      <c r="K34" s="785"/>
      <c r="L34" s="785">
        <f>H34</f>
        <v>76246</v>
      </c>
    </row>
    <row r="35" spans="1:12" ht="25.5" customHeight="1" x14ac:dyDescent="0.25">
      <c r="A35" s="754" t="s">
        <v>1255</v>
      </c>
      <c r="B35" s="562" t="s">
        <v>1269</v>
      </c>
      <c r="C35" s="769" t="s">
        <v>1198</v>
      </c>
      <c r="D35" s="554" t="s">
        <v>998</v>
      </c>
      <c r="E35" s="797">
        <v>0</v>
      </c>
      <c r="F35" s="797">
        <v>0</v>
      </c>
      <c r="G35" s="797">
        <v>0</v>
      </c>
      <c r="H35" s="779">
        <f>'6.4.'!J6</f>
        <v>91878</v>
      </c>
      <c r="I35" s="779">
        <f>'6.4.'!K6</f>
        <v>110383</v>
      </c>
      <c r="J35" s="785">
        <f>'6.4.'!L6</f>
        <v>128889</v>
      </c>
      <c r="K35" s="785"/>
      <c r="L35" s="785">
        <f>J35</f>
        <v>128889</v>
      </c>
    </row>
    <row r="36" spans="1:12" ht="22.5" customHeight="1" x14ac:dyDescent="0.25">
      <c r="A36" s="754" t="s">
        <v>1270</v>
      </c>
      <c r="B36" s="562" t="s">
        <v>1271</v>
      </c>
      <c r="C36" s="769" t="s">
        <v>1198</v>
      </c>
      <c r="D36" s="565" t="s">
        <v>995</v>
      </c>
      <c r="E36" s="797">
        <v>0</v>
      </c>
      <c r="F36" s="797">
        <v>0</v>
      </c>
      <c r="G36" s="797">
        <v>0</v>
      </c>
      <c r="H36" s="779">
        <f>'6.5.'!G6</f>
        <v>125339</v>
      </c>
      <c r="I36" s="779">
        <f>'6.5.'!H6</f>
        <v>102035</v>
      </c>
      <c r="J36" s="785">
        <f>I36</f>
        <v>102035</v>
      </c>
      <c r="K36" s="785"/>
      <c r="L36" s="785">
        <f>J36</f>
        <v>102035</v>
      </c>
    </row>
    <row r="37" spans="1:12" ht="25.5" x14ac:dyDescent="0.25">
      <c r="A37" s="765" t="s">
        <v>1221</v>
      </c>
      <c r="B37" s="563" t="s">
        <v>896</v>
      </c>
      <c r="C37" s="763" t="s">
        <v>1198</v>
      </c>
      <c r="D37" s="565" t="s">
        <v>995</v>
      </c>
      <c r="E37" s="798">
        <v>0</v>
      </c>
      <c r="F37" s="798">
        <v>0</v>
      </c>
      <c r="G37" s="798">
        <v>0</v>
      </c>
      <c r="H37" s="779">
        <f>'7.3.'!L6</f>
        <v>256375</v>
      </c>
      <c r="I37" s="779">
        <f t="shared" si="15"/>
        <v>256375</v>
      </c>
      <c r="J37" s="785">
        <f t="shared" si="16"/>
        <v>256375</v>
      </c>
      <c r="K37" s="785"/>
      <c r="L37" s="785">
        <f t="shared" si="17"/>
        <v>256375</v>
      </c>
    </row>
    <row r="38" spans="1:12" x14ac:dyDescent="0.25">
      <c r="A38" s="764" t="s">
        <v>1416</v>
      </c>
      <c r="B38" s="759" t="s">
        <v>1425</v>
      </c>
      <c r="C38" s="753" t="s">
        <v>1187</v>
      </c>
      <c r="D38" s="658" t="s">
        <v>1424</v>
      </c>
      <c r="E38" s="788">
        <v>0</v>
      </c>
      <c r="F38" s="788">
        <v>0</v>
      </c>
      <c r="G38" s="788">
        <v>0</v>
      </c>
      <c r="H38" s="778">
        <f>'8.1.'!D17</f>
        <v>10154999.4</v>
      </c>
      <c r="I38" s="778">
        <f>'8.1.'!D18</f>
        <v>10347086.4</v>
      </c>
      <c r="J38" s="778">
        <f>'8.1.'!D19</f>
        <v>10539173.4</v>
      </c>
      <c r="K38" s="777"/>
      <c r="L38" s="778">
        <f>J38</f>
        <v>10539173.4</v>
      </c>
    </row>
    <row r="39" spans="1:12" ht="25.5" x14ac:dyDescent="0.25">
      <c r="A39" s="764" t="s">
        <v>1511</v>
      </c>
      <c r="B39" s="759" t="s">
        <v>1474</v>
      </c>
      <c r="C39" s="753" t="s">
        <v>1187</v>
      </c>
      <c r="D39" s="658" t="s">
        <v>1149</v>
      </c>
      <c r="E39" s="1113">
        <f>'9.1.'!M35</f>
        <v>904770.33201831637</v>
      </c>
      <c r="F39" s="1113">
        <f>E39</f>
        <v>904770.33201831637</v>
      </c>
      <c r="G39" s="1113">
        <f>E39</f>
        <v>904770.33201831637</v>
      </c>
      <c r="H39" s="1114">
        <f>'9.1.'!L6</f>
        <v>1215264.9003874604</v>
      </c>
      <c r="I39" s="1114">
        <f>'9.1.'!M6</f>
        <v>1538922.58013385</v>
      </c>
      <c r="J39" s="1114">
        <f>'9.1.'!N6</f>
        <v>1862580.2598802396</v>
      </c>
      <c r="K39" s="844"/>
      <c r="L39" s="1114">
        <f>J39</f>
        <v>1862580.2598802396</v>
      </c>
    </row>
    <row r="40" spans="1:12" x14ac:dyDescent="0.25">
      <c r="H40" s="1132"/>
      <c r="I40" s="1132"/>
      <c r="J40" s="1132"/>
      <c r="K40" s="1132"/>
      <c r="L40" s="1132"/>
    </row>
    <row r="42" spans="1:12" ht="18.75" x14ac:dyDescent="0.25">
      <c r="B42" s="1133" t="s">
        <v>1528</v>
      </c>
      <c r="E42" s="1135" t="s">
        <v>1529</v>
      </c>
    </row>
    <row r="44" spans="1:12" x14ac:dyDescent="0.25">
      <c r="E44" s="1134"/>
    </row>
  </sheetData>
  <mergeCells count="12">
    <mergeCell ref="G2:L2"/>
    <mergeCell ref="K1:L1"/>
    <mergeCell ref="C32:C33"/>
    <mergeCell ref="A3:A4"/>
    <mergeCell ref="B3:B4"/>
    <mergeCell ref="D3:D4"/>
    <mergeCell ref="H3:L3"/>
    <mergeCell ref="A23:A24"/>
    <mergeCell ref="B23:B24"/>
    <mergeCell ref="C3:C4"/>
    <mergeCell ref="C18:C26"/>
    <mergeCell ref="E3:G4"/>
  </mergeCells>
  <dataValidations count="1">
    <dataValidation type="whole" errorStyle="information" allowBlank="1" showInputMessage="1" showErrorMessage="1" error="Jāievada skaitlis" sqref="K20" xr:uid="{8AE825BF-C3AC-4CCF-86E4-6AD3C36CC102}">
      <formula1>-1000000000000</formula1>
      <formula2>1000000000000</formula2>
    </dataValidation>
  </dataValidations>
  <pageMargins left="0.23622047244094491" right="0.23622047244094491" top="0.74803149606299213" bottom="0.74803149606299213" header="0.31496062992125984" footer="0.31496062992125984"/>
  <pageSetup paperSize="9"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Y21"/>
  <sheetViews>
    <sheetView topLeftCell="A4" zoomScale="90" zoomScaleNormal="90" workbookViewId="0">
      <selection activeCell="K20" sqref="K20:L20"/>
    </sheetView>
  </sheetViews>
  <sheetFormatPr defaultRowHeight="15" x14ac:dyDescent="0.25"/>
  <cols>
    <col min="1" max="1" width="3.5703125" style="947" customWidth="1"/>
    <col min="2" max="2" width="8.7109375" style="947" customWidth="1"/>
    <col min="3" max="3" width="17.28515625" style="947" customWidth="1"/>
    <col min="4" max="4" width="7" style="947" bestFit="1" customWidth="1"/>
    <col min="5" max="5" width="7.140625" style="947" customWidth="1"/>
    <col min="6" max="6" width="15.140625" style="947" customWidth="1"/>
    <col min="7" max="7" width="10.140625" style="947" bestFit="1" customWidth="1"/>
    <col min="8" max="8" width="8.42578125" style="947" bestFit="1" customWidth="1"/>
    <col min="9" max="9" width="11.42578125" style="947" bestFit="1" customWidth="1"/>
    <col min="10" max="10" width="16" style="947" bestFit="1" customWidth="1"/>
    <col min="11" max="11" width="11.7109375" style="947" customWidth="1"/>
    <col min="12" max="12" width="11.28515625" style="947" customWidth="1"/>
    <col min="13" max="13" width="12.5703125" style="947" bestFit="1" customWidth="1"/>
    <col min="14" max="14" width="14.85546875" style="947" bestFit="1" customWidth="1"/>
    <col min="15" max="15" width="15" style="947" customWidth="1"/>
    <col min="16" max="16" width="7.7109375" style="947" customWidth="1"/>
    <col min="17" max="17" width="9.140625" style="947"/>
    <col min="18" max="18" width="13" style="947" customWidth="1"/>
    <col min="19" max="19" width="13.85546875" style="947" customWidth="1"/>
    <col min="20" max="20" width="8.5703125" style="947" customWidth="1"/>
    <col min="21" max="21" width="13.85546875" style="947" customWidth="1"/>
    <col min="22" max="22" width="9.140625" style="947"/>
    <col min="23" max="23" width="13.85546875" style="947" customWidth="1"/>
    <col min="24" max="24" width="9" style="947" customWidth="1"/>
    <col min="25" max="25" width="13.85546875" style="947" customWidth="1"/>
    <col min="26" max="16384" width="9.140625" style="947"/>
  </cols>
  <sheetData>
    <row r="1" spans="1:25" ht="15.75" x14ac:dyDescent="0.25">
      <c r="S1" s="100"/>
      <c r="T1" s="901"/>
      <c r="U1" s="901"/>
      <c r="V1" s="1137" t="s">
        <v>1437</v>
      </c>
      <c r="W1" s="1137"/>
      <c r="X1" s="1137"/>
    </row>
    <row r="2" spans="1:25" ht="45.75" customHeight="1" x14ac:dyDescent="0.25">
      <c r="S2" s="1161" t="s">
        <v>1342</v>
      </c>
      <c r="T2" s="1161"/>
      <c r="U2" s="1161"/>
      <c r="V2" s="1161"/>
      <c r="W2" s="1161"/>
      <c r="X2" s="1161"/>
    </row>
    <row r="4" spans="1:25" ht="18.75" x14ac:dyDescent="0.3">
      <c r="B4" s="948" t="s">
        <v>1377</v>
      </c>
      <c r="C4" s="949"/>
      <c r="D4" s="949"/>
      <c r="E4" s="949"/>
      <c r="F4" s="949"/>
      <c r="G4" s="949"/>
      <c r="H4" s="949"/>
      <c r="I4" s="949"/>
      <c r="J4" s="949"/>
      <c r="K4" s="949"/>
      <c r="L4" s="949"/>
    </row>
    <row r="5" spans="1:25" ht="16.5" thickBot="1" x14ac:dyDescent="0.3">
      <c r="B5" s="951"/>
      <c r="C5" s="952"/>
      <c r="D5" s="952"/>
      <c r="E5" s="952"/>
      <c r="F5" s="952"/>
      <c r="G5" s="764">
        <v>2022</v>
      </c>
      <c r="H5" s="764">
        <v>2023</v>
      </c>
      <c r="I5" s="764">
        <v>2024</v>
      </c>
      <c r="J5" s="941"/>
      <c r="K5" s="952"/>
      <c r="L5" s="952"/>
    </row>
    <row r="6" spans="1:25" s="946" customFormat="1" ht="17.25" thickBot="1" x14ac:dyDescent="0.3">
      <c r="A6" s="941"/>
      <c r="B6" s="942" t="s">
        <v>919</v>
      </c>
      <c r="C6" s="943"/>
      <c r="D6" s="953"/>
      <c r="E6" s="953"/>
      <c r="F6" s="954"/>
      <c r="G6" s="944">
        <f>ROUND(U17,0)</f>
        <v>6295</v>
      </c>
      <c r="H6" s="944">
        <f>ROUND(W17,0)</f>
        <v>11961</v>
      </c>
      <c r="I6" s="944">
        <f>ROUND(Y17,0)</f>
        <v>17626</v>
      </c>
      <c r="J6" s="945" t="s">
        <v>6</v>
      </c>
      <c r="K6" s="941"/>
      <c r="L6" s="941"/>
      <c r="M6" s="941"/>
      <c r="N6" s="941"/>
      <c r="O6" s="941"/>
      <c r="P6" s="941"/>
      <c r="Q6" s="941"/>
      <c r="R6" s="941"/>
    </row>
    <row r="7" spans="1:25" s="955" customFormat="1" ht="12" x14ac:dyDescent="0.2">
      <c r="B7" s="956"/>
      <c r="C7" s="957"/>
      <c r="D7" s="957"/>
      <c r="E7" s="957"/>
      <c r="F7" s="957"/>
      <c r="G7" s="957"/>
      <c r="H7" s="957"/>
      <c r="I7" s="957"/>
      <c r="J7" s="957"/>
      <c r="K7" s="957"/>
      <c r="L7" s="957"/>
    </row>
    <row r="9" spans="1:25" ht="75" x14ac:dyDescent="0.25">
      <c r="B9" s="214"/>
      <c r="C9" s="214"/>
      <c r="D9" s="214"/>
      <c r="E9" s="214"/>
      <c r="F9" s="214"/>
      <c r="G9" s="932" t="s">
        <v>64</v>
      </c>
      <c r="H9" s="932" t="s">
        <v>65</v>
      </c>
      <c r="I9" s="932" t="s">
        <v>66</v>
      </c>
      <c r="J9" s="1316" t="s">
        <v>67</v>
      </c>
      <c r="K9" s="661"/>
      <c r="L9" s="214"/>
      <c r="M9" s="1317" t="s">
        <v>68</v>
      </c>
      <c r="N9" s="1317" t="s">
        <v>69</v>
      </c>
      <c r="O9" s="1317" t="s">
        <v>70</v>
      </c>
      <c r="P9" s="214"/>
    </row>
    <row r="10" spans="1:25" x14ac:dyDescent="0.25">
      <c r="B10" s="214"/>
      <c r="C10" s="214"/>
      <c r="D10" s="214"/>
      <c r="E10" s="214"/>
      <c r="F10" s="662" t="s">
        <v>71</v>
      </c>
      <c r="G10" s="663">
        <v>1485</v>
      </c>
      <c r="H10" s="663">
        <v>891</v>
      </c>
      <c r="I10" s="663">
        <v>594</v>
      </c>
      <c r="J10" s="1331"/>
      <c r="K10" s="214"/>
      <c r="L10" s="214"/>
      <c r="M10" s="1332"/>
      <c r="N10" s="1332"/>
      <c r="O10" s="1332"/>
      <c r="P10" s="214"/>
    </row>
    <row r="11" spans="1:25" x14ac:dyDescent="0.25">
      <c r="B11" s="214"/>
      <c r="C11" s="214"/>
      <c r="D11" s="214"/>
      <c r="E11" s="214"/>
      <c r="F11" s="662" t="s">
        <v>72</v>
      </c>
      <c r="G11" s="663">
        <f>ROUND(G10/9600,4)</f>
        <v>0.1547</v>
      </c>
      <c r="H11" s="663">
        <f t="shared" ref="H11" si="0">ROUND(H10/9600,4)</f>
        <v>9.2799999999999994E-2</v>
      </c>
      <c r="I11" s="663">
        <f>ROUND(I10/9600,4)</f>
        <v>6.1899999999999997E-2</v>
      </c>
      <c r="J11" s="663">
        <v>0.2359</v>
      </c>
      <c r="K11" s="214"/>
      <c r="L11" s="662" t="s">
        <v>73</v>
      </c>
      <c r="M11" s="663">
        <v>0.2898</v>
      </c>
      <c r="N11" s="663">
        <v>3.15E-2</v>
      </c>
      <c r="O11" s="663">
        <v>5.0200000000000002E-2</v>
      </c>
      <c r="P11" s="214"/>
      <c r="T11" s="1342" t="s">
        <v>1412</v>
      </c>
      <c r="U11" s="1342"/>
      <c r="V11" s="1342"/>
      <c r="W11" s="1342"/>
      <c r="X11" s="1342"/>
      <c r="Y11" s="1342"/>
    </row>
    <row r="12" spans="1:25" x14ac:dyDescent="0.25">
      <c r="B12" s="214"/>
      <c r="C12" s="214"/>
      <c r="D12" s="214"/>
      <c r="E12" s="214"/>
      <c r="F12" s="214"/>
      <c r="G12" s="214"/>
      <c r="H12" s="214"/>
      <c r="I12" s="214"/>
      <c r="J12" s="214"/>
      <c r="K12" s="214"/>
      <c r="L12" s="214"/>
      <c r="M12" s="214"/>
      <c r="N12" s="214"/>
      <c r="O12" s="214"/>
      <c r="P12" s="214"/>
      <c r="Q12" s="1337" t="s">
        <v>1362</v>
      </c>
      <c r="R12" s="1338"/>
      <c r="S12" s="1339"/>
      <c r="T12" s="1343" t="s">
        <v>1363</v>
      </c>
      <c r="U12" s="1344"/>
      <c r="V12" s="1343" t="s">
        <v>1364</v>
      </c>
      <c r="W12" s="1344"/>
      <c r="X12" s="1345" t="s">
        <v>1367</v>
      </c>
      <c r="Y12" s="1345"/>
    </row>
    <row r="13" spans="1:25" ht="15" customHeight="1" x14ac:dyDescent="0.25">
      <c r="B13" s="1317" t="s">
        <v>74</v>
      </c>
      <c r="C13" s="1317" t="s">
        <v>75</v>
      </c>
      <c r="D13" s="1324" t="s">
        <v>935</v>
      </c>
      <c r="E13" s="1325"/>
      <c r="F13" s="1325"/>
      <c r="G13" s="1325"/>
      <c r="H13" s="1325"/>
      <c r="I13" s="1325"/>
      <c r="J13" s="1325"/>
      <c r="K13" s="1325"/>
      <c r="L13" s="1325"/>
      <c r="M13" s="1325"/>
      <c r="N13" s="1325"/>
      <c r="O13" s="1325"/>
      <c r="P13" s="1316" t="s">
        <v>936</v>
      </c>
      <c r="Q13" s="1316" t="s">
        <v>937</v>
      </c>
      <c r="R13" s="1316" t="s">
        <v>944</v>
      </c>
      <c r="S13" s="1307" t="s">
        <v>939</v>
      </c>
      <c r="T13" s="1316" t="s">
        <v>937</v>
      </c>
      <c r="U13" s="1316" t="s">
        <v>939</v>
      </c>
      <c r="V13" s="1316" t="s">
        <v>937</v>
      </c>
      <c r="W13" s="1316" t="s">
        <v>939</v>
      </c>
      <c r="X13" s="1316" t="s">
        <v>937</v>
      </c>
      <c r="Y13" s="1316" t="s">
        <v>939</v>
      </c>
    </row>
    <row r="14" spans="1:25" ht="60" x14ac:dyDescent="0.25">
      <c r="B14" s="1328"/>
      <c r="C14" s="1328"/>
      <c r="D14" s="1324" t="s">
        <v>945</v>
      </c>
      <c r="E14" s="1325"/>
      <c r="F14" s="1326"/>
      <c r="G14" s="1324" t="s">
        <v>77</v>
      </c>
      <c r="H14" s="1325"/>
      <c r="I14" s="1326"/>
      <c r="J14" s="932" t="s">
        <v>78</v>
      </c>
      <c r="K14" s="1317" t="s">
        <v>79</v>
      </c>
      <c r="L14" s="1317" t="s">
        <v>80</v>
      </c>
      <c r="M14" s="1317" t="s">
        <v>82</v>
      </c>
      <c r="N14" s="1317" t="s">
        <v>83</v>
      </c>
      <c r="O14" s="1329" t="s">
        <v>84</v>
      </c>
      <c r="P14" s="1316"/>
      <c r="Q14" s="1316"/>
      <c r="R14" s="1316"/>
      <c r="S14" s="1307"/>
      <c r="T14" s="1316"/>
      <c r="U14" s="1316"/>
      <c r="V14" s="1316"/>
      <c r="W14" s="1316"/>
      <c r="X14" s="1316"/>
      <c r="Y14" s="1316"/>
    </row>
    <row r="15" spans="1:25" ht="45" x14ac:dyDescent="0.25">
      <c r="B15" s="1327"/>
      <c r="C15" s="1327"/>
      <c r="D15" s="932" t="s">
        <v>90</v>
      </c>
      <c r="E15" s="932" t="s">
        <v>91</v>
      </c>
      <c r="F15" s="932" t="s">
        <v>92</v>
      </c>
      <c r="G15" s="932" t="s">
        <v>90</v>
      </c>
      <c r="H15" s="932" t="s">
        <v>91</v>
      </c>
      <c r="I15" s="932" t="s">
        <v>93</v>
      </c>
      <c r="J15" s="932" t="s">
        <v>94</v>
      </c>
      <c r="K15" s="1327"/>
      <c r="L15" s="1327"/>
      <c r="M15" s="1327"/>
      <c r="N15" s="1327"/>
      <c r="O15" s="1330"/>
      <c r="P15" s="1316"/>
      <c r="Q15" s="1316"/>
      <c r="R15" s="1316"/>
      <c r="S15" s="1307"/>
      <c r="T15" s="1317"/>
      <c r="U15" s="1317"/>
      <c r="V15" s="1317"/>
      <c r="W15" s="1317"/>
      <c r="X15" s="1317"/>
      <c r="Y15" s="1317"/>
    </row>
    <row r="16" spans="1:25" x14ac:dyDescent="0.25">
      <c r="B16" s="933">
        <v>1</v>
      </c>
      <c r="C16" s="933">
        <v>2</v>
      </c>
      <c r="D16" s="934">
        <v>3</v>
      </c>
      <c r="E16" s="934">
        <v>4</v>
      </c>
      <c r="F16" s="934">
        <v>5</v>
      </c>
      <c r="G16" s="934">
        <v>6</v>
      </c>
      <c r="H16" s="934">
        <v>7</v>
      </c>
      <c r="I16" s="934">
        <v>8</v>
      </c>
      <c r="J16" s="934">
        <v>9</v>
      </c>
      <c r="K16" s="934">
        <v>10</v>
      </c>
      <c r="L16" s="933">
        <v>11</v>
      </c>
      <c r="M16" s="933">
        <v>12</v>
      </c>
      <c r="N16" s="934">
        <v>13</v>
      </c>
      <c r="O16" s="934">
        <v>14</v>
      </c>
      <c r="P16" s="934">
        <v>15</v>
      </c>
      <c r="Q16" s="934">
        <v>16</v>
      </c>
      <c r="R16" s="934">
        <v>17</v>
      </c>
      <c r="S16" s="964">
        <v>18</v>
      </c>
      <c r="T16" s="933">
        <v>19</v>
      </c>
      <c r="U16" s="933">
        <v>20</v>
      </c>
      <c r="V16" s="933">
        <v>21</v>
      </c>
      <c r="W16" s="933">
        <v>22</v>
      </c>
      <c r="X16" s="933">
        <v>23</v>
      </c>
      <c r="Y16" s="933">
        <v>24</v>
      </c>
    </row>
    <row r="17" spans="2:25" ht="60" x14ac:dyDescent="0.25">
      <c r="B17" s="975">
        <v>60145</v>
      </c>
      <c r="C17" s="982" t="s">
        <v>1378</v>
      </c>
      <c r="D17" s="967">
        <v>34</v>
      </c>
      <c r="E17" s="967">
        <v>4</v>
      </c>
      <c r="F17" s="967">
        <v>0</v>
      </c>
      <c r="G17" s="968">
        <f>ROUND((D17*G11),2)</f>
        <v>5.26</v>
      </c>
      <c r="H17" s="968">
        <f>ROUND((E17*H11),2)</f>
        <v>0.37</v>
      </c>
      <c r="I17" s="968">
        <f>ROUND((F17*I11),2)</f>
        <v>0</v>
      </c>
      <c r="J17" s="968">
        <f>ROUND(((H17+G17+I17)*J11),2)</f>
        <v>1.33</v>
      </c>
      <c r="K17" s="969">
        <v>1.2312142857142856</v>
      </c>
      <c r="L17" s="968">
        <v>0.21049999999999999</v>
      </c>
      <c r="M17" s="968">
        <f>ROUND((G17+H17+I17)*M11,2)</f>
        <v>1.63</v>
      </c>
      <c r="N17" s="968">
        <f>ROUND((G17+H17+I17)*N11,2)</f>
        <v>0.18</v>
      </c>
      <c r="O17" s="970">
        <f>ROUND((G17+H17+I17)*O11,2)</f>
        <v>0.28000000000000003</v>
      </c>
      <c r="P17" s="971">
        <f>G17+H17+I17+J17+K17+L17+M17+N17+O17</f>
        <v>10.491714285714282</v>
      </c>
      <c r="Q17" s="967">
        <v>55</v>
      </c>
      <c r="R17" s="967">
        <v>12</v>
      </c>
      <c r="S17" s="977">
        <f>P17*Q17*R17</f>
        <v>6924.5314285714257</v>
      </c>
      <c r="T17" s="665">
        <v>50</v>
      </c>
      <c r="U17" s="1019">
        <f>P17*T17*R17</f>
        <v>6295.0285714285701</v>
      </c>
      <c r="V17" s="665">
        <f>T17+45</f>
        <v>95</v>
      </c>
      <c r="W17" s="1019">
        <f>P17*V17*R17</f>
        <v>11960.554285714283</v>
      </c>
      <c r="X17" s="665">
        <f>V17+45</f>
        <v>140</v>
      </c>
      <c r="Y17" s="1019">
        <f>P17*X17*R17</f>
        <v>17626.079999999994</v>
      </c>
    </row>
    <row r="18" spans="2:25" ht="15" customHeight="1" x14ac:dyDescent="0.25">
      <c r="T18" s="1340" t="s">
        <v>1379</v>
      </c>
      <c r="U18" s="1340"/>
      <c r="V18" s="1340"/>
      <c r="W18" s="1340"/>
      <c r="X18" s="1340"/>
      <c r="Y18" s="1340"/>
    </row>
    <row r="19" spans="2:25" x14ac:dyDescent="0.25">
      <c r="T19" s="1341"/>
      <c r="U19" s="1341"/>
      <c r="V19" s="1341"/>
      <c r="W19" s="1341"/>
      <c r="X19" s="1341"/>
      <c r="Y19" s="1341"/>
    </row>
    <row r="20" spans="2:25" ht="75.75" customHeight="1" x14ac:dyDescent="0.25">
      <c r="B20" s="1333" t="s">
        <v>946</v>
      </c>
      <c r="C20" s="1333"/>
      <c r="D20" s="1333"/>
      <c r="E20" s="1333"/>
      <c r="F20" s="1333"/>
      <c r="G20" s="1333"/>
    </row>
    <row r="21" spans="2:25" ht="31.5" customHeight="1" x14ac:dyDescent="0.25">
      <c r="B21" s="1333" t="s">
        <v>947</v>
      </c>
      <c r="C21" s="1333"/>
      <c r="D21" s="1333"/>
      <c r="E21" s="1333"/>
      <c r="F21" s="1333"/>
      <c r="G21" s="1333"/>
    </row>
  </sheetData>
  <mergeCells count="35">
    <mergeCell ref="V1:X1"/>
    <mergeCell ref="S2:X2"/>
    <mergeCell ref="J9:J10"/>
    <mergeCell ref="M9:M10"/>
    <mergeCell ref="N9:N10"/>
    <mergeCell ref="O9:O10"/>
    <mergeCell ref="S13:S15"/>
    <mergeCell ref="D14:F14"/>
    <mergeCell ref="G14:I14"/>
    <mergeCell ref="K14:K15"/>
    <mergeCell ref="L14:L15"/>
    <mergeCell ref="M14:M15"/>
    <mergeCell ref="N14:N15"/>
    <mergeCell ref="D13:K13"/>
    <mergeCell ref="L13:O13"/>
    <mergeCell ref="O14:O15"/>
    <mergeCell ref="B20:G20"/>
    <mergeCell ref="B21:G21"/>
    <mergeCell ref="P13:P15"/>
    <mergeCell ref="Q13:Q15"/>
    <mergeCell ref="R13:R15"/>
    <mergeCell ref="B13:B15"/>
    <mergeCell ref="C13:C15"/>
    <mergeCell ref="T11:Y11"/>
    <mergeCell ref="Q12:S12"/>
    <mergeCell ref="T12:U12"/>
    <mergeCell ref="V12:W12"/>
    <mergeCell ref="X12:Y12"/>
    <mergeCell ref="Y13:Y15"/>
    <mergeCell ref="T18:Y19"/>
    <mergeCell ref="T13:T15"/>
    <mergeCell ref="U13:U15"/>
    <mergeCell ref="V13:V15"/>
    <mergeCell ref="W13:W15"/>
    <mergeCell ref="X13:X15"/>
  </mergeCells>
  <pageMargins left="0.70866141732283472" right="0.70866141732283472" top="0.74803149606299213" bottom="0.74803149606299213" header="0.31496062992125984" footer="0.31496062992125984"/>
  <pageSetup paperSize="9"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S25"/>
  <sheetViews>
    <sheetView topLeftCell="A4" zoomScale="90" zoomScaleNormal="90" workbookViewId="0">
      <selection activeCell="H1" sqref="H1:J2"/>
    </sheetView>
  </sheetViews>
  <sheetFormatPr defaultRowHeight="15" x14ac:dyDescent="0.25"/>
  <cols>
    <col min="1" max="1" width="3.7109375" style="985" customWidth="1"/>
    <col min="2" max="2" width="37.5703125" style="985" customWidth="1"/>
    <col min="3" max="3" width="32.28515625" style="985" customWidth="1"/>
    <col min="4" max="4" width="17.42578125" style="986" customWidth="1"/>
    <col min="5" max="5" width="19.28515625" style="986" customWidth="1"/>
    <col min="6" max="6" width="13.140625" style="985" customWidth="1"/>
    <col min="7" max="8" width="37.5703125" style="985" customWidth="1"/>
    <col min="9" max="9" width="17.85546875" style="985" customWidth="1"/>
    <col min="10" max="10" width="25" style="986" customWidth="1"/>
    <col min="11" max="16384" width="9.140625" style="985"/>
  </cols>
  <sheetData>
    <row r="1" spans="2:19" ht="15.75" x14ac:dyDescent="0.25">
      <c r="D1" s="985"/>
      <c r="E1" s="985"/>
      <c r="G1" s="100"/>
      <c r="H1" s="901"/>
      <c r="I1" s="901"/>
      <c r="J1" s="1044" t="s">
        <v>1438</v>
      </c>
      <c r="K1" s="1044"/>
      <c r="L1" s="1044"/>
    </row>
    <row r="2" spans="2:19" ht="31.5" customHeight="1" x14ac:dyDescent="0.25">
      <c r="D2" s="985"/>
      <c r="E2" s="985"/>
      <c r="H2" s="1161" t="s">
        <v>1342</v>
      </c>
      <c r="I2" s="1161"/>
      <c r="J2" s="1161"/>
      <c r="K2" s="1047"/>
      <c r="L2" s="1047"/>
    </row>
    <row r="4" spans="2:19" s="947" customFormat="1" ht="18.75" x14ac:dyDescent="0.3">
      <c r="B4" s="948" t="s">
        <v>1381</v>
      </c>
      <c r="C4" s="949"/>
      <c r="D4" s="949"/>
      <c r="E4" s="949"/>
      <c r="F4" s="949"/>
      <c r="G4" s="949"/>
      <c r="H4" s="949"/>
      <c r="J4" s="949"/>
      <c r="K4" s="949"/>
      <c r="L4" s="949"/>
      <c r="M4" s="949"/>
    </row>
    <row r="5" spans="2:19" s="947" customFormat="1" ht="16.5" thickBot="1" x14ac:dyDescent="0.3">
      <c r="B5" s="951"/>
      <c r="C5" s="952"/>
      <c r="D5" s="764">
        <v>2022</v>
      </c>
      <c r="E5" s="764">
        <v>2023</v>
      </c>
      <c r="F5" s="764">
        <v>2024</v>
      </c>
      <c r="G5" s="941"/>
      <c r="H5" s="957"/>
      <c r="I5" s="957"/>
      <c r="J5" s="941"/>
      <c r="K5" s="941"/>
      <c r="L5" s="952"/>
      <c r="M5" s="952"/>
    </row>
    <row r="6" spans="2:19" s="946" customFormat="1" ht="17.25" thickBot="1" x14ac:dyDescent="0.3">
      <c r="B6" s="942" t="s">
        <v>919</v>
      </c>
      <c r="C6" s="943"/>
      <c r="D6" s="944">
        <f>ROUND(G23,0)</f>
        <v>1930</v>
      </c>
      <c r="E6" s="944">
        <f>ROUND(G24,0)</f>
        <v>3592</v>
      </c>
      <c r="F6" s="944">
        <f>ROUND(G25,0)</f>
        <v>5254</v>
      </c>
      <c r="G6" s="945" t="s">
        <v>6</v>
      </c>
      <c r="H6" s="957"/>
      <c r="I6" s="957"/>
      <c r="J6" s="941"/>
      <c r="K6" s="941"/>
      <c r="L6" s="941"/>
      <c r="M6" s="941"/>
      <c r="N6" s="941"/>
      <c r="O6" s="941"/>
      <c r="P6" s="941"/>
      <c r="Q6" s="941"/>
      <c r="R6" s="941"/>
      <c r="S6" s="941"/>
    </row>
    <row r="7" spans="2:19" s="955" customFormat="1" ht="12" x14ac:dyDescent="0.2">
      <c r="C7" s="956"/>
      <c r="D7" s="957"/>
      <c r="E7" s="957"/>
      <c r="F7" s="957"/>
      <c r="G7" s="957"/>
      <c r="H7" s="957"/>
      <c r="I7" s="957"/>
      <c r="J7" s="957"/>
      <c r="K7" s="957"/>
      <c r="L7" s="957"/>
      <c r="M7" s="957"/>
    </row>
    <row r="8" spans="2:19" ht="20.25" x14ac:dyDescent="0.25">
      <c r="B8" s="984" t="s">
        <v>948</v>
      </c>
    </row>
    <row r="10" spans="2:19" ht="18.75" customHeight="1" x14ac:dyDescent="0.25">
      <c r="B10" s="1348" t="s">
        <v>949</v>
      </c>
      <c r="C10" s="1348"/>
      <c r="D10" s="1348"/>
      <c r="E10" s="1349" t="s">
        <v>950</v>
      </c>
      <c r="G10" s="1348" t="s">
        <v>951</v>
      </c>
      <c r="H10" s="1348"/>
      <c r="I10" s="1348"/>
      <c r="J10" s="1349" t="s">
        <v>950</v>
      </c>
    </row>
    <row r="11" spans="2:19" ht="18.75" x14ac:dyDescent="0.25">
      <c r="B11" s="987" t="s">
        <v>952</v>
      </c>
      <c r="C11" s="987" t="s">
        <v>953</v>
      </c>
      <c r="D11" s="988" t="s">
        <v>954</v>
      </c>
      <c r="E11" s="1350"/>
      <c r="G11" s="987" t="s">
        <v>952</v>
      </c>
      <c r="H11" s="987" t="s">
        <v>953</v>
      </c>
      <c r="I11" s="988" t="s">
        <v>954</v>
      </c>
      <c r="J11" s="1350"/>
    </row>
    <row r="12" spans="2:19" ht="90" x14ac:dyDescent="0.25">
      <c r="B12" s="989" t="s">
        <v>955</v>
      </c>
      <c r="C12" s="990" t="s">
        <v>956</v>
      </c>
      <c r="D12" s="991">
        <v>1.21</v>
      </c>
      <c r="E12" s="991">
        <f>D12*4</f>
        <v>4.84</v>
      </c>
      <c r="G12" s="989" t="s">
        <v>955</v>
      </c>
      <c r="H12" s="990" t="s">
        <v>956</v>
      </c>
      <c r="I12" s="991">
        <v>1.21</v>
      </c>
      <c r="J12" s="991">
        <f>I12*4</f>
        <v>4.84</v>
      </c>
    </row>
    <row r="13" spans="2:19" ht="45" x14ac:dyDescent="0.25">
      <c r="B13" s="989" t="s">
        <v>957</v>
      </c>
      <c r="C13" s="990" t="s">
        <v>956</v>
      </c>
      <c r="D13" s="992">
        <v>2.64</v>
      </c>
      <c r="E13" s="991">
        <f>D13*4</f>
        <v>10.56</v>
      </c>
      <c r="G13" s="989" t="s">
        <v>957</v>
      </c>
      <c r="H13" s="990" t="s">
        <v>956</v>
      </c>
      <c r="I13" s="992">
        <v>2.64</v>
      </c>
      <c r="J13" s="991">
        <f>I13*4</f>
        <v>10.56</v>
      </c>
    </row>
    <row r="14" spans="2:19" ht="120" x14ac:dyDescent="0.25">
      <c r="B14" s="989" t="s">
        <v>958</v>
      </c>
      <c r="C14" s="990" t="s">
        <v>956</v>
      </c>
      <c r="D14" s="991">
        <v>3.1</v>
      </c>
      <c r="E14" s="991">
        <f>D14*4</f>
        <v>12.4</v>
      </c>
      <c r="G14" s="989" t="s">
        <v>958</v>
      </c>
      <c r="H14" s="990" t="s">
        <v>956</v>
      </c>
      <c r="I14" s="991">
        <v>3.1</v>
      </c>
      <c r="J14" s="991">
        <f>I14*4</f>
        <v>12.4</v>
      </c>
    </row>
    <row r="15" spans="2:19" ht="45" x14ac:dyDescent="0.25">
      <c r="B15" s="989" t="s">
        <v>959</v>
      </c>
      <c r="C15" s="990" t="s">
        <v>956</v>
      </c>
      <c r="D15" s="991">
        <v>1.76</v>
      </c>
      <c r="E15" s="991">
        <f>D15*4</f>
        <v>7.04</v>
      </c>
      <c r="G15" s="989" t="s">
        <v>959</v>
      </c>
      <c r="H15" s="990" t="s">
        <v>960</v>
      </c>
      <c r="I15" s="993">
        <v>1.76</v>
      </c>
      <c r="J15" s="991">
        <f>I15*23</f>
        <v>40.479999999999997</v>
      </c>
    </row>
    <row r="16" spans="2:19" ht="45" x14ac:dyDescent="0.25">
      <c r="B16" s="994" t="s">
        <v>961</v>
      </c>
      <c r="C16" s="1351" t="s">
        <v>1382</v>
      </c>
      <c r="D16" s="1352"/>
      <c r="E16" s="991">
        <f>SUM(E12:E15)</f>
        <v>34.840000000000003</v>
      </c>
      <c r="G16" s="989" t="s">
        <v>962</v>
      </c>
      <c r="H16" s="990" t="s">
        <v>960</v>
      </c>
      <c r="I16" s="993">
        <v>1.1200000000000001</v>
      </c>
      <c r="J16" s="991">
        <f>I16*23</f>
        <v>25.76</v>
      </c>
    </row>
    <row r="17" spans="2:10" ht="30" x14ac:dyDescent="0.25">
      <c r="B17" s="990" t="s">
        <v>1362</v>
      </c>
      <c r="C17" s="1021" t="s">
        <v>963</v>
      </c>
      <c r="D17" s="995">
        <f>E16*55</f>
        <v>1916.2000000000003</v>
      </c>
      <c r="G17" s="994" t="s">
        <v>964</v>
      </c>
      <c r="H17" s="1351" t="s">
        <v>1382</v>
      </c>
      <c r="I17" s="1352"/>
      <c r="J17" s="991">
        <f>SUM(J12:J16)</f>
        <v>94.04</v>
      </c>
    </row>
    <row r="18" spans="2:10" ht="30" x14ac:dyDescent="0.25">
      <c r="B18" s="1353" t="s">
        <v>1412</v>
      </c>
      <c r="C18" s="1015" t="s">
        <v>1383</v>
      </c>
      <c r="D18" s="1016">
        <f>E16*50</f>
        <v>1742.0000000000002</v>
      </c>
      <c r="E18" s="985"/>
      <c r="G18" s="990" t="s">
        <v>1362</v>
      </c>
      <c r="H18" s="996" t="s">
        <v>965</v>
      </c>
      <c r="I18" s="997">
        <f>J17*5</f>
        <v>470.20000000000005</v>
      </c>
    </row>
    <row r="19" spans="2:10" ht="30" x14ac:dyDescent="0.25">
      <c r="B19" s="1353"/>
      <c r="C19" s="1015" t="s">
        <v>1384</v>
      </c>
      <c r="D19" s="991">
        <f>E16*95</f>
        <v>3309.8</v>
      </c>
      <c r="E19" s="985"/>
      <c r="G19" s="1353" t="s">
        <v>1412</v>
      </c>
      <c r="H19" s="1015" t="s">
        <v>1386</v>
      </c>
      <c r="I19" s="992">
        <f>J17*2</f>
        <v>188.08</v>
      </c>
    </row>
    <row r="20" spans="2:10" ht="30" x14ac:dyDescent="0.25">
      <c r="B20" s="1353"/>
      <c r="C20" s="1015" t="s">
        <v>1385</v>
      </c>
      <c r="D20" s="991">
        <f>E16*140</f>
        <v>4877.6000000000004</v>
      </c>
      <c r="E20" s="985"/>
      <c r="G20" s="1353"/>
      <c r="H20" s="1015" t="s">
        <v>1387</v>
      </c>
      <c r="I20" s="992">
        <f>J17*3</f>
        <v>282.12</v>
      </c>
    </row>
    <row r="21" spans="2:10" ht="30" x14ac:dyDescent="0.25">
      <c r="C21" s="1020"/>
      <c r="E21" s="985"/>
      <c r="G21" s="1353"/>
      <c r="H21" s="1015" t="s">
        <v>1388</v>
      </c>
      <c r="I21" s="992">
        <f>J17*4</f>
        <v>376.16</v>
      </c>
    </row>
    <row r="23" spans="2:10" s="986" customFormat="1" ht="16.5" customHeight="1" x14ac:dyDescent="0.3">
      <c r="B23" s="985"/>
      <c r="C23" s="1346" t="s">
        <v>966</v>
      </c>
      <c r="D23" s="1346"/>
      <c r="E23" s="1346"/>
      <c r="F23" s="1022">
        <v>2022</v>
      </c>
      <c r="G23" s="1023">
        <f>D18+I19</f>
        <v>1930.0800000000002</v>
      </c>
      <c r="H23" s="985"/>
      <c r="I23" s="985"/>
    </row>
    <row r="24" spans="2:10" ht="18.75" x14ac:dyDescent="0.3">
      <c r="C24" s="1347"/>
      <c r="D24" s="1347"/>
      <c r="E24" s="1347"/>
      <c r="F24" s="1022">
        <v>2023</v>
      </c>
      <c r="G24" s="1023">
        <f t="shared" ref="G24" si="0">D19+I20</f>
        <v>3591.92</v>
      </c>
    </row>
    <row r="25" spans="2:10" ht="18.75" x14ac:dyDescent="0.3">
      <c r="F25" s="1022">
        <v>2024</v>
      </c>
      <c r="G25" s="1023">
        <f>D20+I21</f>
        <v>5253.76</v>
      </c>
    </row>
  </sheetData>
  <mergeCells count="10">
    <mergeCell ref="H2:J2"/>
    <mergeCell ref="C23:E24"/>
    <mergeCell ref="B10:D10"/>
    <mergeCell ref="E10:E11"/>
    <mergeCell ref="G10:I10"/>
    <mergeCell ref="J10:J11"/>
    <mergeCell ref="C16:D16"/>
    <mergeCell ref="H17:I17"/>
    <mergeCell ref="B18:B20"/>
    <mergeCell ref="G19:G21"/>
  </mergeCells>
  <pageMargins left="0.70866141732283472" right="0.70866141732283472" top="0.74803149606299213" bottom="0.74803149606299213" header="0.31496062992125984" footer="0.31496062992125984"/>
  <pageSetup paperSize="9" scale="50" fitToWidth="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K22"/>
  <sheetViews>
    <sheetView showGridLines="0" topLeftCell="P1" zoomScale="90" zoomScaleNormal="90" workbookViewId="0">
      <pane ySplit="7" topLeftCell="A17" activePane="bottomLeft" state="frozen"/>
      <selection pane="bottomLeft" activeCell="M28" sqref="M28"/>
    </sheetView>
  </sheetViews>
  <sheetFormatPr defaultColWidth="11.5703125" defaultRowHeight="15" x14ac:dyDescent="0.25"/>
  <cols>
    <col min="1" max="1" width="6.42578125" style="998" customWidth="1"/>
    <col min="2" max="2" width="9.5703125" style="998" customWidth="1"/>
    <col min="3" max="3" width="5.5703125" style="998" customWidth="1"/>
    <col min="4" max="4" width="28" style="998" customWidth="1"/>
    <col min="5" max="5" width="11.28515625" style="998" customWidth="1"/>
    <col min="6" max="9" width="11.5703125" style="998"/>
    <col min="10" max="10" width="12.5703125" style="998" customWidth="1"/>
    <col min="11" max="11" width="14.140625" style="998" customWidth="1"/>
    <col min="12" max="12" width="11.5703125" style="998"/>
    <col min="13" max="13" width="12.5703125" style="998" customWidth="1"/>
    <col min="14" max="16" width="11.5703125" style="998"/>
    <col min="17" max="17" width="14.5703125" style="998" customWidth="1"/>
    <col min="18" max="18" width="13.28515625" style="998" customWidth="1"/>
    <col min="19" max="20" width="11.5703125" style="998"/>
    <col min="21" max="21" width="15" style="998" customWidth="1"/>
    <col min="22" max="22" width="12" style="998" customWidth="1"/>
    <col min="23" max="23" width="14.140625" style="998" customWidth="1"/>
    <col min="24" max="24" width="12.140625" style="998" customWidth="1"/>
    <col min="25" max="25" width="14" style="998" customWidth="1"/>
    <col min="26" max="26" width="11.5703125" style="998"/>
    <col min="27" max="27" width="14.28515625" style="998" customWidth="1"/>
    <col min="28" max="28" width="27.140625" style="998" customWidth="1"/>
    <col min="29" max="29" width="19" style="998" customWidth="1"/>
    <col min="30" max="16384" width="11.5703125" style="998"/>
  </cols>
  <sheetData>
    <row r="1" spans="1:37" ht="15.75" x14ac:dyDescent="0.25">
      <c r="AD1" s="901"/>
      <c r="AE1" s="901"/>
      <c r="AF1" s="1044" t="s">
        <v>1439</v>
      </c>
    </row>
    <row r="2" spans="1:37" ht="30" customHeight="1" x14ac:dyDescent="0.25">
      <c r="AB2" s="1161" t="s">
        <v>1342</v>
      </c>
      <c r="AC2" s="1161"/>
      <c r="AD2" s="1161"/>
      <c r="AE2" s="1161"/>
      <c r="AF2" s="1161"/>
    </row>
    <row r="3" spans="1:37" x14ac:dyDescent="0.25">
      <c r="A3" s="985"/>
      <c r="B3" s="985"/>
      <c r="C3" s="985"/>
      <c r="D3" s="986"/>
      <c r="E3" s="986"/>
      <c r="F3" s="985"/>
      <c r="G3" s="985"/>
      <c r="H3" s="985"/>
      <c r="I3" s="985"/>
      <c r="J3" s="986"/>
      <c r="K3" s="985"/>
      <c r="L3" s="985"/>
      <c r="M3" s="985"/>
      <c r="N3" s="985"/>
      <c r="O3" s="985"/>
      <c r="P3" s="985"/>
      <c r="Q3" s="985"/>
      <c r="R3" s="985"/>
      <c r="S3" s="985"/>
      <c r="T3" s="985"/>
      <c r="U3" s="985"/>
      <c r="V3" s="985"/>
      <c r="W3" s="985"/>
      <c r="X3" s="985"/>
      <c r="Y3" s="985"/>
      <c r="Z3" s="985"/>
      <c r="AA3" s="985"/>
      <c r="AB3" s="985"/>
      <c r="AC3" s="985"/>
      <c r="AD3" s="985"/>
      <c r="AE3" s="985"/>
    </row>
    <row r="4" spans="1:37" ht="18.75" x14ac:dyDescent="0.3">
      <c r="A4" s="947"/>
      <c r="B4" s="948" t="s">
        <v>1201</v>
      </c>
      <c r="C4" s="949"/>
      <c r="D4" s="949"/>
      <c r="E4" s="949"/>
      <c r="F4" s="949"/>
      <c r="G4" s="949"/>
      <c r="H4" s="949"/>
      <c r="I4" s="947"/>
      <c r="J4" s="949"/>
      <c r="K4" s="949"/>
      <c r="L4" s="949"/>
      <c r="M4" s="949"/>
      <c r="N4" s="947"/>
      <c r="O4" s="947"/>
      <c r="P4" s="947"/>
      <c r="Q4" s="947"/>
      <c r="R4" s="947"/>
      <c r="S4" s="947"/>
      <c r="T4" s="947"/>
      <c r="U4" s="947"/>
      <c r="V4" s="947"/>
      <c r="W4" s="947"/>
      <c r="X4" s="947"/>
      <c r="Y4" s="947"/>
      <c r="Z4" s="947"/>
      <c r="AA4" s="947"/>
      <c r="AB4" s="947"/>
      <c r="AC4" s="947"/>
      <c r="AD4" s="947"/>
      <c r="AE4" s="947"/>
    </row>
    <row r="5" spans="1:37" ht="16.5" thickBot="1" x14ac:dyDescent="0.3">
      <c r="A5" s="947"/>
      <c r="B5" s="951"/>
      <c r="C5" s="952"/>
      <c r="D5" s="952"/>
      <c r="E5" s="952"/>
      <c r="F5" s="764">
        <v>2022</v>
      </c>
      <c r="G5" s="764">
        <v>2023</v>
      </c>
      <c r="H5" s="764">
        <v>2024</v>
      </c>
      <c r="I5" s="941"/>
      <c r="J5" s="941"/>
      <c r="K5" s="941"/>
      <c r="L5" s="952"/>
      <c r="M5" s="952"/>
      <c r="N5" s="947"/>
      <c r="O5" s="947"/>
      <c r="P5" s="947"/>
      <c r="Q5" s="947"/>
      <c r="R5" s="947"/>
      <c r="S5" s="947"/>
      <c r="T5" s="947"/>
      <c r="U5" s="947"/>
      <c r="V5" s="947"/>
      <c r="W5" s="947"/>
      <c r="X5" s="947"/>
      <c r="Y5" s="947"/>
      <c r="Z5" s="947"/>
      <c r="AA5" s="947"/>
      <c r="AB5" s="947"/>
      <c r="AC5" s="947"/>
      <c r="AD5" s="947"/>
      <c r="AE5" s="947"/>
    </row>
    <row r="6" spans="1:37" ht="17.25" thickBot="1" x14ac:dyDescent="0.3">
      <c r="A6" s="946"/>
      <c r="B6" s="942" t="s">
        <v>919</v>
      </c>
      <c r="C6" s="943"/>
      <c r="D6" s="953"/>
      <c r="E6" s="999"/>
      <c r="F6" s="944">
        <f>ROUND(W22,0)</f>
        <v>25231</v>
      </c>
      <c r="G6" s="944">
        <f>ROUND(Y22,0)</f>
        <v>37795</v>
      </c>
      <c r="H6" s="944">
        <f>ROUND(AA22,0)</f>
        <v>50359</v>
      </c>
      <c r="I6" s="945" t="s">
        <v>6</v>
      </c>
      <c r="J6" s="941"/>
      <c r="K6" s="941"/>
      <c r="L6" s="941"/>
      <c r="M6" s="941"/>
      <c r="N6" s="941"/>
      <c r="O6" s="941"/>
      <c r="P6" s="941"/>
      <c r="Q6" s="941"/>
      <c r="R6" s="941"/>
      <c r="S6" s="941"/>
      <c r="T6" s="946"/>
      <c r="U6" s="946"/>
      <c r="V6" s="946"/>
      <c r="W6" s="946"/>
      <c r="X6" s="946"/>
      <c r="Y6" s="946"/>
      <c r="Z6" s="946"/>
      <c r="AA6" s="946"/>
      <c r="AB6" s="946"/>
      <c r="AC6" s="946"/>
      <c r="AD6" s="946"/>
      <c r="AE6" s="946"/>
    </row>
    <row r="7" spans="1:37" x14ac:dyDescent="0.25">
      <c r="A7" s="955"/>
      <c r="B7" s="955"/>
      <c r="C7" s="956"/>
      <c r="D7" s="957"/>
      <c r="E7" s="957"/>
      <c r="F7" s="957"/>
      <c r="G7" s="957"/>
      <c r="H7" s="957"/>
      <c r="I7" s="957"/>
      <c r="J7" s="957"/>
      <c r="K7" s="957"/>
      <c r="L7" s="957"/>
      <c r="M7" s="957"/>
      <c r="N7" s="955"/>
      <c r="O7" s="955"/>
      <c r="P7" s="955"/>
      <c r="Q7" s="955"/>
      <c r="R7" s="955"/>
      <c r="S7" s="955"/>
      <c r="T7" s="955"/>
      <c r="U7" s="955"/>
      <c r="V7" s="955"/>
      <c r="W7" s="955"/>
      <c r="X7" s="955"/>
      <c r="Y7" s="955"/>
      <c r="Z7" s="955"/>
      <c r="AA7" s="955"/>
      <c r="AB7" s="955"/>
      <c r="AC7" s="955"/>
      <c r="AD7" s="955"/>
      <c r="AE7" s="955"/>
      <c r="AF7" s="1354"/>
      <c r="AG7" s="1354"/>
      <c r="AH7" s="1354"/>
      <c r="AI7" s="1354"/>
      <c r="AJ7" s="1354"/>
      <c r="AK7" s="1354"/>
    </row>
    <row r="8" spans="1:37" ht="75" x14ac:dyDescent="0.25">
      <c r="B8" s="214"/>
      <c r="C8" s="214"/>
      <c r="D8" s="214"/>
      <c r="E8" s="214"/>
      <c r="F8" s="214"/>
      <c r="G8" s="214"/>
      <c r="H8" s="932" t="s">
        <v>64</v>
      </c>
      <c r="I8" s="932" t="s">
        <v>65</v>
      </c>
      <c r="J8" s="932" t="s">
        <v>66</v>
      </c>
      <c r="K8" s="1317" t="s">
        <v>67</v>
      </c>
      <c r="L8" s="661"/>
      <c r="M8" s="214"/>
      <c r="N8" s="214"/>
      <c r="O8" s="214"/>
      <c r="P8" s="1317" t="s">
        <v>68</v>
      </c>
      <c r="Q8" s="1317" t="s">
        <v>69</v>
      </c>
      <c r="R8" s="1317" t="s">
        <v>70</v>
      </c>
      <c r="S8" s="214"/>
      <c r="T8" s="1000"/>
      <c r="U8" s="1000"/>
      <c r="V8" s="1000"/>
      <c r="W8" s="1000"/>
      <c r="X8" s="1000"/>
      <c r="Y8" s="1000"/>
      <c r="Z8" s="1000"/>
      <c r="AA8" s="1000"/>
      <c r="AB8" s="1000"/>
      <c r="AC8" s="1000"/>
    </row>
    <row r="9" spans="1:37" x14ac:dyDescent="0.25">
      <c r="B9" s="214"/>
      <c r="C9" s="214"/>
      <c r="D9" s="214"/>
      <c r="E9" s="214"/>
      <c r="F9" s="214"/>
      <c r="G9" s="662" t="s">
        <v>71</v>
      </c>
      <c r="H9" s="663">
        <v>1485</v>
      </c>
      <c r="I9" s="663">
        <v>891</v>
      </c>
      <c r="J9" s="663">
        <v>594</v>
      </c>
      <c r="K9" s="1327"/>
      <c r="L9" s="214"/>
      <c r="M9" s="214"/>
      <c r="N9" s="214"/>
      <c r="O9" s="214"/>
      <c r="P9" s="1327"/>
      <c r="Q9" s="1327"/>
      <c r="R9" s="1327"/>
      <c r="S9" s="214"/>
      <c r="T9" s="1000"/>
      <c r="U9" s="1000"/>
      <c r="V9" s="1000"/>
      <c r="W9" s="1000"/>
      <c r="X9" s="1000"/>
      <c r="Y9" s="1000"/>
      <c r="Z9" s="1000"/>
      <c r="AA9" s="1000"/>
      <c r="AB9" s="1000"/>
      <c r="AC9" s="1000"/>
    </row>
    <row r="10" spans="1:37" x14ac:dyDescent="0.25">
      <c r="B10" s="214"/>
      <c r="C10" s="214"/>
      <c r="D10" s="214"/>
      <c r="E10" s="214"/>
      <c r="F10" s="214"/>
      <c r="G10" s="662" t="s">
        <v>72</v>
      </c>
      <c r="H10" s="663">
        <f>ROUND(H9/9600,4)</f>
        <v>0.1547</v>
      </c>
      <c r="I10" s="663">
        <f>ROUND(I9/9600,4)</f>
        <v>9.2799999999999994E-2</v>
      </c>
      <c r="J10" s="663">
        <f>ROUND(J9/9600,4)</f>
        <v>6.1899999999999997E-2</v>
      </c>
      <c r="K10" s="663">
        <v>0.2359</v>
      </c>
      <c r="L10" s="214"/>
      <c r="M10" s="214"/>
      <c r="N10" s="214"/>
      <c r="O10" s="662" t="s">
        <v>73</v>
      </c>
      <c r="P10" s="663">
        <v>0.2898</v>
      </c>
      <c r="Q10" s="663">
        <v>3.15E-2</v>
      </c>
      <c r="R10" s="663">
        <v>5.0200000000000002E-2</v>
      </c>
      <c r="S10" s="214"/>
      <c r="T10" s="1000"/>
      <c r="U10" s="1000"/>
      <c r="V10" s="1000"/>
      <c r="W10" s="1000"/>
      <c r="X10" s="1000"/>
      <c r="Y10" s="1000"/>
      <c r="Z10" s="1000"/>
      <c r="AA10" s="1000"/>
      <c r="AB10" s="1000"/>
      <c r="AC10" s="1000"/>
    </row>
    <row r="11" spans="1:37" x14ac:dyDescent="0.25">
      <c r="B11" s="214"/>
      <c r="C11" s="214"/>
      <c r="D11" s="214"/>
      <c r="E11" s="214"/>
      <c r="F11" s="214"/>
      <c r="G11" s="214"/>
      <c r="H11" s="214"/>
      <c r="I11" s="214"/>
      <c r="J11" s="214"/>
      <c r="K11" s="214"/>
      <c r="L11" s="214"/>
      <c r="M11" s="214"/>
      <c r="N11" s="214"/>
      <c r="O11" s="214"/>
      <c r="P11" s="214"/>
      <c r="Q11" s="214"/>
      <c r="R11" s="214"/>
      <c r="S11" s="214"/>
      <c r="T11" s="1371" t="s">
        <v>1362</v>
      </c>
      <c r="U11" s="1372"/>
      <c r="V11" s="1371" t="s">
        <v>1412</v>
      </c>
      <c r="W11" s="1373"/>
      <c r="X11" s="1373"/>
      <c r="Y11" s="1373"/>
      <c r="Z11" s="1373"/>
      <c r="AA11" s="1372"/>
      <c r="AB11" s="1000"/>
      <c r="AC11" s="1000"/>
    </row>
    <row r="12" spans="1:37" ht="75" x14ac:dyDescent="0.25">
      <c r="B12" s="1317" t="s">
        <v>74</v>
      </c>
      <c r="C12" s="1317" t="s">
        <v>1389</v>
      </c>
      <c r="D12" s="1317" t="s">
        <v>75</v>
      </c>
      <c r="E12" s="1324" t="s">
        <v>76</v>
      </c>
      <c r="F12" s="1325"/>
      <c r="G12" s="1326"/>
      <c r="H12" s="1324" t="s">
        <v>77</v>
      </c>
      <c r="I12" s="1325"/>
      <c r="J12" s="1326"/>
      <c r="K12" s="932" t="s">
        <v>78</v>
      </c>
      <c r="L12" s="1324" t="s">
        <v>79</v>
      </c>
      <c r="M12" s="1325"/>
      <c r="N12" s="1326"/>
      <c r="O12" s="1317" t="s">
        <v>80</v>
      </c>
      <c r="P12" s="1317" t="s">
        <v>82</v>
      </c>
      <c r="Q12" s="1317" t="s">
        <v>83</v>
      </c>
      <c r="R12" s="1317" t="s">
        <v>84</v>
      </c>
      <c r="S12" s="1378" t="s">
        <v>936</v>
      </c>
      <c r="T12" s="1374" t="s">
        <v>986</v>
      </c>
      <c r="U12" s="1380" t="s">
        <v>985</v>
      </c>
      <c r="V12" s="1374" t="s">
        <v>1390</v>
      </c>
      <c r="W12" s="1376" t="s">
        <v>1391</v>
      </c>
      <c r="X12" s="1374" t="s">
        <v>1392</v>
      </c>
      <c r="Y12" s="1376" t="s">
        <v>1393</v>
      </c>
      <c r="Z12" s="1374" t="s">
        <v>1401</v>
      </c>
      <c r="AA12" s="1376" t="s">
        <v>1402</v>
      </c>
      <c r="AB12" s="1367" t="s">
        <v>984</v>
      </c>
      <c r="AC12" s="1368"/>
    </row>
    <row r="13" spans="1:37" ht="60" x14ac:dyDescent="0.25">
      <c r="B13" s="1327"/>
      <c r="C13" s="1327"/>
      <c r="D13" s="1327"/>
      <c r="E13" s="932" t="s">
        <v>90</v>
      </c>
      <c r="F13" s="932" t="s">
        <v>91</v>
      </c>
      <c r="G13" s="932" t="s">
        <v>92</v>
      </c>
      <c r="H13" s="932" t="s">
        <v>90</v>
      </c>
      <c r="I13" s="932" t="s">
        <v>91</v>
      </c>
      <c r="J13" s="932" t="s">
        <v>93</v>
      </c>
      <c r="K13" s="932" t="s">
        <v>94</v>
      </c>
      <c r="L13" s="932" t="s">
        <v>95</v>
      </c>
      <c r="M13" s="664" t="s">
        <v>983</v>
      </c>
      <c r="N13" s="932" t="s">
        <v>97</v>
      </c>
      <c r="O13" s="1327"/>
      <c r="P13" s="1327"/>
      <c r="Q13" s="1327"/>
      <c r="R13" s="1327"/>
      <c r="S13" s="1379"/>
      <c r="T13" s="1375"/>
      <c r="U13" s="1381"/>
      <c r="V13" s="1375"/>
      <c r="W13" s="1377"/>
      <c r="X13" s="1375"/>
      <c r="Y13" s="1377"/>
      <c r="Z13" s="1375"/>
      <c r="AA13" s="1377"/>
      <c r="AB13" s="1369"/>
      <c r="AC13" s="1370"/>
      <c r="AD13" s="1359" t="s">
        <v>1394</v>
      </c>
      <c r="AE13" s="1360"/>
      <c r="AF13" s="1359" t="s">
        <v>1395</v>
      </c>
      <c r="AG13" s="1360"/>
      <c r="AH13" s="1359" t="s">
        <v>1396</v>
      </c>
      <c r="AI13" s="1360"/>
      <c r="AJ13" s="1359" t="s">
        <v>1403</v>
      </c>
      <c r="AK13" s="1360"/>
    </row>
    <row r="14" spans="1:37" x14ac:dyDescent="0.25">
      <c r="B14" s="933">
        <v>1</v>
      </c>
      <c r="C14" s="933">
        <v>2</v>
      </c>
      <c r="D14" s="933">
        <v>3</v>
      </c>
      <c r="E14" s="933">
        <v>4</v>
      </c>
      <c r="F14" s="933">
        <v>5</v>
      </c>
      <c r="G14" s="933">
        <v>6</v>
      </c>
      <c r="H14" s="933">
        <v>7</v>
      </c>
      <c r="I14" s="933">
        <v>8</v>
      </c>
      <c r="J14" s="933">
        <v>9</v>
      </c>
      <c r="K14" s="933">
        <v>10</v>
      </c>
      <c r="L14" s="933" t="s">
        <v>982</v>
      </c>
      <c r="M14" s="933">
        <v>12</v>
      </c>
      <c r="N14" s="933">
        <v>13</v>
      </c>
      <c r="O14" s="933">
        <v>14</v>
      </c>
      <c r="P14" s="933">
        <v>15</v>
      </c>
      <c r="Q14" s="933">
        <v>16</v>
      </c>
      <c r="R14" s="933">
        <v>17</v>
      </c>
      <c r="S14" s="1001">
        <v>18</v>
      </c>
      <c r="T14" s="933">
        <v>19</v>
      </c>
      <c r="U14" s="963">
        <v>20</v>
      </c>
      <c r="V14" s="933">
        <v>21</v>
      </c>
      <c r="W14" s="933">
        <v>22</v>
      </c>
      <c r="X14" s="933">
        <v>23</v>
      </c>
      <c r="Y14" s="933">
        <v>24</v>
      </c>
      <c r="Z14" s="933">
        <v>25</v>
      </c>
      <c r="AA14" s="933">
        <v>26</v>
      </c>
      <c r="AB14" s="1355">
        <v>22</v>
      </c>
      <c r="AC14" s="1356"/>
      <c r="AD14" s="1002" t="s">
        <v>1150</v>
      </c>
      <c r="AE14" s="1002" t="s">
        <v>1151</v>
      </c>
      <c r="AF14" s="1002" t="s">
        <v>1150</v>
      </c>
      <c r="AG14" s="1002" t="s">
        <v>1151</v>
      </c>
      <c r="AH14" s="1002" t="s">
        <v>1150</v>
      </c>
      <c r="AI14" s="1002" t="s">
        <v>1151</v>
      </c>
      <c r="AJ14" s="1002" t="s">
        <v>1150</v>
      </c>
      <c r="AK14" s="1002" t="s">
        <v>1151</v>
      </c>
    </row>
    <row r="15" spans="1:37" ht="57.75" customHeight="1" x14ac:dyDescent="0.25">
      <c r="B15" s="1003" t="s">
        <v>1152</v>
      </c>
      <c r="C15" s="1024" t="s">
        <v>978</v>
      </c>
      <c r="D15" s="1004" t="s">
        <v>981</v>
      </c>
      <c r="E15" s="665">
        <f>[5]P1_ilgkatetrs!D5</f>
        <v>45</v>
      </c>
      <c r="F15" s="665">
        <f>[5]P1_ilgkatetrs!E5</f>
        <v>60</v>
      </c>
      <c r="G15" s="666">
        <v>0</v>
      </c>
      <c r="H15" s="667">
        <f t="shared" ref="H15:H21" si="0">ROUND((E15*$H$10),2)</f>
        <v>6.96</v>
      </c>
      <c r="I15" s="667">
        <f t="shared" ref="I15:I21" si="1">ROUND((F15*$I$10),2)</f>
        <v>5.57</v>
      </c>
      <c r="J15" s="667">
        <f t="shared" ref="J15:J21" si="2">ROUND((G15*$J$10),2)</f>
        <v>0</v>
      </c>
      <c r="K15" s="667">
        <f>ROUND(((H15+I15+J15)*$K$10),2)</f>
        <v>2.96</v>
      </c>
      <c r="L15" s="668">
        <f t="shared" ref="L15:L21" si="3">M15+N15</f>
        <v>22.321899999999999</v>
      </c>
      <c r="M15" s="668">
        <f>[5]P1_ilgkatetrs!I30</f>
        <v>4.2370000000000001</v>
      </c>
      <c r="N15" s="668">
        <f>[5]P1_ilgkatetrs!I25+[5]P1_ilgkatetrs!I34</f>
        <v>18.084900000000001</v>
      </c>
      <c r="O15" s="667">
        <v>0</v>
      </c>
      <c r="P15" s="667">
        <f>ROUND((H15+I15+J15)*$P$10,2)</f>
        <v>3.63</v>
      </c>
      <c r="Q15" s="667">
        <f>ROUND((H15+I15+J15)*$Q$10,2)</f>
        <v>0.39</v>
      </c>
      <c r="R15" s="667">
        <f>ROUND((H15+I15+J15)*$R$10,2)</f>
        <v>0.63</v>
      </c>
      <c r="S15" s="1005">
        <f t="shared" ref="S15:S21" si="4">H15+I15+J15+K15+L15+O15+P15+Q15+R15</f>
        <v>42.461900000000007</v>
      </c>
      <c r="T15" s="1006">
        <f>5*4</f>
        <v>20</v>
      </c>
      <c r="U15" s="1017">
        <f>S15*T15</f>
        <v>849.23800000000017</v>
      </c>
      <c r="V15" s="1006">
        <f>2*4</f>
        <v>8</v>
      </c>
      <c r="W15" s="1010">
        <f t="shared" ref="W15:W21" si="5">S15*V15</f>
        <v>339.69520000000006</v>
      </c>
      <c r="X15" s="1006">
        <f>(2+1)*4</f>
        <v>12</v>
      </c>
      <c r="Y15" s="1010">
        <f t="shared" ref="Y15:Y21" si="6">S15*X15</f>
        <v>509.54280000000006</v>
      </c>
      <c r="Z15" s="1006">
        <f>(3+1)*4</f>
        <v>16</v>
      </c>
      <c r="AA15" s="1010">
        <f t="shared" ref="AA15:AA21" si="7">S15*Z15</f>
        <v>679.39040000000011</v>
      </c>
      <c r="AB15" s="1357" t="s">
        <v>1397</v>
      </c>
      <c r="AC15" s="1358"/>
      <c r="AD15" s="1007">
        <v>0</v>
      </c>
      <c r="AE15" s="1007">
        <f>U15</f>
        <v>849.23800000000017</v>
      </c>
      <c r="AF15" s="1007">
        <v>0</v>
      </c>
      <c r="AG15" s="1007">
        <f>W15</f>
        <v>339.69520000000006</v>
      </c>
      <c r="AH15" s="1007">
        <v>0</v>
      </c>
      <c r="AI15" s="1007">
        <f>Y15</f>
        <v>509.54280000000006</v>
      </c>
      <c r="AJ15" s="1007">
        <v>0</v>
      </c>
      <c r="AK15" s="1007">
        <f>AA15</f>
        <v>679.39040000000011</v>
      </c>
    </row>
    <row r="16" spans="1:37" ht="59.25" customHeight="1" x14ac:dyDescent="0.25">
      <c r="B16" s="1003" t="s">
        <v>1153</v>
      </c>
      <c r="C16" s="1024" t="s">
        <v>978</v>
      </c>
      <c r="D16" s="1004" t="s">
        <v>980</v>
      </c>
      <c r="E16" s="666">
        <v>0</v>
      </c>
      <c r="F16" s="665">
        <v>0</v>
      </c>
      <c r="G16" s="666">
        <v>0</v>
      </c>
      <c r="H16" s="667">
        <f t="shared" si="0"/>
        <v>0</v>
      </c>
      <c r="I16" s="667">
        <f t="shared" si="1"/>
        <v>0</v>
      </c>
      <c r="J16" s="667">
        <f t="shared" si="2"/>
        <v>0</v>
      </c>
      <c r="K16" s="667">
        <f t="shared" ref="K16:K21" si="8">ROUND(((H16+I16+J16)*$K$10),2)</f>
        <v>0</v>
      </c>
      <c r="L16" s="668">
        <f t="shared" si="3"/>
        <v>105.62</v>
      </c>
      <c r="M16" s="668">
        <v>0</v>
      </c>
      <c r="N16" s="668">
        <f>[5]P1_ilgkatetrs!I40</f>
        <v>105.62</v>
      </c>
      <c r="O16" s="667">
        <v>0</v>
      </c>
      <c r="P16" s="667">
        <f>ROUND((H16+I16+J16)*$P$10,2)</f>
        <v>0</v>
      </c>
      <c r="Q16" s="667">
        <f>ROUND((H16+I16+J16)*$Q$10,2)</f>
        <v>0</v>
      </c>
      <c r="R16" s="667">
        <f>ROUND((H16+I16+J16)*$R$10,2)</f>
        <v>0</v>
      </c>
      <c r="S16" s="1005">
        <f t="shared" si="4"/>
        <v>105.62</v>
      </c>
      <c r="T16" s="1006">
        <v>15</v>
      </c>
      <c r="U16" s="1017">
        <f>S16*T16</f>
        <v>1584.3000000000002</v>
      </c>
      <c r="V16" s="1006">
        <f>V15/4*3</f>
        <v>6</v>
      </c>
      <c r="W16" s="1010">
        <f t="shared" si="5"/>
        <v>633.72</v>
      </c>
      <c r="X16" s="1006">
        <f>X15/4*3</f>
        <v>9</v>
      </c>
      <c r="Y16" s="1010">
        <f t="shared" si="6"/>
        <v>950.58</v>
      </c>
      <c r="Z16" s="1006">
        <f>Z15/4*3</f>
        <v>12</v>
      </c>
      <c r="AA16" s="1010">
        <f t="shared" si="7"/>
        <v>1267.44</v>
      </c>
      <c r="AB16" s="1357" t="s">
        <v>1398</v>
      </c>
      <c r="AC16" s="1358"/>
      <c r="AD16" s="1007">
        <v>0</v>
      </c>
      <c r="AE16" s="1007">
        <f t="shared" ref="AE16:AE17" si="9">U16</f>
        <v>1584.3000000000002</v>
      </c>
      <c r="AF16" s="1007">
        <v>0</v>
      </c>
      <c r="AG16" s="1007">
        <f>W16</f>
        <v>633.72</v>
      </c>
      <c r="AH16" s="1007">
        <v>0</v>
      </c>
      <c r="AI16" s="1007">
        <f>Y16</f>
        <v>950.58</v>
      </c>
      <c r="AJ16" s="1007">
        <v>0</v>
      </c>
      <c r="AK16" s="1007">
        <f>AA16</f>
        <v>1267.44</v>
      </c>
    </row>
    <row r="17" spans="2:37" ht="57" customHeight="1" x14ac:dyDescent="0.25">
      <c r="B17" s="1003" t="s">
        <v>1154</v>
      </c>
      <c r="C17" s="1024" t="s">
        <v>978</v>
      </c>
      <c r="D17" s="1004" t="s">
        <v>979</v>
      </c>
      <c r="E17" s="666">
        <v>0</v>
      </c>
      <c r="F17" s="665">
        <v>0</v>
      </c>
      <c r="G17" s="666">
        <v>0</v>
      </c>
      <c r="H17" s="667">
        <f t="shared" si="0"/>
        <v>0</v>
      </c>
      <c r="I17" s="667">
        <f t="shared" si="1"/>
        <v>0</v>
      </c>
      <c r="J17" s="667">
        <f t="shared" si="2"/>
        <v>0</v>
      </c>
      <c r="K17" s="667">
        <f t="shared" si="8"/>
        <v>0</v>
      </c>
      <c r="L17" s="668">
        <f t="shared" si="3"/>
        <v>225.71</v>
      </c>
      <c r="M17" s="668">
        <v>0</v>
      </c>
      <c r="N17" s="668">
        <f>[5]P1_ilgkatetrs!I46</f>
        <v>225.71</v>
      </c>
      <c r="O17" s="667">
        <v>0</v>
      </c>
      <c r="P17" s="667">
        <f>ROUND((H17+I17+J17)*$P$10,2)</f>
        <v>0</v>
      </c>
      <c r="Q17" s="667">
        <f>ROUND((H17+I17+J17)*$Q$10,2)</f>
        <v>0</v>
      </c>
      <c r="R17" s="667">
        <f>ROUND((H17+I17+J17)*$R$10,2)</f>
        <v>0</v>
      </c>
      <c r="S17" s="1005">
        <f t="shared" si="4"/>
        <v>225.71</v>
      </c>
      <c r="T17" s="1006">
        <v>5</v>
      </c>
      <c r="U17" s="1017">
        <f>S17*T17</f>
        <v>1128.55</v>
      </c>
      <c r="V17" s="1006">
        <f>V15/4*1</f>
        <v>2</v>
      </c>
      <c r="W17" s="1010">
        <f t="shared" si="5"/>
        <v>451.42</v>
      </c>
      <c r="X17" s="1006">
        <f>X15/4*1</f>
        <v>3</v>
      </c>
      <c r="Y17" s="1010">
        <f t="shared" si="6"/>
        <v>677.13</v>
      </c>
      <c r="Z17" s="1006">
        <f>Z15/4*1</f>
        <v>4</v>
      </c>
      <c r="AA17" s="1010">
        <f t="shared" si="7"/>
        <v>902.84</v>
      </c>
      <c r="AB17" s="1357" t="s">
        <v>1399</v>
      </c>
      <c r="AC17" s="1358"/>
      <c r="AD17" s="1007">
        <v>0</v>
      </c>
      <c r="AE17" s="1007">
        <f t="shared" si="9"/>
        <v>1128.55</v>
      </c>
      <c r="AF17" s="1007">
        <v>0</v>
      </c>
      <c r="AG17" s="1007">
        <f>W17</f>
        <v>451.42</v>
      </c>
      <c r="AH17" s="1007">
        <v>0</v>
      </c>
      <c r="AI17" s="1007">
        <f>Y17</f>
        <v>677.13</v>
      </c>
      <c r="AJ17" s="1007">
        <v>0</v>
      </c>
      <c r="AK17" s="1007">
        <f>AA17</f>
        <v>902.84</v>
      </c>
    </row>
    <row r="18" spans="2:37" ht="59.25" customHeight="1" x14ac:dyDescent="0.25">
      <c r="B18" s="669" t="s">
        <v>1155</v>
      </c>
      <c r="C18" s="1024" t="s">
        <v>978</v>
      </c>
      <c r="D18" s="1008" t="s">
        <v>989</v>
      </c>
      <c r="E18" s="1009">
        <v>15</v>
      </c>
      <c r="F18" s="1009">
        <v>15</v>
      </c>
      <c r="G18" s="1009">
        <v>0</v>
      </c>
      <c r="H18" s="667">
        <f t="shared" si="0"/>
        <v>2.3199999999999998</v>
      </c>
      <c r="I18" s="667">
        <f t="shared" si="1"/>
        <v>1.39</v>
      </c>
      <c r="J18" s="667">
        <f t="shared" si="2"/>
        <v>0</v>
      </c>
      <c r="K18" s="667">
        <f>ROUND(((H18+I18+J18)*$K$10),2)</f>
        <v>0.88</v>
      </c>
      <c r="L18" s="668">
        <f t="shared" si="3"/>
        <v>7.8572999999999995</v>
      </c>
      <c r="M18" s="1010">
        <v>1.3472</v>
      </c>
      <c r="N18" s="1010">
        <v>6.5100999999999996</v>
      </c>
      <c r="O18" s="1011">
        <v>5.4699999999999999E-2</v>
      </c>
      <c r="P18" s="667">
        <f t="shared" ref="P18:P21" si="10">ROUND((H18+I18+J18)*$P$10,2)</f>
        <v>1.08</v>
      </c>
      <c r="Q18" s="667">
        <f t="shared" ref="Q18:Q21" si="11">ROUND((H18+I18+J18)*$Q$10,2)</f>
        <v>0.12</v>
      </c>
      <c r="R18" s="667">
        <f t="shared" ref="R18:R21" si="12">ROUND((H18+I18+J18)*$R$10,2)</f>
        <v>0.19</v>
      </c>
      <c r="S18" s="1005">
        <f t="shared" si="4"/>
        <v>13.891999999999998</v>
      </c>
      <c r="T18" s="1006">
        <f>(55*4)+130</f>
        <v>350</v>
      </c>
      <c r="U18" s="1017">
        <f>T18*S18</f>
        <v>4862.1999999999989</v>
      </c>
      <c r="V18" s="1006">
        <f>(50*4)+130</f>
        <v>330</v>
      </c>
      <c r="W18" s="1010">
        <f t="shared" si="5"/>
        <v>4584.3599999999997</v>
      </c>
      <c r="X18" s="1006">
        <f>((50+45)*4)+130</f>
        <v>510</v>
      </c>
      <c r="Y18" s="1010">
        <f t="shared" si="6"/>
        <v>7084.9199999999992</v>
      </c>
      <c r="Z18" s="1006">
        <f>((95+45)*4)+130</f>
        <v>690</v>
      </c>
      <c r="AA18" s="1010">
        <f t="shared" si="7"/>
        <v>9585.4799999999977</v>
      </c>
      <c r="AB18" s="1361" t="s">
        <v>1400</v>
      </c>
      <c r="AC18" s="1362"/>
      <c r="AD18" s="1012">
        <f>U18*0.8</f>
        <v>3889.7599999999993</v>
      </c>
      <c r="AE18" s="1012">
        <f>U18*0.2</f>
        <v>972.43999999999983</v>
      </c>
      <c r="AF18" s="1012">
        <f>W18*0.8</f>
        <v>3667.4879999999998</v>
      </c>
      <c r="AG18" s="1012">
        <f>W18*0.2</f>
        <v>916.87199999999996</v>
      </c>
      <c r="AH18" s="1012">
        <f>Y18*0.8</f>
        <v>5667.9359999999997</v>
      </c>
      <c r="AI18" s="1012">
        <f>Y18*0.2</f>
        <v>1416.9839999999999</v>
      </c>
      <c r="AJ18" s="1012">
        <f>AA18*0.8</f>
        <v>7668.3839999999982</v>
      </c>
      <c r="AK18" s="1012">
        <f>AA18*0.2</f>
        <v>1917.0959999999995</v>
      </c>
    </row>
    <row r="19" spans="2:37" ht="57.75" customHeight="1" x14ac:dyDescent="0.25">
      <c r="B19" s="669" t="s">
        <v>1156</v>
      </c>
      <c r="C19" s="1024" t="s">
        <v>978</v>
      </c>
      <c r="D19" s="1004" t="s">
        <v>990</v>
      </c>
      <c r="E19" s="670">
        <v>0</v>
      </c>
      <c r="F19" s="670">
        <v>0</v>
      </c>
      <c r="G19" s="670">
        <v>0</v>
      </c>
      <c r="H19" s="667">
        <f t="shared" si="0"/>
        <v>0</v>
      </c>
      <c r="I19" s="667">
        <f t="shared" si="1"/>
        <v>0</v>
      </c>
      <c r="J19" s="667">
        <f t="shared" si="2"/>
        <v>0</v>
      </c>
      <c r="K19" s="667">
        <f t="shared" si="8"/>
        <v>0</v>
      </c>
      <c r="L19" s="668">
        <f t="shared" si="3"/>
        <v>51.95</v>
      </c>
      <c r="M19" s="969">
        <v>0</v>
      </c>
      <c r="N19" s="969">
        <v>51.95</v>
      </c>
      <c r="O19" s="668">
        <v>0</v>
      </c>
      <c r="P19" s="667">
        <f t="shared" si="10"/>
        <v>0</v>
      </c>
      <c r="Q19" s="667">
        <f t="shared" si="11"/>
        <v>0</v>
      </c>
      <c r="R19" s="667">
        <f t="shared" si="12"/>
        <v>0</v>
      </c>
      <c r="S19" s="1005">
        <f t="shared" si="4"/>
        <v>51.95</v>
      </c>
      <c r="T19" s="1006">
        <f>(55*4)+170</f>
        <v>390</v>
      </c>
      <c r="U19" s="1017">
        <f>T19*S19</f>
        <v>20260.5</v>
      </c>
      <c r="V19" s="1006">
        <f>(50*4)+170</f>
        <v>370</v>
      </c>
      <c r="W19" s="1010">
        <f t="shared" si="5"/>
        <v>19221.5</v>
      </c>
      <c r="X19" s="1006">
        <f>((50+45)*4)+170</f>
        <v>550</v>
      </c>
      <c r="Y19" s="1010">
        <f t="shared" si="6"/>
        <v>28572.5</v>
      </c>
      <c r="Z19" s="1006">
        <f>((95+45)*4)+170</f>
        <v>730</v>
      </c>
      <c r="AA19" s="1010">
        <f t="shared" si="7"/>
        <v>37923.5</v>
      </c>
      <c r="AB19" s="1363"/>
      <c r="AC19" s="1364"/>
      <c r="AD19" s="1012">
        <f>U19*0.8</f>
        <v>16208.400000000001</v>
      </c>
      <c r="AE19" s="1012">
        <f>U19*0.2</f>
        <v>4052.1000000000004</v>
      </c>
      <c r="AF19" s="1012">
        <f>W19*0.8</f>
        <v>15377.2</v>
      </c>
      <c r="AG19" s="1012">
        <f>W19*0.2</f>
        <v>3844.3</v>
      </c>
      <c r="AH19" s="1012">
        <f>Y19*0.8</f>
        <v>22858</v>
      </c>
      <c r="AI19" s="1012">
        <f>Y19*0.2</f>
        <v>5714.5</v>
      </c>
      <c r="AJ19" s="1012">
        <f>AA19*0.8</f>
        <v>30338.800000000003</v>
      </c>
      <c r="AK19" s="1012">
        <f>AA19*0.2</f>
        <v>7584.7000000000007</v>
      </c>
    </row>
    <row r="20" spans="2:37" ht="45" x14ac:dyDescent="0.25">
      <c r="B20" s="669" t="s">
        <v>1157</v>
      </c>
      <c r="C20" s="1024" t="s">
        <v>978</v>
      </c>
      <c r="D20" s="671" t="s">
        <v>991</v>
      </c>
      <c r="E20" s="670">
        <v>0</v>
      </c>
      <c r="F20" s="670">
        <v>0</v>
      </c>
      <c r="G20" s="670">
        <v>0</v>
      </c>
      <c r="H20" s="667">
        <f t="shared" si="0"/>
        <v>0</v>
      </c>
      <c r="I20" s="667">
        <f t="shared" si="1"/>
        <v>0</v>
      </c>
      <c r="J20" s="667">
        <f t="shared" si="2"/>
        <v>0</v>
      </c>
      <c r="K20" s="667">
        <f t="shared" si="8"/>
        <v>0</v>
      </c>
      <c r="L20" s="668">
        <f t="shared" si="3"/>
        <v>267.68</v>
      </c>
      <c r="M20" s="668">
        <v>0</v>
      </c>
      <c r="N20" s="668">
        <v>267.68</v>
      </c>
      <c r="O20" s="668">
        <v>0</v>
      </c>
      <c r="P20" s="667">
        <f t="shared" si="10"/>
        <v>0</v>
      </c>
      <c r="Q20" s="667">
        <f t="shared" si="11"/>
        <v>0</v>
      </c>
      <c r="R20" s="667">
        <f t="shared" si="12"/>
        <v>0</v>
      </c>
      <c r="S20" s="1005">
        <f t="shared" si="4"/>
        <v>267.68</v>
      </c>
      <c r="T20" s="1006">
        <v>15</v>
      </c>
      <c r="U20" s="1017">
        <f t="shared" ref="U20:U21" si="13">T20*S20</f>
        <v>4015.2000000000003</v>
      </c>
      <c r="V20" s="1006">
        <v>0</v>
      </c>
      <c r="W20" s="1010">
        <f t="shared" si="5"/>
        <v>0</v>
      </c>
      <c r="X20" s="1006">
        <v>0</v>
      </c>
      <c r="Y20" s="1010">
        <f t="shared" si="6"/>
        <v>0</v>
      </c>
      <c r="Z20" s="1006">
        <v>0</v>
      </c>
      <c r="AA20" s="1010">
        <f t="shared" si="7"/>
        <v>0</v>
      </c>
      <c r="AB20" s="1363"/>
      <c r="AC20" s="1364"/>
      <c r="AD20" s="1012">
        <f>U20*0.8</f>
        <v>3212.1600000000003</v>
      </c>
      <c r="AE20" s="1012">
        <f>U20*0.2</f>
        <v>803.04000000000008</v>
      </c>
      <c r="AF20" s="1012">
        <f>W20*0.8</f>
        <v>0</v>
      </c>
      <c r="AG20" s="1012">
        <f>W20*0.2</f>
        <v>0</v>
      </c>
      <c r="AH20" s="1012">
        <f>Y20*0.8</f>
        <v>0</v>
      </c>
      <c r="AI20" s="1012">
        <f>Y20*0.2</f>
        <v>0</v>
      </c>
      <c r="AJ20" s="1012">
        <f>AA20*0.8</f>
        <v>0</v>
      </c>
      <c r="AK20" s="1012">
        <f>AA20*0.2</f>
        <v>0</v>
      </c>
    </row>
    <row r="21" spans="2:37" ht="60" x14ac:dyDescent="0.25">
      <c r="B21" s="669" t="s">
        <v>1158</v>
      </c>
      <c r="C21" s="1024" t="s">
        <v>978</v>
      </c>
      <c r="D21" s="671" t="s">
        <v>992</v>
      </c>
      <c r="E21" s="670">
        <v>0</v>
      </c>
      <c r="F21" s="670">
        <v>0</v>
      </c>
      <c r="G21" s="670">
        <v>0</v>
      </c>
      <c r="H21" s="667">
        <f t="shared" si="0"/>
        <v>0</v>
      </c>
      <c r="I21" s="667">
        <f t="shared" si="1"/>
        <v>0</v>
      </c>
      <c r="J21" s="667">
        <f t="shared" si="2"/>
        <v>0</v>
      </c>
      <c r="K21" s="667">
        <f t="shared" si="8"/>
        <v>0</v>
      </c>
      <c r="L21" s="668">
        <f t="shared" si="3"/>
        <v>267.68</v>
      </c>
      <c r="M21" s="668">
        <v>0</v>
      </c>
      <c r="N21" s="668">
        <v>267.68</v>
      </c>
      <c r="O21" s="668">
        <v>0</v>
      </c>
      <c r="P21" s="667">
        <f t="shared" si="10"/>
        <v>0</v>
      </c>
      <c r="Q21" s="667">
        <f t="shared" si="11"/>
        <v>0</v>
      </c>
      <c r="R21" s="667">
        <f t="shared" si="12"/>
        <v>0</v>
      </c>
      <c r="S21" s="1005">
        <f t="shared" si="4"/>
        <v>267.68</v>
      </c>
      <c r="T21" s="1006">
        <v>15</v>
      </c>
      <c r="U21" s="1017">
        <f t="shared" si="13"/>
        <v>4015.2000000000003</v>
      </c>
      <c r="V21" s="1006">
        <v>0</v>
      </c>
      <c r="W21" s="1010">
        <f t="shared" si="5"/>
        <v>0</v>
      </c>
      <c r="X21" s="1006">
        <v>0</v>
      </c>
      <c r="Y21" s="1010">
        <f t="shared" si="6"/>
        <v>0</v>
      </c>
      <c r="Z21" s="1006">
        <v>0</v>
      </c>
      <c r="AA21" s="1010">
        <f t="shared" si="7"/>
        <v>0</v>
      </c>
      <c r="AB21" s="1365"/>
      <c r="AC21" s="1366"/>
      <c r="AD21" s="1012">
        <f>U21*0.8</f>
        <v>3212.1600000000003</v>
      </c>
      <c r="AE21" s="1012">
        <f>U21*0.2</f>
        <v>803.04000000000008</v>
      </c>
      <c r="AF21" s="1012">
        <f>W21*0.8</f>
        <v>0</v>
      </c>
      <c r="AG21" s="1012">
        <f>W21*0.2</f>
        <v>0</v>
      </c>
      <c r="AH21" s="1012">
        <f>Y21*0.8</f>
        <v>0</v>
      </c>
      <c r="AI21" s="1012">
        <f>Y21*0.2</f>
        <v>0</v>
      </c>
      <c r="AJ21" s="1012">
        <f>AA21*0.8</f>
        <v>0</v>
      </c>
      <c r="AK21" s="1012">
        <f>AA21*0.2</f>
        <v>0</v>
      </c>
    </row>
    <row r="22" spans="2:37" ht="19.5" thickBot="1" x14ac:dyDescent="0.35">
      <c r="B22" s="940"/>
      <c r="C22" s="940"/>
      <c r="D22" s="940"/>
      <c r="E22" s="940"/>
      <c r="F22" s="940"/>
      <c r="G22" s="940"/>
      <c r="H22" s="940"/>
      <c r="I22" s="940"/>
      <c r="J22" s="940"/>
      <c r="K22" s="940"/>
      <c r="L22" s="940"/>
      <c r="M22" s="940"/>
      <c r="N22" s="940"/>
      <c r="O22" s="940"/>
      <c r="P22" s="940"/>
      <c r="Q22" s="940"/>
      <c r="R22" s="940"/>
      <c r="S22" s="940"/>
      <c r="T22" s="1013" t="s">
        <v>102</v>
      </c>
      <c r="U22" s="1026">
        <f>SUM(U15:U21)</f>
        <v>36715.188000000002</v>
      </c>
      <c r="V22" s="1025"/>
      <c r="W22" s="1027">
        <f>SUM(W15:W21)</f>
        <v>25230.695200000002</v>
      </c>
      <c r="X22" s="1025"/>
      <c r="Y22" s="1027">
        <f>SUM(Y15:Y21)</f>
        <v>37794.6728</v>
      </c>
      <c r="Z22" s="1025"/>
      <c r="AA22" s="1027">
        <f>SUM(AA15:AA21)</f>
        <v>50358.650399999999</v>
      </c>
      <c r="AB22" s="940"/>
      <c r="AC22" s="940"/>
      <c r="AD22" s="1014">
        <f t="shared" ref="AD22:AE22" si="14">SUM(AD15:AD21)</f>
        <v>26522.48</v>
      </c>
      <c r="AE22" s="1014">
        <f t="shared" si="14"/>
        <v>10192.708000000002</v>
      </c>
      <c r="AF22" s="1028">
        <f>ROUND(SUM(AF15:AF21),0)</f>
        <v>19045</v>
      </c>
      <c r="AG22" s="1028">
        <f t="shared" ref="AG22:AK22" si="15">ROUND(SUM(AG15:AG21),0)</f>
        <v>6186</v>
      </c>
      <c r="AH22" s="1028">
        <f t="shared" si="15"/>
        <v>28526</v>
      </c>
      <c r="AI22" s="1028">
        <f t="shared" si="15"/>
        <v>9269</v>
      </c>
      <c r="AJ22" s="1028">
        <f t="shared" si="15"/>
        <v>38007</v>
      </c>
      <c r="AK22" s="1028">
        <f t="shared" si="15"/>
        <v>12351</v>
      </c>
    </row>
  </sheetData>
  <mergeCells count="39">
    <mergeCell ref="AB2:AF2"/>
    <mergeCell ref="S12:S13"/>
    <mergeCell ref="U12:U13"/>
    <mergeCell ref="B12:B13"/>
    <mergeCell ref="C12:C13"/>
    <mergeCell ref="D12:D13"/>
    <mergeCell ref="E12:G12"/>
    <mergeCell ref="H12:J12"/>
    <mergeCell ref="K8:K9"/>
    <mergeCell ref="P8:P9"/>
    <mergeCell ref="Q8:Q9"/>
    <mergeCell ref="R8:R9"/>
    <mergeCell ref="L12:N12"/>
    <mergeCell ref="O12:O13"/>
    <mergeCell ref="P12:P13"/>
    <mergeCell ref="Q12:Q13"/>
    <mergeCell ref="R12:R13"/>
    <mergeCell ref="T11:U11"/>
    <mergeCell ref="V11:AA11"/>
    <mergeCell ref="V12:V13"/>
    <mergeCell ref="W12:W13"/>
    <mergeCell ref="X12:X13"/>
    <mergeCell ref="Y12:Y13"/>
    <mergeCell ref="Z12:Z13"/>
    <mergeCell ref="AA12:AA13"/>
    <mergeCell ref="T12:T13"/>
    <mergeCell ref="AB16:AC16"/>
    <mergeCell ref="AB17:AC17"/>
    <mergeCell ref="AB18:AC21"/>
    <mergeCell ref="AB12:AC13"/>
    <mergeCell ref="AD13:AE13"/>
    <mergeCell ref="AF7:AG7"/>
    <mergeCell ref="AH7:AI7"/>
    <mergeCell ref="AJ7:AK7"/>
    <mergeCell ref="AB14:AC14"/>
    <mergeCell ref="AB15:AC15"/>
    <mergeCell ref="AF13:AG13"/>
    <mergeCell ref="AH13:AI13"/>
    <mergeCell ref="AJ13:AK13"/>
  </mergeCells>
  <pageMargins left="0.70866141732283472" right="0.70866141732283472" top="0.74803149606299213" bottom="0.74803149606299213" header="0.31496062992125984" footer="0.31496062992125984"/>
  <pageSetup paperSize="9" scale="2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Z23"/>
  <sheetViews>
    <sheetView showGridLines="0" zoomScale="90" zoomScaleNormal="90" workbookViewId="0">
      <pane ySplit="3" topLeftCell="A4" activePane="bottomLeft" state="frozen"/>
      <selection pane="bottomLeft" activeCell="O21" sqref="O21"/>
    </sheetView>
  </sheetViews>
  <sheetFormatPr defaultColWidth="11.5703125" defaultRowHeight="15" x14ac:dyDescent="0.25"/>
  <cols>
    <col min="1" max="1" width="6.42578125" style="2" customWidth="1"/>
    <col min="2" max="2" width="11.5703125" style="2"/>
    <col min="3" max="3" width="46.42578125" style="2" customWidth="1"/>
    <col min="4" max="4" width="11.5703125" style="2"/>
    <col min="5" max="5" width="11.28515625" style="2" customWidth="1"/>
    <col min="6" max="9" width="11.5703125" style="2"/>
    <col min="10" max="10" width="12.5703125" style="2" customWidth="1"/>
    <col min="11" max="16" width="11.5703125" style="2"/>
    <col min="17" max="17" width="14" style="2" customWidth="1"/>
    <col min="18" max="18" width="13.28515625" style="2" customWidth="1"/>
    <col min="19" max="22" width="11.5703125" style="2"/>
    <col min="23" max="23" width="17.85546875" style="2" customWidth="1"/>
    <col min="24" max="16384" width="11.5703125" style="2"/>
  </cols>
  <sheetData>
    <row r="1" spans="1:26" s="998" customFormat="1" ht="15.75" x14ac:dyDescent="0.25">
      <c r="S1" s="901"/>
      <c r="U1" s="1137" t="s">
        <v>1440</v>
      </c>
      <c r="V1" s="1137"/>
      <c r="W1" s="1137"/>
      <c r="X1" s="1137"/>
    </row>
    <row r="2" spans="1:26" s="998" customFormat="1" ht="58.5" customHeight="1" x14ac:dyDescent="0.25">
      <c r="S2" s="1161" t="s">
        <v>1342</v>
      </c>
      <c r="T2" s="1161"/>
      <c r="U2" s="1161"/>
      <c r="V2" s="1161"/>
      <c r="W2" s="1161"/>
      <c r="X2" s="1161"/>
    </row>
    <row r="3" spans="1:26" s="1049" customFormat="1" x14ac:dyDescent="0.25"/>
    <row r="4" spans="1:26" ht="18.75" x14ac:dyDescent="0.3">
      <c r="B4" s="27" t="s">
        <v>1200</v>
      </c>
    </row>
    <row r="5" spans="1:26" ht="19.5" thickBot="1" x14ac:dyDescent="0.35">
      <c r="B5" s="27"/>
    </row>
    <row r="6" spans="1:26" s="4" customFormat="1" ht="17.25" thickBot="1" x14ac:dyDescent="0.3">
      <c r="B6" s="465" t="s">
        <v>919</v>
      </c>
      <c r="C6" s="466"/>
      <c r="D6" s="546">
        <f>ROUND(W15,0)</f>
        <v>78518</v>
      </c>
      <c r="E6" s="467" t="s">
        <v>6</v>
      </c>
      <c r="F6" s="479"/>
      <c r="G6" s="479"/>
      <c r="H6" s="479"/>
      <c r="I6" s="479"/>
      <c r="J6" s="462"/>
      <c r="K6" s="462"/>
      <c r="L6" s="462"/>
      <c r="M6" s="462"/>
      <c r="N6" s="462"/>
      <c r="O6" s="462"/>
      <c r="P6" s="462"/>
      <c r="Q6" s="462"/>
      <c r="R6" s="462"/>
      <c r="S6" s="462"/>
    </row>
    <row r="7" spans="1:26" ht="15.75" customHeight="1" x14ac:dyDescent="0.25">
      <c r="B7" s="491"/>
      <c r="C7" s="491"/>
      <c r="D7" s="491"/>
      <c r="E7" s="491"/>
      <c r="F7" s="491"/>
      <c r="G7" s="491"/>
      <c r="H7" s="491"/>
      <c r="I7" s="491"/>
      <c r="J7" s="491"/>
      <c r="K7" s="491"/>
      <c r="L7" s="491"/>
      <c r="M7" s="491"/>
      <c r="N7" s="491"/>
      <c r="O7" s="491"/>
      <c r="P7" s="491"/>
      <c r="Q7" s="491"/>
      <c r="R7" s="491"/>
      <c r="S7" s="491"/>
      <c r="T7" s="491"/>
      <c r="U7" s="491"/>
      <c r="V7" s="491"/>
      <c r="W7" s="491"/>
      <c r="X7" s="491"/>
      <c r="Y7" s="491"/>
      <c r="Z7" s="491"/>
    </row>
    <row r="8" spans="1:26" s="4" customFormat="1" ht="75" customHeight="1" x14ac:dyDescent="0.25">
      <c r="A8" s="2"/>
      <c r="B8" s="492"/>
      <c r="C8" s="492"/>
      <c r="D8" s="492"/>
      <c r="E8" s="492"/>
      <c r="F8" s="492"/>
      <c r="G8" s="493" t="s">
        <v>64</v>
      </c>
      <c r="H8" s="493" t="s">
        <v>65</v>
      </c>
      <c r="I8" s="493" t="s">
        <v>66</v>
      </c>
      <c r="J8" s="1399" t="s">
        <v>67</v>
      </c>
      <c r="K8" s="494"/>
      <c r="L8" s="492"/>
      <c r="M8" s="492"/>
      <c r="N8" s="492"/>
      <c r="O8" s="492"/>
      <c r="P8" s="1399" t="s">
        <v>68</v>
      </c>
      <c r="Q8" s="1399" t="s">
        <v>69</v>
      </c>
      <c r="R8" s="1399" t="s">
        <v>70</v>
      </c>
      <c r="S8" s="495"/>
      <c r="T8" s="492"/>
      <c r="U8"/>
      <c r="V8" s="496"/>
      <c r="W8" s="496"/>
    </row>
    <row r="9" spans="1:26" s="4" customFormat="1" ht="15" customHeight="1" x14ac:dyDescent="0.25">
      <c r="A9" s="2"/>
      <c r="B9" s="492"/>
      <c r="C9" s="492"/>
      <c r="D9" s="492"/>
      <c r="E9" s="492"/>
      <c r="F9" s="497" t="s">
        <v>71</v>
      </c>
      <c r="G9" s="498">
        <v>1485</v>
      </c>
      <c r="H9" s="498">
        <v>891</v>
      </c>
      <c r="I9" s="498">
        <v>594</v>
      </c>
      <c r="J9" s="1400"/>
      <c r="K9" s="492"/>
      <c r="L9" s="492"/>
      <c r="M9" s="492"/>
      <c r="N9" s="492"/>
      <c r="O9" s="492"/>
      <c r="P9" s="1400"/>
      <c r="Q9" s="1400"/>
      <c r="R9" s="1400"/>
      <c r="S9" s="495"/>
      <c r="T9" s="492"/>
      <c r="U9"/>
      <c r="V9" s="496"/>
      <c r="W9" s="496"/>
    </row>
    <row r="10" spans="1:26" ht="15" customHeight="1" x14ac:dyDescent="0.25">
      <c r="B10" s="492"/>
      <c r="C10" s="492"/>
      <c r="D10" s="492"/>
      <c r="E10" s="492"/>
      <c r="F10" s="497" t="s">
        <v>72</v>
      </c>
      <c r="G10" s="498">
        <f>ROUND(G9/9600,4)</f>
        <v>0.1547</v>
      </c>
      <c r="H10" s="498">
        <f>ROUND(H9/9600,4)</f>
        <v>9.2799999999999994E-2</v>
      </c>
      <c r="I10" s="498">
        <f>ROUND(I9/9600,4)</f>
        <v>6.1899999999999997E-2</v>
      </c>
      <c r="J10" s="498">
        <v>0.2359</v>
      </c>
      <c r="K10" s="492"/>
      <c r="L10" s="492"/>
      <c r="M10" s="492"/>
      <c r="N10"/>
      <c r="O10" s="497" t="s">
        <v>73</v>
      </c>
      <c r="P10" s="498">
        <v>0.2898</v>
      </c>
      <c r="Q10" s="498">
        <v>3.15E-2</v>
      </c>
      <c r="R10" s="498">
        <v>5.0200000000000002E-2</v>
      </c>
      <c r="S10"/>
      <c r="T10" s="492"/>
      <c r="U10"/>
      <c r="V10" s="496"/>
      <c r="W10" s="496"/>
    </row>
    <row r="11" spans="1:26" x14ac:dyDescent="0.25">
      <c r="B11" s="496"/>
      <c r="C11" s="496"/>
      <c r="D11" s="496"/>
      <c r="E11" s="496"/>
      <c r="F11" s="496"/>
      <c r="G11" s="496"/>
      <c r="H11" s="496"/>
      <c r="I11" s="496"/>
      <c r="J11" s="496"/>
      <c r="K11" s="496"/>
      <c r="L11" s="496"/>
      <c r="M11" s="496"/>
      <c r="N11" s="496"/>
      <c r="O11" s="496"/>
      <c r="P11" s="496"/>
      <c r="Q11" s="496"/>
      <c r="R11" s="496"/>
      <c r="S11" s="496"/>
      <c r="T11" s="496"/>
      <c r="U11" s="496"/>
      <c r="V11" s="496"/>
      <c r="W11" s="496"/>
    </row>
    <row r="12" spans="1:26" ht="78.75" customHeight="1" x14ac:dyDescent="0.25">
      <c r="B12" s="1395" t="s">
        <v>74</v>
      </c>
      <c r="C12" s="1395" t="s">
        <v>75</v>
      </c>
      <c r="D12" s="1396" t="s">
        <v>76</v>
      </c>
      <c r="E12" s="1397"/>
      <c r="F12" s="1398"/>
      <c r="G12" s="1396" t="s">
        <v>77</v>
      </c>
      <c r="H12" s="1397"/>
      <c r="I12" s="1398"/>
      <c r="J12" s="499" t="s">
        <v>78</v>
      </c>
      <c r="K12" s="1396" t="s">
        <v>79</v>
      </c>
      <c r="L12" s="1397"/>
      <c r="M12" s="1398"/>
      <c r="N12" s="1382" t="s">
        <v>80</v>
      </c>
      <c r="O12" s="1382" t="s">
        <v>81</v>
      </c>
      <c r="P12" s="1382" t="s">
        <v>82</v>
      </c>
      <c r="Q12" s="1382" t="s">
        <v>83</v>
      </c>
      <c r="R12" s="1382" t="s">
        <v>84</v>
      </c>
      <c r="S12" s="1382" t="s">
        <v>85</v>
      </c>
      <c r="T12" s="1382" t="s">
        <v>86</v>
      </c>
      <c r="U12" s="1382" t="s">
        <v>87</v>
      </c>
      <c r="V12" s="1382" t="s">
        <v>88</v>
      </c>
      <c r="W12" s="1384" t="s">
        <v>89</v>
      </c>
    </row>
    <row r="13" spans="1:26" ht="69" customHeight="1" x14ac:dyDescent="0.25">
      <c r="B13" s="1395"/>
      <c r="C13" s="1395"/>
      <c r="D13" s="499" t="s">
        <v>90</v>
      </c>
      <c r="E13" s="499" t="s">
        <v>91</v>
      </c>
      <c r="F13" s="499" t="s">
        <v>92</v>
      </c>
      <c r="G13" s="499" t="s">
        <v>90</v>
      </c>
      <c r="H13" s="499" t="s">
        <v>91</v>
      </c>
      <c r="I13" s="499" t="s">
        <v>93</v>
      </c>
      <c r="J13" s="499" t="s">
        <v>94</v>
      </c>
      <c r="K13" s="499" t="s">
        <v>95</v>
      </c>
      <c r="L13" s="499" t="s">
        <v>96</v>
      </c>
      <c r="M13" s="499" t="s">
        <v>97</v>
      </c>
      <c r="N13" s="1383"/>
      <c r="O13" s="1383"/>
      <c r="P13" s="1383"/>
      <c r="Q13" s="1383"/>
      <c r="R13" s="1383"/>
      <c r="S13" s="1383"/>
      <c r="T13" s="1383"/>
      <c r="U13" s="1383"/>
      <c r="V13" s="1383"/>
      <c r="W13" s="1385"/>
    </row>
    <row r="14" spans="1:26" ht="15" customHeight="1" x14ac:dyDescent="0.25">
      <c r="B14" s="500">
        <v>1</v>
      </c>
      <c r="C14" s="501">
        <v>2</v>
      </c>
      <c r="D14" s="501">
        <v>3</v>
      </c>
      <c r="E14" s="501">
        <v>4</v>
      </c>
      <c r="F14" s="501">
        <v>5</v>
      </c>
      <c r="G14" s="501">
        <v>6</v>
      </c>
      <c r="H14" s="501">
        <v>7</v>
      </c>
      <c r="I14" s="501">
        <v>8</v>
      </c>
      <c r="J14" s="501">
        <v>9</v>
      </c>
      <c r="K14" s="501" t="s">
        <v>98</v>
      </c>
      <c r="L14" s="501">
        <v>11</v>
      </c>
      <c r="M14" s="501">
        <v>12</v>
      </c>
      <c r="N14" s="501">
        <v>13</v>
      </c>
      <c r="O14" s="501">
        <v>14</v>
      </c>
      <c r="P14" s="501">
        <v>15</v>
      </c>
      <c r="Q14" s="501">
        <v>16</v>
      </c>
      <c r="R14" s="501">
        <v>17</v>
      </c>
      <c r="S14" s="501">
        <v>18</v>
      </c>
      <c r="T14" s="501">
        <v>19</v>
      </c>
      <c r="U14" s="501">
        <v>20</v>
      </c>
      <c r="V14" s="501">
        <v>21</v>
      </c>
      <c r="W14" s="502">
        <v>22</v>
      </c>
    </row>
    <row r="15" spans="1:26" ht="60" x14ac:dyDescent="0.25">
      <c r="B15" s="84">
        <v>60246</v>
      </c>
      <c r="C15" s="503" t="s">
        <v>967</v>
      </c>
      <c r="D15" s="504">
        <v>0</v>
      </c>
      <c r="E15" s="504">
        <v>34</v>
      </c>
      <c r="F15" s="504">
        <v>0</v>
      </c>
      <c r="G15" s="505">
        <f>ROUND(($G$10*D15),2)</f>
        <v>0</v>
      </c>
      <c r="H15" s="505">
        <f>ROUND(($H$10*E15),2)</f>
        <v>3.16</v>
      </c>
      <c r="I15" s="505">
        <f>ROUND(($I$10*F15),2)</f>
        <v>0</v>
      </c>
      <c r="J15" s="505">
        <f>ROUND(((G15+H15+I15)*$J$10),2)</f>
        <v>0.75</v>
      </c>
      <c r="K15" s="506">
        <f>L15+M15</f>
        <v>79.819999999999993</v>
      </c>
      <c r="L15" s="505">
        <v>58.83</v>
      </c>
      <c r="M15" s="505">
        <v>20.99</v>
      </c>
      <c r="N15" s="507">
        <v>1.28</v>
      </c>
      <c r="O15" s="505">
        <v>0</v>
      </c>
      <c r="P15" s="505">
        <f>ROUND((G15+H15+I15)*$P$10,2)</f>
        <v>0.92</v>
      </c>
      <c r="Q15" s="505">
        <f>ROUND((G15+H15+I15)*$Q$10,2)</f>
        <v>0.1</v>
      </c>
      <c r="R15" s="505">
        <f>ROUND((G15+H15+I15)*$R$10,2)</f>
        <v>0.16</v>
      </c>
      <c r="S15" s="506">
        <f>G15+H15+I15+J15+K15+N15+P15+Q15+R15</f>
        <v>86.189999999999984</v>
      </c>
      <c r="T15" s="506">
        <v>45.21</v>
      </c>
      <c r="U15" s="506">
        <f>S15-T15</f>
        <v>40.979999999999983</v>
      </c>
      <c r="V15" s="508">
        <v>1916</v>
      </c>
      <c r="W15" s="509">
        <f>V15*U15</f>
        <v>78517.679999999964</v>
      </c>
    </row>
    <row r="16" spans="1:26" ht="15.75" thickBot="1" x14ac:dyDescent="0.3"/>
    <row r="17" spans="2:12" ht="15" customHeight="1" x14ac:dyDescent="0.25">
      <c r="B17" s="1386" t="s">
        <v>1404</v>
      </c>
      <c r="C17" s="1387"/>
      <c r="D17" s="1387"/>
      <c r="E17" s="1387"/>
      <c r="F17" s="1387"/>
      <c r="G17" s="1387"/>
      <c r="H17" s="1387"/>
      <c r="I17" s="1387"/>
      <c r="J17" s="1387"/>
      <c r="K17" s="1387"/>
      <c r="L17" s="1388"/>
    </row>
    <row r="18" spans="2:12" ht="15" customHeight="1" x14ac:dyDescent="0.25">
      <c r="B18" s="1389"/>
      <c r="C18" s="1390"/>
      <c r="D18" s="1390"/>
      <c r="E18" s="1390"/>
      <c r="F18" s="1390"/>
      <c r="G18" s="1390"/>
      <c r="H18" s="1390"/>
      <c r="I18" s="1390"/>
      <c r="J18" s="1390"/>
      <c r="K18" s="1390"/>
      <c r="L18" s="1391"/>
    </row>
    <row r="19" spans="2:12" ht="15" customHeight="1" x14ac:dyDescent="0.25">
      <c r="B19" s="1389"/>
      <c r="C19" s="1390"/>
      <c r="D19" s="1390"/>
      <c r="E19" s="1390"/>
      <c r="F19" s="1390"/>
      <c r="G19" s="1390"/>
      <c r="H19" s="1390"/>
      <c r="I19" s="1390"/>
      <c r="J19" s="1390"/>
      <c r="K19" s="1390"/>
      <c r="L19" s="1391"/>
    </row>
    <row r="20" spans="2:12" ht="15" customHeight="1" x14ac:dyDescent="0.25">
      <c r="B20" s="1389"/>
      <c r="C20" s="1390"/>
      <c r="D20" s="1390"/>
      <c r="E20" s="1390"/>
      <c r="F20" s="1390"/>
      <c r="G20" s="1390"/>
      <c r="H20" s="1390"/>
      <c r="I20" s="1390"/>
      <c r="J20" s="1390"/>
      <c r="K20" s="1390"/>
      <c r="L20" s="1391"/>
    </row>
    <row r="21" spans="2:12" ht="15" customHeight="1" thickBot="1" x14ac:dyDescent="0.3">
      <c r="B21" s="1392"/>
      <c r="C21" s="1393"/>
      <c r="D21" s="1393"/>
      <c r="E21" s="1393"/>
      <c r="F21" s="1393"/>
      <c r="G21" s="1393"/>
      <c r="H21" s="1393"/>
      <c r="I21" s="1393"/>
      <c r="J21" s="1393"/>
      <c r="K21" s="1393"/>
      <c r="L21" s="1394"/>
    </row>
    <row r="22" spans="2:12" ht="15" customHeight="1" x14ac:dyDescent="0.25"/>
    <row r="23" spans="2:12" ht="15.75" customHeight="1" x14ac:dyDescent="0.25"/>
  </sheetData>
  <mergeCells count="22">
    <mergeCell ref="S2:X2"/>
    <mergeCell ref="U1:X1"/>
    <mergeCell ref="J8:J9"/>
    <mergeCell ref="P8:P9"/>
    <mergeCell ref="Q8:Q9"/>
    <mergeCell ref="R8:R9"/>
    <mergeCell ref="N12:N13"/>
    <mergeCell ref="U12:U13"/>
    <mergeCell ref="V12:V13"/>
    <mergeCell ref="W12:W13"/>
    <mergeCell ref="B17:L21"/>
    <mergeCell ref="O12:O13"/>
    <mergeCell ref="P12:P13"/>
    <mergeCell ref="Q12:Q13"/>
    <mergeCell ref="R12:R13"/>
    <mergeCell ref="S12:S13"/>
    <mergeCell ref="T12:T13"/>
    <mergeCell ref="B12:B13"/>
    <mergeCell ref="C12:C13"/>
    <mergeCell ref="D12:F12"/>
    <mergeCell ref="G12:I12"/>
    <mergeCell ref="K12:M12"/>
  </mergeCells>
  <pageMargins left="0.70866141732283472" right="0.70866141732283472" top="0.74803149606299213" bottom="0.74803149606299213" header="0.31496062992125984" footer="0.31496062992125984"/>
  <pageSetup paperSize="9"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P22"/>
  <sheetViews>
    <sheetView showGridLines="0" zoomScale="90" zoomScaleNormal="90" workbookViewId="0">
      <pane ySplit="3" topLeftCell="A4" activePane="bottomLeft" state="frozen"/>
      <selection pane="bottomLeft" activeCell="G22" sqref="G22"/>
    </sheetView>
  </sheetViews>
  <sheetFormatPr defaultColWidth="11.5703125" defaultRowHeight="15" x14ac:dyDescent="0.25"/>
  <cols>
    <col min="1" max="1" width="6.42578125" style="2" customWidth="1"/>
    <col min="2" max="2" width="11.5703125" style="2"/>
    <col min="3" max="3" width="46.42578125" style="2" customWidth="1"/>
    <col min="4" max="4" width="11.5703125" style="2"/>
    <col min="5" max="5" width="11.5703125" style="2" hidden="1" customWidth="1"/>
    <col min="6" max="6" width="26.7109375" style="2" customWidth="1"/>
    <col min="7" max="7" width="12.5703125" style="2" customWidth="1"/>
    <col min="8" max="13" width="11.5703125" style="2"/>
    <col min="14" max="14" width="14" style="2" customWidth="1"/>
    <col min="15" max="15" width="13.28515625" style="2" customWidth="1"/>
    <col min="16" max="19" width="11.5703125" style="2"/>
    <col min="20" max="20" width="16.5703125" style="2" customWidth="1"/>
    <col min="21" max="21" width="16.28515625" style="2" customWidth="1"/>
    <col min="22" max="16384" width="11.5703125" style="2"/>
  </cols>
  <sheetData>
    <row r="1" spans="2:16" s="998" customFormat="1" ht="15.75" x14ac:dyDescent="0.25">
      <c r="D1" s="901"/>
      <c r="F1" s="1137" t="s">
        <v>1441</v>
      </c>
      <c r="G1" s="1137"/>
      <c r="H1" s="1137"/>
      <c r="I1" s="1137"/>
    </row>
    <row r="2" spans="2:16" s="998" customFormat="1" ht="46.5" customHeight="1" x14ac:dyDescent="0.25">
      <c r="D2" s="1161" t="s">
        <v>1342</v>
      </c>
      <c r="E2" s="1161"/>
      <c r="F2" s="1161"/>
      <c r="G2" s="1161"/>
      <c r="H2" s="1161"/>
      <c r="I2" s="1161"/>
    </row>
    <row r="4" spans="2:16" ht="18.75" x14ac:dyDescent="0.3">
      <c r="B4" s="27" t="s">
        <v>1199</v>
      </c>
    </row>
    <row r="5" spans="2:16" ht="19.5" thickBot="1" x14ac:dyDescent="0.35">
      <c r="B5" s="27"/>
    </row>
    <row r="6" spans="2:16" s="4" customFormat="1" ht="19.5" thickBot="1" x14ac:dyDescent="0.35">
      <c r="B6" s="465" t="s">
        <v>919</v>
      </c>
      <c r="C6" s="466"/>
      <c r="D6" s="546">
        <f>ROUND(H9,0)</f>
        <v>15793</v>
      </c>
      <c r="E6" s="479"/>
      <c r="F6" s="1033" t="s">
        <v>6</v>
      </c>
      <c r="G6" s="462"/>
      <c r="H6" s="462"/>
      <c r="I6" s="462"/>
      <c r="J6" s="462"/>
      <c r="K6" s="462"/>
      <c r="L6" s="462"/>
      <c r="M6" s="462"/>
      <c r="N6" s="462"/>
      <c r="O6" s="462"/>
      <c r="P6" s="462"/>
    </row>
    <row r="8" spans="2:16" ht="66" customHeight="1" x14ac:dyDescent="0.25">
      <c r="B8" s="1401" t="s">
        <v>968</v>
      </c>
      <c r="C8" s="1402"/>
      <c r="D8" s="510" t="s">
        <v>969</v>
      </c>
      <c r="E8" s="1031"/>
      <c r="F8" s="510" t="s">
        <v>1413</v>
      </c>
      <c r="G8" s="510" t="s">
        <v>920</v>
      </c>
      <c r="H8" s="1029" t="s">
        <v>970</v>
      </c>
    </row>
    <row r="9" spans="2:16" ht="33" customHeight="1" x14ac:dyDescent="0.25">
      <c r="B9" s="1403" t="s">
        <v>971</v>
      </c>
      <c r="C9" s="1404"/>
      <c r="D9" s="120">
        <v>1</v>
      </c>
      <c r="E9" s="1032"/>
      <c r="F9" s="120">
        <v>13052</v>
      </c>
      <c r="G9" s="120">
        <v>1.21</v>
      </c>
      <c r="H9" s="1030">
        <f>SUM(F9*G9)</f>
        <v>15792.92</v>
      </c>
    </row>
    <row r="10" spans="2:16" s="998" customFormat="1" ht="61.5" customHeight="1" x14ac:dyDescent="0.25">
      <c r="B10" s="1405" t="s">
        <v>1414</v>
      </c>
      <c r="C10" s="1405"/>
      <c r="D10" s="1405"/>
      <c r="E10" s="1405"/>
      <c r="F10" s="1405"/>
      <c r="G10" s="1405"/>
      <c r="H10" s="1405"/>
      <c r="I10" s="1405"/>
    </row>
    <row r="11" spans="2:16" x14ac:dyDescent="0.25">
      <c r="B11" s="511"/>
    </row>
    <row r="12" spans="2:16" x14ac:dyDescent="0.25">
      <c r="B12" s="1290" t="s">
        <v>1415</v>
      </c>
      <c r="C12" s="1290"/>
      <c r="D12" s="1290"/>
      <c r="E12" s="1290"/>
      <c r="F12" s="1290"/>
      <c r="G12" s="1290"/>
      <c r="H12" s="1290"/>
    </row>
    <row r="13" spans="2:16" x14ac:dyDescent="0.25">
      <c r="B13" s="1290"/>
      <c r="C13" s="1290"/>
      <c r="D13" s="1290"/>
      <c r="E13" s="1290"/>
      <c r="F13" s="1290"/>
      <c r="G13" s="1290"/>
      <c r="H13" s="1290"/>
    </row>
    <row r="14" spans="2:16" x14ac:dyDescent="0.25">
      <c r="B14" s="1290"/>
      <c r="C14" s="1290"/>
      <c r="D14" s="1290"/>
      <c r="E14" s="1290"/>
      <c r="F14" s="1290"/>
      <c r="G14" s="1290"/>
      <c r="H14" s="1290"/>
    </row>
    <row r="15" spans="2:16" ht="84.75" customHeight="1" x14ac:dyDescent="0.25">
      <c r="B15" s="1290"/>
      <c r="C15" s="1290"/>
      <c r="D15" s="1290"/>
      <c r="E15" s="1290"/>
      <c r="F15" s="1290"/>
      <c r="G15" s="1290"/>
      <c r="H15" s="1290"/>
    </row>
    <row r="22" spans="12:12" x14ac:dyDescent="0.25">
      <c r="L22" s="1034"/>
    </row>
  </sheetData>
  <mergeCells count="6">
    <mergeCell ref="B12:H15"/>
    <mergeCell ref="B8:C8"/>
    <mergeCell ref="B9:C9"/>
    <mergeCell ref="B10:I10"/>
    <mergeCell ref="F1:I1"/>
    <mergeCell ref="D2:I2"/>
  </mergeCells>
  <pageMargins left="0.70866141732283472" right="0.70866141732283472" top="0.74803149606299213" bottom="0.74803149606299213" header="0.31496062992125984" footer="0.31496062992125984"/>
  <pageSetup paperSize="9"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X48"/>
  <sheetViews>
    <sheetView topLeftCell="A47" zoomScale="90" zoomScaleNormal="90" workbookViewId="0">
      <selection activeCell="Q28" sqref="Q28"/>
    </sheetView>
  </sheetViews>
  <sheetFormatPr defaultRowHeight="12.75" x14ac:dyDescent="0.2"/>
  <cols>
    <col min="1" max="1" width="4.28515625" style="50" customWidth="1"/>
    <col min="2" max="2" width="13.28515625" style="50" customWidth="1"/>
    <col min="3" max="3" width="39.5703125" style="50" customWidth="1"/>
    <col min="4" max="4" width="13.7109375" style="50" customWidth="1"/>
    <col min="5" max="5" width="14.28515625" style="50" customWidth="1"/>
    <col min="6" max="6" width="17.42578125" style="50" customWidth="1"/>
    <col min="7" max="7" width="17" style="50" customWidth="1"/>
    <col min="8" max="8" width="15.140625" style="50" customWidth="1"/>
    <col min="9" max="9" width="10.85546875" style="50" customWidth="1"/>
    <col min="10" max="10" width="15.42578125" style="50" customWidth="1"/>
    <col min="11" max="11" width="16.7109375" style="50" customWidth="1"/>
    <col min="12" max="12" width="12.42578125" style="50" customWidth="1"/>
    <col min="13" max="13" width="9.140625" style="50"/>
    <col min="14" max="14" width="11.7109375" style="50" customWidth="1"/>
    <col min="15" max="15" width="12.42578125" style="50" customWidth="1"/>
    <col min="16" max="16" width="12.7109375" style="50" customWidth="1"/>
    <col min="17" max="17" width="15.42578125" style="50" customWidth="1"/>
    <col min="18" max="18" width="14.28515625" style="50" customWidth="1"/>
    <col min="19" max="19" width="10.85546875" style="50" bestFit="1" customWidth="1"/>
    <col min="20" max="20" width="12.140625" style="50" customWidth="1"/>
    <col min="21" max="21" width="17.28515625" style="50" customWidth="1"/>
    <col min="22" max="22" width="16.7109375" style="50" customWidth="1"/>
    <col min="23" max="23" width="17.5703125" style="50" customWidth="1"/>
    <col min="24" max="24" width="11" style="50" customWidth="1"/>
    <col min="25" max="16384" width="9.140625" style="50"/>
  </cols>
  <sheetData>
    <row r="1" spans="1:14" ht="17.25" customHeight="1" x14ac:dyDescent="0.25">
      <c r="I1" s="901"/>
      <c r="J1" s="998"/>
      <c r="K1" s="1137" t="s">
        <v>1442</v>
      </c>
      <c r="L1" s="1137"/>
      <c r="M1" s="1137"/>
      <c r="N1" s="1137"/>
    </row>
    <row r="2" spans="1:14" ht="45.75" customHeight="1" x14ac:dyDescent="0.2">
      <c r="I2" s="1161" t="s">
        <v>1342</v>
      </c>
      <c r="J2" s="1161"/>
      <c r="K2" s="1161"/>
      <c r="L2" s="1161"/>
      <c r="M2" s="1161"/>
      <c r="N2" s="1161"/>
    </row>
    <row r="3" spans="1:14" ht="17.25" customHeight="1" x14ac:dyDescent="0.2"/>
    <row r="4" spans="1:14" ht="20.25" x14ac:dyDescent="0.3">
      <c r="B4" s="448" t="s">
        <v>1208</v>
      </c>
      <c r="C4" s="2"/>
      <c r="D4" s="450"/>
      <c r="E4" s="450"/>
      <c r="I4" s="2"/>
      <c r="J4" s="2"/>
    </row>
    <row r="5" spans="1:14" ht="20.25" x14ac:dyDescent="0.3">
      <c r="B5" s="448"/>
      <c r="C5" s="2"/>
      <c r="D5" s="449"/>
      <c r="E5" s="449"/>
      <c r="F5" s="51"/>
      <c r="I5" s="2"/>
      <c r="J5" s="2"/>
    </row>
    <row r="6" spans="1:14" ht="21" thickBot="1" x14ac:dyDescent="0.35">
      <c r="B6" s="448"/>
      <c r="C6" s="448"/>
      <c r="D6" s="448"/>
      <c r="E6" s="448"/>
      <c r="F6" s="51"/>
      <c r="I6" s="2"/>
      <c r="J6" s="2"/>
    </row>
    <row r="7" spans="1:14" ht="20.25" thickBot="1" x14ac:dyDescent="0.35">
      <c r="A7" s="52"/>
      <c r="B7" s="53" t="s">
        <v>5</v>
      </c>
      <c r="C7" s="54"/>
      <c r="D7" s="54"/>
      <c r="E7" s="54"/>
      <c r="F7" s="541">
        <f>ROUND(F12+X28+V42,0)</f>
        <v>1166270</v>
      </c>
      <c r="G7" s="55" t="s">
        <v>6</v>
      </c>
      <c r="H7" s="29"/>
      <c r="I7" s="2"/>
      <c r="J7" s="2"/>
    </row>
    <row r="8" spans="1:14" x14ac:dyDescent="0.2">
      <c r="B8" s="56"/>
      <c r="C8" s="56"/>
      <c r="D8" s="56"/>
      <c r="E8" s="56"/>
      <c r="F8" s="56"/>
    </row>
    <row r="9" spans="1:14" ht="18.75" x14ac:dyDescent="0.3">
      <c r="A9" s="61"/>
      <c r="B9" s="57" t="s">
        <v>49</v>
      </c>
    </row>
    <row r="10" spans="1:14" x14ac:dyDescent="0.2">
      <c r="A10" s="61"/>
      <c r="C10" s="51"/>
      <c r="D10" s="51"/>
      <c r="E10" s="51"/>
      <c r="F10" s="51"/>
      <c r="G10" s="51"/>
      <c r="H10" s="51"/>
      <c r="I10" s="51"/>
      <c r="J10" s="51"/>
      <c r="K10" s="51"/>
      <c r="L10" s="51"/>
    </row>
    <row r="11" spans="1:14" ht="56.25" customHeight="1" x14ac:dyDescent="0.2">
      <c r="A11" s="61"/>
      <c r="B11" s="58"/>
      <c r="C11" s="59" t="s">
        <v>50</v>
      </c>
      <c r="D11" s="59" t="s">
        <v>51</v>
      </c>
      <c r="E11" s="59" t="s">
        <v>52</v>
      </c>
      <c r="F11" s="60" t="s">
        <v>53</v>
      </c>
      <c r="G11" s="1406" t="s">
        <v>54</v>
      </c>
      <c r="H11" s="1407"/>
      <c r="I11" s="59" t="s">
        <v>55</v>
      </c>
      <c r="J11" s="59" t="s">
        <v>56</v>
      </c>
      <c r="K11" s="59" t="s">
        <v>57</v>
      </c>
      <c r="L11" s="59" t="s">
        <v>58</v>
      </c>
      <c r="M11" s="61"/>
    </row>
    <row r="12" spans="1:14" ht="149.25" customHeight="1" x14ac:dyDescent="0.2">
      <c r="A12" s="451"/>
      <c r="B12" s="62" t="s">
        <v>59</v>
      </c>
      <c r="C12" s="796">
        <v>7129312</v>
      </c>
      <c r="D12" s="63">
        <v>342920</v>
      </c>
      <c r="E12" s="63">
        <f>ROUND(C12*1.15,0)</f>
        <v>8198709</v>
      </c>
      <c r="F12" s="516">
        <f>E12-C12</f>
        <v>1069397</v>
      </c>
      <c r="G12" s="1408" t="s">
        <v>60</v>
      </c>
      <c r="H12" s="1409"/>
      <c r="I12" s="63"/>
      <c r="J12" s="63">
        <v>1951506.54</v>
      </c>
      <c r="K12" s="65">
        <v>89452</v>
      </c>
      <c r="L12" s="63">
        <f>ROUND(J12/(C12/4)*100,0)</f>
        <v>109</v>
      </c>
      <c r="M12" s="61"/>
    </row>
    <row r="13" spans="1:14" x14ac:dyDescent="0.2">
      <c r="A13" s="61"/>
      <c r="B13" s="56" t="s">
        <v>61</v>
      </c>
      <c r="C13" s="56"/>
      <c r="D13" s="56"/>
      <c r="E13" s="56"/>
      <c r="F13" s="56"/>
      <c r="G13" s="56"/>
      <c r="H13" s="56"/>
      <c r="I13" s="56"/>
      <c r="J13" s="56"/>
      <c r="K13" s="56"/>
      <c r="L13" s="56"/>
    </row>
    <row r="14" spans="1:14" x14ac:dyDescent="0.2">
      <c r="A14" s="61"/>
      <c r="B14" s="50" t="s">
        <v>62</v>
      </c>
    </row>
    <row r="15" spans="1:14" x14ac:dyDescent="0.2">
      <c r="A15" s="61"/>
    </row>
    <row r="16" spans="1:14" ht="18.75" x14ac:dyDescent="0.3">
      <c r="A16" s="61"/>
      <c r="B16" s="57" t="s">
        <v>63</v>
      </c>
    </row>
    <row r="17" spans="1:24" customFormat="1" ht="15" x14ac:dyDescent="0.25">
      <c r="V17" s="50"/>
      <c r="W17" s="50"/>
    </row>
    <row r="18" spans="1:24" ht="75" x14ac:dyDescent="0.25">
      <c r="A18" s="61"/>
      <c r="B18" s="66"/>
      <c r="C18" s="66"/>
      <c r="D18" s="66"/>
      <c r="E18" s="66"/>
      <c r="F18" s="66"/>
      <c r="G18" s="67" t="s">
        <v>64</v>
      </c>
      <c r="H18" s="67" t="s">
        <v>65</v>
      </c>
      <c r="I18" s="67" t="s">
        <v>66</v>
      </c>
      <c r="J18" s="1299" t="s">
        <v>67</v>
      </c>
      <c r="K18" s="68"/>
      <c r="L18" s="66"/>
      <c r="M18" s="66"/>
      <c r="N18" s="66"/>
      <c r="O18" s="66"/>
      <c r="P18" s="1299" t="s">
        <v>68</v>
      </c>
      <c r="Q18" s="1299" t="s">
        <v>69</v>
      </c>
      <c r="R18" s="1299" t="s">
        <v>70</v>
      </c>
      <c r="S18" s="69"/>
      <c r="T18" s="66"/>
      <c r="U18" s="70"/>
    </row>
    <row r="19" spans="1:24" ht="15" x14ac:dyDescent="0.25">
      <c r="A19" s="61"/>
      <c r="B19" s="66"/>
      <c r="C19" s="66"/>
      <c r="D19" s="66"/>
      <c r="E19" s="66"/>
      <c r="F19" s="71" t="s">
        <v>71</v>
      </c>
      <c r="G19" s="72">
        <v>1485</v>
      </c>
      <c r="H19" s="72">
        <v>891</v>
      </c>
      <c r="I19" s="72">
        <v>594</v>
      </c>
      <c r="J19" s="1301"/>
      <c r="K19" s="66"/>
      <c r="L19" s="66"/>
      <c r="M19" s="66"/>
      <c r="N19" s="66"/>
      <c r="O19" s="66"/>
      <c r="P19" s="1301"/>
      <c r="Q19" s="1301"/>
      <c r="R19" s="1301"/>
      <c r="S19" s="69"/>
      <c r="T19" s="66"/>
      <c r="U19" s="70"/>
    </row>
    <row r="20" spans="1:24" ht="15" x14ac:dyDescent="0.25">
      <c r="A20" s="61"/>
      <c r="B20" s="66"/>
      <c r="C20" s="66"/>
      <c r="D20" s="66"/>
      <c r="E20" s="66"/>
      <c r="F20" s="71" t="s">
        <v>72</v>
      </c>
      <c r="G20" s="72">
        <f>ROUND(G19/9600,4)</f>
        <v>0.1547</v>
      </c>
      <c r="H20" s="72">
        <f>ROUND(H19/9600,4)</f>
        <v>9.2799999999999994E-2</v>
      </c>
      <c r="I20" s="72">
        <f>ROUND(I19/9600,4)</f>
        <v>6.1899999999999997E-2</v>
      </c>
      <c r="J20" s="72">
        <v>0.2359</v>
      </c>
      <c r="K20" s="66"/>
      <c r="L20" s="66"/>
      <c r="M20" s="66"/>
      <c r="N20" s="70"/>
      <c r="O20" s="71" t="s">
        <v>73</v>
      </c>
      <c r="P20" s="72">
        <v>0.2898</v>
      </c>
      <c r="Q20" s="72">
        <v>3.15E-2</v>
      </c>
      <c r="R20" s="72">
        <v>5.0200000000000002E-2</v>
      </c>
      <c r="S20" s="70"/>
      <c r="T20" s="66"/>
      <c r="U20" s="70"/>
    </row>
    <row r="21" spans="1:24" x14ac:dyDescent="0.2">
      <c r="A21" s="61"/>
    </row>
    <row r="22" spans="1:24" ht="60" customHeight="1" x14ac:dyDescent="0.2">
      <c r="A22" s="61"/>
      <c r="B22" s="1410" t="s">
        <v>74</v>
      </c>
      <c r="C22" s="1410" t="s">
        <v>75</v>
      </c>
      <c r="D22" s="1411" t="s">
        <v>76</v>
      </c>
      <c r="E22" s="1412"/>
      <c r="F22" s="1413"/>
      <c r="G22" s="1411" t="s">
        <v>77</v>
      </c>
      <c r="H22" s="1412"/>
      <c r="I22" s="1413"/>
      <c r="J22" s="73" t="s">
        <v>78</v>
      </c>
      <c r="K22" s="1411" t="s">
        <v>79</v>
      </c>
      <c r="L22" s="1412"/>
      <c r="M22" s="1413"/>
      <c r="N22" s="1414" t="s">
        <v>80</v>
      </c>
      <c r="O22" s="1414" t="s">
        <v>81</v>
      </c>
      <c r="P22" s="1414" t="s">
        <v>82</v>
      </c>
      <c r="Q22" s="1414" t="s">
        <v>83</v>
      </c>
      <c r="R22" s="1414" t="s">
        <v>84</v>
      </c>
      <c r="S22" s="1414" t="s">
        <v>85</v>
      </c>
      <c r="T22" s="1414" t="s">
        <v>86</v>
      </c>
      <c r="U22" s="1414" t="s">
        <v>1223</v>
      </c>
      <c r="V22" s="1414" t="s">
        <v>87</v>
      </c>
      <c r="W22" s="1414" t="s">
        <v>88</v>
      </c>
      <c r="X22" s="1416" t="s">
        <v>89</v>
      </c>
    </row>
    <row r="23" spans="1:24" ht="45" x14ac:dyDescent="0.2">
      <c r="A23" s="61"/>
      <c r="B23" s="1410"/>
      <c r="C23" s="1410"/>
      <c r="D23" s="73" t="s">
        <v>90</v>
      </c>
      <c r="E23" s="73" t="s">
        <v>91</v>
      </c>
      <c r="F23" s="73" t="s">
        <v>92</v>
      </c>
      <c r="G23" s="73" t="s">
        <v>90</v>
      </c>
      <c r="H23" s="73" t="s">
        <v>91</v>
      </c>
      <c r="I23" s="73" t="s">
        <v>93</v>
      </c>
      <c r="J23" s="73" t="s">
        <v>94</v>
      </c>
      <c r="K23" s="73" t="s">
        <v>95</v>
      </c>
      <c r="L23" s="74" t="s">
        <v>96</v>
      </c>
      <c r="M23" s="73" t="s">
        <v>97</v>
      </c>
      <c r="N23" s="1415"/>
      <c r="O23" s="1415"/>
      <c r="P23" s="1415"/>
      <c r="Q23" s="1415"/>
      <c r="R23" s="1415"/>
      <c r="S23" s="1415"/>
      <c r="T23" s="1415"/>
      <c r="U23" s="1415"/>
      <c r="V23" s="1415"/>
      <c r="W23" s="1415"/>
      <c r="X23" s="1417"/>
    </row>
    <row r="24" spans="1:24" ht="15" x14ac:dyDescent="0.2">
      <c r="A24" s="61"/>
      <c r="B24" s="75">
        <v>1</v>
      </c>
      <c r="C24" s="76">
        <v>2</v>
      </c>
      <c r="D24" s="76">
        <v>3</v>
      </c>
      <c r="E24" s="76">
        <v>4</v>
      </c>
      <c r="F24" s="76">
        <v>5</v>
      </c>
      <c r="G24" s="76">
        <v>6</v>
      </c>
      <c r="H24" s="76">
        <v>7</v>
      </c>
      <c r="I24" s="76">
        <v>8</v>
      </c>
      <c r="J24" s="76">
        <v>9</v>
      </c>
      <c r="K24" s="76" t="s">
        <v>98</v>
      </c>
      <c r="L24" s="76">
        <v>11</v>
      </c>
      <c r="M24" s="76">
        <v>12</v>
      </c>
      <c r="N24" s="76">
        <v>13</v>
      </c>
      <c r="O24" s="76">
        <v>14</v>
      </c>
      <c r="P24" s="76">
        <v>15</v>
      </c>
      <c r="Q24" s="76">
        <v>16</v>
      </c>
      <c r="R24" s="76">
        <v>17</v>
      </c>
      <c r="S24" s="76">
        <v>18</v>
      </c>
      <c r="T24" s="76">
        <v>19</v>
      </c>
      <c r="U24" s="76"/>
      <c r="V24" s="76">
        <v>20</v>
      </c>
      <c r="W24" s="76">
        <v>21</v>
      </c>
      <c r="X24" s="77">
        <v>22</v>
      </c>
    </row>
    <row r="25" spans="1:24" ht="45" x14ac:dyDescent="0.2">
      <c r="A25" s="61"/>
      <c r="B25" s="78">
        <v>60250</v>
      </c>
      <c r="C25" s="79" t="s">
        <v>99</v>
      </c>
      <c r="D25" s="80">
        <v>277</v>
      </c>
      <c r="E25" s="80">
        <v>0</v>
      </c>
      <c r="F25" s="80">
        <v>0</v>
      </c>
      <c r="G25" s="81">
        <f>ROUND(($G$20*D25),2)</f>
        <v>42.85</v>
      </c>
      <c r="H25" s="81">
        <f>ROUND(($H$20*E25),2)</f>
        <v>0</v>
      </c>
      <c r="I25" s="81">
        <f>ROUND(($I$20*F25),2)</f>
        <v>0</v>
      </c>
      <c r="J25" s="81">
        <f>ROUND(((G25+H25+I25)*$J$20),2)</f>
        <v>10.11</v>
      </c>
      <c r="K25" s="81">
        <f t="shared" ref="K25:K27" si="0">L25+M25</f>
        <v>2.4899999999999998</v>
      </c>
      <c r="L25" s="81">
        <v>2.36</v>
      </c>
      <c r="M25" s="81">
        <v>0.13</v>
      </c>
      <c r="N25" s="82">
        <v>0</v>
      </c>
      <c r="O25" s="81">
        <v>0</v>
      </c>
      <c r="P25" s="81">
        <f>ROUND((G25+H25+I25)*$P$20,2)</f>
        <v>12.42</v>
      </c>
      <c r="Q25" s="81">
        <f>ROUND((G25+H25+I25)*$Q$20,2)</f>
        <v>1.35</v>
      </c>
      <c r="R25" s="81">
        <f>ROUND((G25+H25+I25)*$R$20,2)</f>
        <v>2.15</v>
      </c>
      <c r="S25" s="81">
        <f>G25+H25+I25+J25+K25+N25+P25+Q25+R25</f>
        <v>71.37</v>
      </c>
      <c r="T25" s="81">
        <v>22.91</v>
      </c>
      <c r="U25" s="81">
        <f>T25*W25</f>
        <v>5498.4</v>
      </c>
      <c r="V25" s="81">
        <f>S25-T25</f>
        <v>48.460000000000008</v>
      </c>
      <c r="W25" s="83">
        <v>240</v>
      </c>
      <c r="X25" s="515">
        <f>W25*V25</f>
        <v>11630.400000000001</v>
      </c>
    </row>
    <row r="26" spans="1:24" ht="60" x14ac:dyDescent="0.2">
      <c r="A26" s="61"/>
      <c r="B26" s="78">
        <v>60251</v>
      </c>
      <c r="C26" s="79" t="s">
        <v>100</v>
      </c>
      <c r="D26" s="80">
        <v>0</v>
      </c>
      <c r="E26" s="80">
        <v>275</v>
      </c>
      <c r="F26" s="80">
        <v>0</v>
      </c>
      <c r="G26" s="81">
        <f>ROUND(($G$20*D26),2)</f>
        <v>0</v>
      </c>
      <c r="H26" s="81">
        <f>ROUND(($H$20*E26),2)</f>
        <v>25.52</v>
      </c>
      <c r="I26" s="81">
        <f>ROUND(($I$20*F26),2)</f>
        <v>0</v>
      </c>
      <c r="J26" s="81">
        <f>ROUND(((G26+H26+I26)*$J$20),2)</f>
        <v>6.02</v>
      </c>
      <c r="K26" s="81">
        <f t="shared" si="0"/>
        <v>2.4899999999999998</v>
      </c>
      <c r="L26" s="81">
        <v>2.36</v>
      </c>
      <c r="M26" s="81">
        <v>0.13</v>
      </c>
      <c r="N26" s="82">
        <v>0</v>
      </c>
      <c r="O26" s="81">
        <v>0</v>
      </c>
      <c r="P26" s="81">
        <f>ROUND((G26+H26+I26)*$P$20,2)</f>
        <v>7.4</v>
      </c>
      <c r="Q26" s="81">
        <f>ROUND((G26+H26+I26)*$Q$20,2)</f>
        <v>0.8</v>
      </c>
      <c r="R26" s="81">
        <f>ROUND((G26+H26+I26)*$R$20,2)</f>
        <v>1.28</v>
      </c>
      <c r="S26" s="81">
        <f t="shared" ref="S26:S27" si="1">G26+H26+I26+J26+K26+N26+P26+Q26+R26</f>
        <v>43.51</v>
      </c>
      <c r="T26" s="81">
        <v>19.2</v>
      </c>
      <c r="U26" s="81">
        <f t="shared" ref="U26:U27" si="2">T26*W26</f>
        <v>5222.3999999999996</v>
      </c>
      <c r="V26" s="81">
        <f>S26-T26</f>
        <v>24.31</v>
      </c>
      <c r="W26" s="83">
        <v>272</v>
      </c>
      <c r="X26" s="515">
        <f>W26*V26</f>
        <v>6612.32</v>
      </c>
    </row>
    <row r="27" spans="1:24" ht="75" x14ac:dyDescent="0.2">
      <c r="A27" s="61"/>
      <c r="B27" s="78">
        <v>60252</v>
      </c>
      <c r="C27" s="79" t="s">
        <v>101</v>
      </c>
      <c r="D27" s="80">
        <v>0</v>
      </c>
      <c r="E27" s="80">
        <v>0</v>
      </c>
      <c r="F27" s="80">
        <v>0</v>
      </c>
      <c r="G27" s="81">
        <f>ROUND(($G$20*D27),2)</f>
        <v>0</v>
      </c>
      <c r="H27" s="81">
        <f>ROUND(($H$20*E27),2)</f>
        <v>0</v>
      </c>
      <c r="I27" s="81">
        <f>ROUND(($I$20*F27),2)</f>
        <v>0</v>
      </c>
      <c r="J27" s="81">
        <f>ROUND(((G27+H27+I27)*$J$20),2)</f>
        <v>0</v>
      </c>
      <c r="K27" s="81">
        <f t="shared" si="0"/>
        <v>16.04</v>
      </c>
      <c r="L27" s="81">
        <v>0</v>
      </c>
      <c r="M27" s="81">
        <v>16.04</v>
      </c>
      <c r="N27" s="82">
        <v>0</v>
      </c>
      <c r="O27" s="81">
        <v>0</v>
      </c>
      <c r="P27" s="81">
        <f>ROUND((G27+H27+I27)*$P$20,2)</f>
        <v>0</v>
      </c>
      <c r="Q27" s="81">
        <f>ROUND((G27+H27+I27)*$Q$20,2)</f>
        <v>0</v>
      </c>
      <c r="R27" s="81">
        <f>ROUND((G27+H27+I27)*$R$20,2)</f>
        <v>0</v>
      </c>
      <c r="S27" s="81">
        <f t="shared" si="1"/>
        <v>16.04</v>
      </c>
      <c r="T27" s="81">
        <v>7.63</v>
      </c>
      <c r="U27" s="81">
        <f t="shared" si="2"/>
        <v>38348.379999999997</v>
      </c>
      <c r="V27" s="81">
        <f>S27-T27</f>
        <v>8.41</v>
      </c>
      <c r="W27" s="83">
        <v>5026</v>
      </c>
      <c r="X27" s="515">
        <f>W27*V27</f>
        <v>42268.66</v>
      </c>
    </row>
    <row r="28" spans="1:24" ht="15.75" x14ac:dyDescent="0.2">
      <c r="A28" s="61"/>
      <c r="B28" s="85"/>
      <c r="C28" s="86"/>
      <c r="D28" s="87"/>
      <c r="E28" s="87"/>
      <c r="F28" s="87"/>
      <c r="G28" s="88"/>
      <c r="H28" s="88"/>
      <c r="I28" s="88"/>
      <c r="J28" s="88"/>
      <c r="K28" s="89"/>
      <c r="L28" s="88"/>
      <c r="M28" s="88"/>
      <c r="N28" s="90"/>
      <c r="O28" s="88"/>
      <c r="P28" s="88"/>
      <c r="Q28" s="88"/>
      <c r="R28" s="88"/>
      <c r="S28" s="89"/>
      <c r="T28" s="52"/>
      <c r="U28" s="795">
        <f>SUM(U25:U27)</f>
        <v>49069.179999999993</v>
      </c>
      <c r="V28" s="61"/>
      <c r="W28" s="91" t="s">
        <v>102</v>
      </c>
      <c r="X28" s="64">
        <f>SUM(X25:X27)</f>
        <v>60511.380000000005</v>
      </c>
    </row>
    <row r="29" spans="1:24" x14ac:dyDescent="0.2">
      <c r="A29" s="61"/>
      <c r="U29" s="56"/>
      <c r="V29" s="56"/>
    </row>
    <row r="30" spans="1:24" ht="18.75" x14ac:dyDescent="0.3">
      <c r="A30" s="61"/>
      <c r="B30" s="57" t="s">
        <v>103</v>
      </c>
    </row>
    <row r="31" spans="1:24" customFormat="1" ht="15" x14ac:dyDescent="0.25">
      <c r="A31" s="61"/>
    </row>
    <row r="32" spans="1:24" ht="75" hidden="1" x14ac:dyDescent="0.25">
      <c r="A32" s="61"/>
      <c r="B32" s="66"/>
      <c r="C32" s="66"/>
      <c r="D32" s="66"/>
      <c r="E32" s="66"/>
      <c r="F32" s="66"/>
      <c r="G32" s="67" t="s">
        <v>64</v>
      </c>
      <c r="H32" s="67" t="s">
        <v>65</v>
      </c>
      <c r="I32" s="67" t="s">
        <v>66</v>
      </c>
      <c r="J32" s="1299" t="s">
        <v>67</v>
      </c>
      <c r="K32" s="68"/>
      <c r="L32" s="66"/>
      <c r="M32" s="66"/>
      <c r="N32" s="66"/>
      <c r="O32" s="66"/>
      <c r="P32" s="1299" t="s">
        <v>68</v>
      </c>
      <c r="Q32" s="1299" t="s">
        <v>69</v>
      </c>
      <c r="R32" s="1299" t="s">
        <v>70</v>
      </c>
      <c r="S32" s="69"/>
      <c r="T32" s="66"/>
      <c r="U32" s="70"/>
    </row>
    <row r="33" spans="1:22" ht="15" hidden="1" x14ac:dyDescent="0.25">
      <c r="A33" s="61"/>
      <c r="B33" s="66"/>
      <c r="C33" s="66"/>
      <c r="D33" s="66"/>
      <c r="E33" s="66"/>
      <c r="F33" s="71" t="s">
        <v>71</v>
      </c>
      <c r="G33" s="72">
        <v>1485</v>
      </c>
      <c r="H33" s="72">
        <v>891</v>
      </c>
      <c r="I33" s="72">
        <v>594</v>
      </c>
      <c r="J33" s="1301"/>
      <c r="K33" s="66"/>
      <c r="L33" s="66"/>
      <c r="M33" s="66"/>
      <c r="N33" s="66"/>
      <c r="O33" s="66"/>
      <c r="P33" s="1301"/>
      <c r="Q33" s="1301"/>
      <c r="R33" s="1301"/>
      <c r="S33" s="69"/>
      <c r="T33" s="66"/>
      <c r="U33" s="70"/>
    </row>
    <row r="34" spans="1:22" ht="15" hidden="1" x14ac:dyDescent="0.25">
      <c r="A34" s="61"/>
      <c r="B34" s="66"/>
      <c r="C34" s="66"/>
      <c r="D34" s="66"/>
      <c r="E34" s="66"/>
      <c r="F34" s="71" t="s">
        <v>72</v>
      </c>
      <c r="G34" s="72">
        <f>ROUND(G33/9600,4)</f>
        <v>0.1547</v>
      </c>
      <c r="H34" s="72">
        <f>ROUND(H33/9600,4)</f>
        <v>9.2799999999999994E-2</v>
      </c>
      <c r="I34" s="72">
        <f>ROUND(I33/9600,4)</f>
        <v>6.1899999999999997E-2</v>
      </c>
      <c r="J34" s="72">
        <v>0.2409</v>
      </c>
      <c r="K34" s="66"/>
      <c r="L34" s="66"/>
      <c r="M34" s="66"/>
      <c r="N34" s="70"/>
      <c r="O34" s="71" t="s">
        <v>73</v>
      </c>
      <c r="P34" s="72">
        <v>0.2898</v>
      </c>
      <c r="Q34" s="72">
        <v>3.15E-2</v>
      </c>
      <c r="R34" s="72">
        <v>5.0200000000000002E-2</v>
      </c>
      <c r="S34" s="66"/>
      <c r="T34" s="66"/>
      <c r="U34" s="70"/>
    </row>
    <row r="35" spans="1:22" x14ac:dyDescent="0.2">
      <c r="A35" s="61"/>
    </row>
    <row r="36" spans="1:22" ht="60" x14ac:dyDescent="0.2">
      <c r="A36" s="61"/>
      <c r="B36" s="1410" t="s">
        <v>104</v>
      </c>
      <c r="C36" s="1414" t="s">
        <v>105</v>
      </c>
      <c r="D36" s="1410" t="s">
        <v>76</v>
      </c>
      <c r="E36" s="1410"/>
      <c r="F36" s="1410"/>
      <c r="G36" s="1410" t="s">
        <v>77</v>
      </c>
      <c r="H36" s="1410"/>
      <c r="I36" s="1410"/>
      <c r="J36" s="73" t="s">
        <v>106</v>
      </c>
      <c r="K36" s="1410" t="s">
        <v>79</v>
      </c>
      <c r="L36" s="1410"/>
      <c r="M36" s="1410"/>
      <c r="N36" s="1410" t="s">
        <v>107</v>
      </c>
      <c r="O36" s="1410" t="s">
        <v>81</v>
      </c>
      <c r="P36" s="1410" t="s">
        <v>82</v>
      </c>
      <c r="Q36" s="1410" t="s">
        <v>83</v>
      </c>
      <c r="R36" s="1410" t="s">
        <v>84</v>
      </c>
      <c r="S36" s="1414" t="s">
        <v>85</v>
      </c>
      <c r="T36" s="1414" t="s">
        <v>108</v>
      </c>
      <c r="U36" s="1414" t="s">
        <v>109</v>
      </c>
      <c r="V36" s="1416" t="s">
        <v>89</v>
      </c>
    </row>
    <row r="37" spans="1:22" ht="45" x14ac:dyDescent="0.2">
      <c r="A37" s="61"/>
      <c r="B37" s="1410"/>
      <c r="C37" s="1415"/>
      <c r="D37" s="73" t="s">
        <v>90</v>
      </c>
      <c r="E37" s="73" t="s">
        <v>91</v>
      </c>
      <c r="F37" s="73" t="s">
        <v>92</v>
      </c>
      <c r="G37" s="73" t="s">
        <v>90</v>
      </c>
      <c r="H37" s="73" t="s">
        <v>91</v>
      </c>
      <c r="I37" s="73" t="s">
        <v>93</v>
      </c>
      <c r="J37" s="73" t="s">
        <v>94</v>
      </c>
      <c r="K37" s="73" t="s">
        <v>95</v>
      </c>
      <c r="L37" s="92" t="s">
        <v>96</v>
      </c>
      <c r="M37" s="93" t="s">
        <v>97</v>
      </c>
      <c r="N37" s="1410"/>
      <c r="O37" s="1410"/>
      <c r="P37" s="1410"/>
      <c r="Q37" s="1410"/>
      <c r="R37" s="1410"/>
      <c r="S37" s="1415"/>
      <c r="T37" s="1415"/>
      <c r="U37" s="1415"/>
      <c r="V37" s="1417"/>
    </row>
    <row r="38" spans="1:22" ht="15" x14ac:dyDescent="0.2">
      <c r="A38" s="61"/>
      <c r="B38" s="75">
        <v>1</v>
      </c>
      <c r="C38" s="76">
        <v>2</v>
      </c>
      <c r="D38" s="76">
        <v>3</v>
      </c>
      <c r="E38" s="76">
        <v>4</v>
      </c>
      <c r="F38" s="76">
        <v>5</v>
      </c>
      <c r="G38" s="76">
        <v>6</v>
      </c>
      <c r="H38" s="76">
        <v>7</v>
      </c>
      <c r="I38" s="76">
        <v>8</v>
      </c>
      <c r="J38" s="76">
        <v>9</v>
      </c>
      <c r="K38" s="76" t="s">
        <v>98</v>
      </c>
      <c r="L38" s="76">
        <v>11</v>
      </c>
      <c r="M38" s="76">
        <v>12</v>
      </c>
      <c r="N38" s="76">
        <v>13</v>
      </c>
      <c r="O38" s="76">
        <v>14</v>
      </c>
      <c r="P38" s="76">
        <v>15</v>
      </c>
      <c r="Q38" s="76">
        <v>16</v>
      </c>
      <c r="R38" s="76">
        <v>17</v>
      </c>
      <c r="S38" s="94">
        <v>18</v>
      </c>
      <c r="T38" s="94">
        <v>19</v>
      </c>
      <c r="U38" s="94">
        <v>20</v>
      </c>
      <c r="V38" s="95">
        <v>21</v>
      </c>
    </row>
    <row r="39" spans="1:22" ht="45" x14ac:dyDescent="0.2">
      <c r="A39" s="61"/>
      <c r="B39" s="96" t="s">
        <v>4</v>
      </c>
      <c r="C39" s="97" t="s">
        <v>110</v>
      </c>
      <c r="D39" s="96">
        <v>0</v>
      </c>
      <c r="E39" s="96">
        <v>0</v>
      </c>
      <c r="F39" s="96">
        <v>0</v>
      </c>
      <c r="G39" s="81">
        <f>ROUND((D39*$G$34),2)</f>
        <v>0</v>
      </c>
      <c r="H39" s="81">
        <f>ROUND((E39*$H$34),2)</f>
        <v>0</v>
      </c>
      <c r="I39" s="81">
        <f>ROUND((F39*$I$34),2)</f>
        <v>0</v>
      </c>
      <c r="J39" s="81">
        <f>ROUND(((G39+H39+I25)*$I$34),2)</f>
        <v>0</v>
      </c>
      <c r="K39" s="81">
        <f t="shared" ref="K39:K41" si="3">L39+M39</f>
        <v>3.57</v>
      </c>
      <c r="L39" s="81">
        <v>0</v>
      </c>
      <c r="M39" s="81">
        <v>3.57</v>
      </c>
      <c r="N39" s="81">
        <v>0</v>
      </c>
      <c r="O39" s="81">
        <v>0</v>
      </c>
      <c r="P39" s="81">
        <f>ROUND((G39+H39+I39)*$P$34,2)</f>
        <v>0</v>
      </c>
      <c r="Q39" s="81">
        <f>ROUND((G39+H39+I39)*$Q$34,2)</f>
        <v>0</v>
      </c>
      <c r="R39" s="81">
        <f>ROUND((G39+H39+I39)*$R$34,2)</f>
        <v>0</v>
      </c>
      <c r="S39" s="98">
        <f t="shared" ref="S39:S41" si="4">G39+H39+I39+J39+K39+N39+P39+Q39+R39</f>
        <v>3.57</v>
      </c>
      <c r="T39" s="83">
        <v>8</v>
      </c>
      <c r="U39" s="83">
        <v>365</v>
      </c>
      <c r="V39" s="516">
        <f>S39*T39*U39</f>
        <v>10424.4</v>
      </c>
    </row>
    <row r="40" spans="1:22" ht="45" x14ac:dyDescent="0.2">
      <c r="A40" s="61"/>
      <c r="B40" s="96" t="s">
        <v>4</v>
      </c>
      <c r="C40" s="97" t="s">
        <v>111</v>
      </c>
      <c r="D40" s="96">
        <v>0</v>
      </c>
      <c r="E40" s="96">
        <v>0</v>
      </c>
      <c r="F40" s="96">
        <v>0</v>
      </c>
      <c r="G40" s="81">
        <f t="shared" ref="G40:G41" si="5">ROUND((D40*$G$34),2)</f>
        <v>0</v>
      </c>
      <c r="H40" s="81">
        <f t="shared" ref="H40:H41" si="6">ROUND((E40*$H$34),2)</f>
        <v>0</v>
      </c>
      <c r="I40" s="81">
        <f t="shared" ref="I40:I41" si="7">ROUND((F40*$I$34),2)</f>
        <v>0</v>
      </c>
      <c r="J40" s="81">
        <f>ROUND(((G40+H40+I26)*$I$34),2)</f>
        <v>0</v>
      </c>
      <c r="K40" s="81">
        <f t="shared" si="3"/>
        <v>3.58</v>
      </c>
      <c r="L40" s="81">
        <v>0</v>
      </c>
      <c r="M40" s="81">
        <v>3.58</v>
      </c>
      <c r="N40" s="81">
        <v>0</v>
      </c>
      <c r="O40" s="81">
        <v>0</v>
      </c>
      <c r="P40" s="81">
        <f t="shared" ref="P40:P41" si="8">ROUND((G40+H40+I40)*$P$34,2)</f>
        <v>0</v>
      </c>
      <c r="Q40" s="81">
        <f t="shared" ref="Q40:Q41" si="9">ROUND((G40+H40+I40)*$Q$34,2)</f>
        <v>0</v>
      </c>
      <c r="R40" s="81">
        <f t="shared" ref="R40:R41" si="10">ROUND((G40+H40+I40)*$R$34,2)</f>
        <v>0</v>
      </c>
      <c r="S40" s="98">
        <f t="shared" si="4"/>
        <v>3.58</v>
      </c>
      <c r="T40" s="83">
        <v>11</v>
      </c>
      <c r="U40" s="83">
        <v>365</v>
      </c>
      <c r="V40" s="516">
        <f t="shared" ref="V40:V41" si="11">S40*T40*U40</f>
        <v>14373.7</v>
      </c>
    </row>
    <row r="41" spans="1:22" ht="30" x14ac:dyDescent="0.2">
      <c r="A41" s="61"/>
      <c r="B41" s="96" t="s">
        <v>4</v>
      </c>
      <c r="C41" s="97" t="s">
        <v>112</v>
      </c>
      <c r="D41" s="96">
        <v>0</v>
      </c>
      <c r="E41" s="96">
        <v>0</v>
      </c>
      <c r="F41" s="96">
        <v>0</v>
      </c>
      <c r="G41" s="81">
        <f t="shared" si="5"/>
        <v>0</v>
      </c>
      <c r="H41" s="81">
        <f t="shared" si="6"/>
        <v>0</v>
      </c>
      <c r="I41" s="81">
        <f t="shared" si="7"/>
        <v>0</v>
      </c>
      <c r="J41" s="81">
        <f>ROUND(((G41+H41+I27)*$I$34),2)</f>
        <v>0</v>
      </c>
      <c r="K41" s="81">
        <f t="shared" si="3"/>
        <v>0.72</v>
      </c>
      <c r="L41" s="81">
        <v>0</v>
      </c>
      <c r="M41" s="81">
        <v>0.72</v>
      </c>
      <c r="N41" s="81">
        <v>0</v>
      </c>
      <c r="O41" s="81">
        <v>0</v>
      </c>
      <c r="P41" s="81">
        <f t="shared" si="8"/>
        <v>0</v>
      </c>
      <c r="Q41" s="81">
        <f t="shared" si="9"/>
        <v>0</v>
      </c>
      <c r="R41" s="81">
        <f t="shared" si="10"/>
        <v>0</v>
      </c>
      <c r="S41" s="98">
        <f t="shared" si="4"/>
        <v>0.72</v>
      </c>
      <c r="T41" s="83">
        <v>44</v>
      </c>
      <c r="U41" s="83">
        <v>365</v>
      </c>
      <c r="V41" s="516">
        <f t="shared" si="11"/>
        <v>11563.2</v>
      </c>
    </row>
    <row r="42" spans="1:22" ht="15.75" x14ac:dyDescent="0.2">
      <c r="U42" s="91" t="s">
        <v>102</v>
      </c>
      <c r="V42" s="64">
        <f>SUM(V39:V41)</f>
        <v>36361.300000000003</v>
      </c>
    </row>
    <row r="48" spans="1:22" x14ac:dyDescent="0.2">
      <c r="E48" s="99"/>
    </row>
  </sheetData>
  <mergeCells count="42">
    <mergeCell ref="K1:N1"/>
    <mergeCell ref="I2:N2"/>
    <mergeCell ref="V36:V37"/>
    <mergeCell ref="O36:O37"/>
    <mergeCell ref="P36:P37"/>
    <mergeCell ref="Q36:Q37"/>
    <mergeCell ref="R36:R37"/>
    <mergeCell ref="S36:S37"/>
    <mergeCell ref="T36:T37"/>
    <mergeCell ref="N36:N37"/>
    <mergeCell ref="V22:V23"/>
    <mergeCell ref="U36:U37"/>
    <mergeCell ref="R18:R19"/>
    <mergeCell ref="B36:B37"/>
    <mergeCell ref="C36:C37"/>
    <mergeCell ref="D36:F36"/>
    <mergeCell ref="G36:I36"/>
    <mergeCell ref="K36:M36"/>
    <mergeCell ref="W22:W23"/>
    <mergeCell ref="X22:X23"/>
    <mergeCell ref="J32:J33"/>
    <mergeCell ref="P32:P33"/>
    <mergeCell ref="Q32:Q33"/>
    <mergeCell ref="R32:R33"/>
    <mergeCell ref="O22:O23"/>
    <mergeCell ref="P22:P23"/>
    <mergeCell ref="Q22:Q23"/>
    <mergeCell ref="R22:R23"/>
    <mergeCell ref="S22:S23"/>
    <mergeCell ref="T22:T23"/>
    <mergeCell ref="N22:N23"/>
    <mergeCell ref="U22:U23"/>
    <mergeCell ref="B22:B23"/>
    <mergeCell ref="C22:C23"/>
    <mergeCell ref="D22:F22"/>
    <mergeCell ref="G22:I22"/>
    <mergeCell ref="K22:M22"/>
    <mergeCell ref="G11:H11"/>
    <mergeCell ref="G12:H12"/>
    <mergeCell ref="J18:J19"/>
    <mergeCell ref="P18:P19"/>
    <mergeCell ref="Q18:Q19"/>
  </mergeCells>
  <pageMargins left="0.70866141732283472" right="0.70866141732283472" top="0.74803149606299213" bottom="0.74803149606299213" header="0.31496062992125984" footer="0.31496062992125984"/>
  <pageSetup paperSize="9" scale="35" orientation="landscape"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V43"/>
  <sheetViews>
    <sheetView showGridLines="0" topLeftCell="B1" zoomScale="90" zoomScaleNormal="90" workbookViewId="0">
      <selection activeCell="U38" sqref="U38"/>
    </sheetView>
  </sheetViews>
  <sheetFormatPr defaultRowHeight="15.75" x14ac:dyDescent="0.25"/>
  <cols>
    <col min="1" max="1" width="3.5703125" style="100" customWidth="1"/>
    <col min="2" max="2" width="5" style="100" customWidth="1"/>
    <col min="3" max="3" width="12.140625" style="100" customWidth="1"/>
    <col min="4" max="4" width="13.85546875" style="100" customWidth="1"/>
    <col min="5" max="5" width="11.140625" style="100" customWidth="1"/>
    <col min="6" max="6" width="12.28515625" style="100" customWidth="1"/>
    <col min="7" max="7" width="11.7109375" style="100" customWidth="1"/>
    <col min="8" max="8" width="13" style="100" customWidth="1"/>
    <col min="9" max="9" width="13.7109375" style="100" bestFit="1" customWidth="1"/>
    <col min="10" max="10" width="14.85546875" style="100" customWidth="1"/>
    <col min="11" max="11" width="17.42578125" style="100" customWidth="1"/>
    <col min="12" max="12" width="14" style="100" customWidth="1"/>
    <col min="13" max="13" width="13" style="100" customWidth="1"/>
    <col min="14" max="14" width="8" style="100" customWidth="1"/>
    <col min="15" max="15" width="13" style="100" customWidth="1"/>
    <col min="16" max="16" width="13.5703125" style="100" customWidth="1"/>
    <col min="17" max="17" width="15.7109375" style="100" customWidth="1"/>
    <col min="18" max="18" width="15" style="100" customWidth="1"/>
    <col min="19" max="19" width="11.5703125" style="100" customWidth="1"/>
    <col min="20" max="20" width="18.5703125" style="100" customWidth="1"/>
    <col min="21" max="16384" width="9.140625" style="100"/>
  </cols>
  <sheetData>
    <row r="1" spans="1:18" x14ac:dyDescent="0.25">
      <c r="M1" s="901"/>
      <c r="N1" s="998"/>
      <c r="O1" s="1137" t="s">
        <v>1443</v>
      </c>
      <c r="P1" s="1137"/>
      <c r="Q1" s="1137"/>
      <c r="R1" s="1137"/>
    </row>
    <row r="2" spans="1:18" ht="36" customHeight="1" x14ac:dyDescent="0.25">
      <c r="M2" s="1161" t="s">
        <v>1342</v>
      </c>
      <c r="N2" s="1161"/>
      <c r="O2" s="1161"/>
      <c r="P2" s="1161"/>
      <c r="Q2" s="1161"/>
      <c r="R2" s="1161"/>
    </row>
    <row r="4" spans="1:18" ht="20.25" x14ac:dyDescent="0.3">
      <c r="C4" s="22" t="s">
        <v>1336</v>
      </c>
      <c r="D4" s="4"/>
      <c r="E4" s="4"/>
      <c r="F4" s="2"/>
      <c r="G4" s="2"/>
      <c r="H4" s="2"/>
    </row>
    <row r="5" spans="1:18" ht="21" thickBot="1" x14ac:dyDescent="0.35">
      <c r="C5" s="22"/>
      <c r="D5" s="4"/>
      <c r="E5" s="4"/>
      <c r="F5" s="2"/>
      <c r="G5" s="2"/>
      <c r="H5" s="2"/>
      <c r="M5" s="461"/>
      <c r="O5" s="461"/>
    </row>
    <row r="6" spans="1:18" ht="19.5" thickBot="1" x14ac:dyDescent="0.35">
      <c r="C6" s="23" t="s">
        <v>113</v>
      </c>
      <c r="D6" s="101"/>
      <c r="E6" s="101"/>
      <c r="F6" s="101"/>
      <c r="G6" s="101"/>
      <c r="H6" s="101"/>
      <c r="I6" s="101"/>
      <c r="J6" s="101"/>
      <c r="K6" s="101"/>
      <c r="L6" s="102"/>
      <c r="M6" s="540">
        <f>ROUND(K12+J19+U34,0)</f>
        <v>341371</v>
      </c>
      <c r="N6" s="103" t="s">
        <v>6</v>
      </c>
      <c r="P6" s="8"/>
    </row>
    <row r="8" spans="1:18" ht="16.5" customHeight="1" x14ac:dyDescent="0.25"/>
    <row r="9" spans="1:18" ht="19.5" x14ac:dyDescent="0.35">
      <c r="C9" s="8" t="s">
        <v>1013</v>
      </c>
      <c r="Q9" s="8"/>
    </row>
    <row r="10" spans="1:18" ht="18.75" x14ac:dyDescent="0.3">
      <c r="C10" s="8"/>
      <c r="Q10" s="8"/>
    </row>
    <row r="11" spans="1:18" ht="60" x14ac:dyDescent="0.3">
      <c r="C11" s="676" t="s">
        <v>1168</v>
      </c>
      <c r="D11" s="676" t="s">
        <v>1169</v>
      </c>
      <c r="E11" s="675" t="s">
        <v>1170</v>
      </c>
      <c r="F11" s="676" t="s">
        <v>1171</v>
      </c>
      <c r="G11" s="675" t="s">
        <v>1172</v>
      </c>
      <c r="H11" s="676" t="s">
        <v>1173</v>
      </c>
      <c r="I11" s="676" t="s">
        <v>1174</v>
      </c>
      <c r="J11" s="791" t="s">
        <v>1224</v>
      </c>
      <c r="K11" s="672" t="s">
        <v>115</v>
      </c>
      <c r="R11" s="8"/>
    </row>
    <row r="12" spans="1:18" x14ac:dyDescent="0.25">
      <c r="C12" s="729">
        <f>'5.5.1.'!E20</f>
        <v>8</v>
      </c>
      <c r="D12" s="676">
        <v>108.65</v>
      </c>
      <c r="E12" s="512">
        <v>869.22</v>
      </c>
      <c r="F12" s="730">
        <f>'5.5.1.'!N35</f>
        <v>120.05</v>
      </c>
      <c r="G12" s="512">
        <f>C12*F12</f>
        <v>960.4</v>
      </c>
      <c r="H12" s="115">
        <f>G12-E12</f>
        <v>91.17999999999995</v>
      </c>
      <c r="I12" s="49">
        <v>2663</v>
      </c>
      <c r="J12" s="792">
        <f>ROUND(E12*I12,2)</f>
        <v>2314732.86</v>
      </c>
      <c r="K12" s="731">
        <f>I12*H12</f>
        <v>242812.33999999988</v>
      </c>
    </row>
    <row r="13" spans="1:18" x14ac:dyDescent="0.25">
      <c r="E13" s="117"/>
    </row>
    <row r="14" spans="1:18" x14ac:dyDescent="0.25">
      <c r="R14" s="106"/>
    </row>
    <row r="15" spans="1:18" ht="18.75" x14ac:dyDescent="0.3">
      <c r="A15" s="452"/>
      <c r="C15" s="8" t="s">
        <v>116</v>
      </c>
    </row>
    <row r="16" spans="1:18" ht="11.25" customHeight="1" x14ac:dyDescent="0.3">
      <c r="A16" s="452"/>
      <c r="C16" s="8"/>
    </row>
    <row r="17" spans="1:22" ht="9.75" customHeight="1" x14ac:dyDescent="0.25">
      <c r="A17" s="452"/>
    </row>
    <row r="18" spans="1:22" ht="65.25" customHeight="1" x14ac:dyDescent="0.25">
      <c r="A18" s="452"/>
      <c r="C18" s="107" t="s">
        <v>3</v>
      </c>
      <c r="D18" s="108" t="s">
        <v>117</v>
      </c>
      <c r="E18" s="107" t="s">
        <v>118</v>
      </c>
      <c r="F18" s="109" t="s">
        <v>119</v>
      </c>
      <c r="G18" s="793" t="s">
        <v>120</v>
      </c>
      <c r="H18" s="107" t="s">
        <v>121</v>
      </c>
      <c r="I18" s="110" t="s">
        <v>122</v>
      </c>
      <c r="J18" s="1418" t="s">
        <v>115</v>
      </c>
      <c r="K18" s="1418"/>
      <c r="O18" s="525" t="s">
        <v>68</v>
      </c>
      <c r="P18" s="525" t="s">
        <v>69</v>
      </c>
      <c r="Q18" s="525" t="s">
        <v>70</v>
      </c>
      <c r="R18" s="526"/>
    </row>
    <row r="19" spans="1:22" ht="45" x14ac:dyDescent="0.25">
      <c r="A19" s="452"/>
      <c r="C19" s="111" t="s">
        <v>123</v>
      </c>
      <c r="D19" s="112" t="s">
        <v>124</v>
      </c>
      <c r="E19" s="113">
        <v>16.100000000000001</v>
      </c>
      <c r="F19" s="114">
        <v>616</v>
      </c>
      <c r="G19" s="794">
        <f>E19*F19</f>
        <v>9917.6</v>
      </c>
      <c r="H19" s="518">
        <f>I22</f>
        <v>19.29</v>
      </c>
      <c r="I19" s="116">
        <f>F19*H19</f>
        <v>11882.64</v>
      </c>
      <c r="J19" s="1419">
        <f>I19-G19</f>
        <v>1965.0399999999991</v>
      </c>
      <c r="K19" s="1419"/>
      <c r="O19" s="527">
        <v>0.2898</v>
      </c>
      <c r="P19" s="527">
        <v>3.15E-2</v>
      </c>
      <c r="Q19" s="527">
        <v>5.0200000000000002E-2</v>
      </c>
      <c r="R19" s="528" t="s">
        <v>73</v>
      </c>
    </row>
    <row r="20" spans="1:22" x14ac:dyDescent="0.25">
      <c r="A20" s="452"/>
      <c r="C20" s="519"/>
      <c r="D20" s="520"/>
      <c r="E20" s="521"/>
      <c r="F20" s="522"/>
      <c r="G20" s="523"/>
      <c r="H20" s="524"/>
      <c r="I20" s="523"/>
      <c r="J20" s="530"/>
      <c r="K20" s="530"/>
      <c r="O20" s="529"/>
      <c r="P20" s="529"/>
      <c r="Q20" s="529"/>
      <c r="R20" s="528"/>
    </row>
    <row r="21" spans="1:22" ht="75" x14ac:dyDescent="0.25">
      <c r="A21" s="452"/>
      <c r="C21" s="109" t="s">
        <v>1</v>
      </c>
      <c r="D21" s="109" t="s">
        <v>240</v>
      </c>
      <c r="E21" s="109" t="s">
        <v>244</v>
      </c>
      <c r="F21" s="109" t="s">
        <v>82</v>
      </c>
      <c r="G21" s="109" t="s">
        <v>83</v>
      </c>
      <c r="H21" s="109" t="s">
        <v>84</v>
      </c>
      <c r="I21" s="109" t="s">
        <v>999</v>
      </c>
      <c r="J21" s="109" t="s">
        <v>1000</v>
      </c>
      <c r="K21" s="530"/>
      <c r="O21" s="1437" t="s">
        <v>67</v>
      </c>
      <c r="P21" s="1437"/>
      <c r="Q21" s="533">
        <v>0.2359</v>
      </c>
      <c r="R21" s="528"/>
    </row>
    <row r="22" spans="1:22" x14ac:dyDescent="0.25">
      <c r="A22" s="452"/>
      <c r="C22" s="531">
        <v>12</v>
      </c>
      <c r="D22" s="531">
        <f>ROUND((C22*Q21),2)</f>
        <v>2.83</v>
      </c>
      <c r="E22" s="531">
        <f>C22+D22</f>
        <v>14.83</v>
      </c>
      <c r="F22" s="531">
        <f>ROUND((C22*O19),2)</f>
        <v>3.48</v>
      </c>
      <c r="G22" s="531">
        <f>ROUND((C22*P19),2)</f>
        <v>0.38</v>
      </c>
      <c r="H22" s="531">
        <f>ROUND((C22*Q19),2)</f>
        <v>0.6</v>
      </c>
      <c r="I22" s="531">
        <f>E22+F22+G22+H22</f>
        <v>19.29</v>
      </c>
      <c r="J22" s="532">
        <f>I22-E19</f>
        <v>3.1899999999999977</v>
      </c>
      <c r="K22" s="530"/>
      <c r="O22" s="529"/>
      <c r="P22" s="529"/>
      <c r="Q22" s="529"/>
      <c r="R22" s="528"/>
    </row>
    <row r="23" spans="1:22" x14ac:dyDescent="0.25">
      <c r="A23" s="452"/>
      <c r="C23" s="519"/>
      <c r="D23" s="520"/>
      <c r="E23" s="521"/>
      <c r="F23" s="522"/>
      <c r="G23" s="523"/>
      <c r="H23" s="524"/>
      <c r="I23" s="523"/>
      <c r="J23" s="530"/>
      <c r="K23" s="530"/>
      <c r="O23" s="529"/>
      <c r="P23" s="529"/>
      <c r="Q23" s="529"/>
      <c r="R23" s="528"/>
    </row>
    <row r="24" spans="1:22" x14ac:dyDescent="0.25">
      <c r="A24" s="452"/>
      <c r="F24" s="117"/>
      <c r="H24" s="513"/>
    </row>
    <row r="25" spans="1:22" ht="18.75" x14ac:dyDescent="0.3">
      <c r="C25" s="8" t="s">
        <v>125</v>
      </c>
    </row>
    <row r="26" spans="1:22" ht="18.75" x14ac:dyDescent="0.3">
      <c r="C26" s="8"/>
    </row>
    <row r="27" spans="1:22" x14ac:dyDescent="0.25">
      <c r="E27" s="103" t="s">
        <v>126</v>
      </c>
      <c r="F27" s="103" t="s">
        <v>127</v>
      </c>
      <c r="G27" s="103" t="s">
        <v>128</v>
      </c>
      <c r="H27" s="103" t="s">
        <v>129</v>
      </c>
      <c r="L27" s="103" t="s">
        <v>126</v>
      </c>
      <c r="M27" s="103" t="s">
        <v>127</v>
      </c>
      <c r="N27" s="103" t="s">
        <v>128</v>
      </c>
    </row>
    <row r="28" spans="1:22" x14ac:dyDescent="0.25">
      <c r="C28" s="1423" t="s">
        <v>130</v>
      </c>
      <c r="D28" s="1423"/>
      <c r="E28" s="118">
        <v>1485</v>
      </c>
      <c r="F28" s="119">
        <f>E28/2</f>
        <v>742.5</v>
      </c>
      <c r="G28" s="119">
        <f>E28/4</f>
        <v>371.25</v>
      </c>
      <c r="H28" s="1424">
        <v>0.2359</v>
      </c>
      <c r="J28" s="1423" t="s">
        <v>131</v>
      </c>
      <c r="K28" s="1423"/>
      <c r="L28" s="118">
        <f>1485+(1485*0.3)</f>
        <v>1930.5</v>
      </c>
      <c r="M28" s="119">
        <f>L28/2</f>
        <v>965.25</v>
      </c>
      <c r="N28" s="1424">
        <f>L28/4</f>
        <v>482.625</v>
      </c>
      <c r="O28" s="1424"/>
    </row>
    <row r="29" spans="1:22" x14ac:dyDescent="0.25">
      <c r="C29" s="1423" t="s">
        <v>132</v>
      </c>
      <c r="D29" s="1423"/>
      <c r="E29" s="118">
        <v>891</v>
      </c>
      <c r="F29" s="119">
        <f>E29/2</f>
        <v>445.5</v>
      </c>
      <c r="G29" s="119">
        <f>E29/4</f>
        <v>222.75</v>
      </c>
      <c r="H29" s="1424"/>
      <c r="J29" s="1423" t="s">
        <v>133</v>
      </c>
      <c r="K29" s="1423"/>
      <c r="L29" s="118">
        <f>891+(891*0.3)</f>
        <v>1158.3</v>
      </c>
      <c r="M29" s="119">
        <f>L29/2</f>
        <v>579.15</v>
      </c>
      <c r="N29" s="1424">
        <f>L29/4</f>
        <v>289.57499999999999</v>
      </c>
      <c r="O29" s="1424"/>
    </row>
    <row r="30" spans="1:22" x14ac:dyDescent="0.25">
      <c r="F30" s="1425" t="s">
        <v>1468</v>
      </c>
      <c r="G30" s="1425"/>
      <c r="H30" s="100">
        <v>0.2409</v>
      </c>
    </row>
    <row r="31" spans="1:22" x14ac:dyDescent="0.25">
      <c r="J31" s="1434" t="s">
        <v>134</v>
      </c>
      <c r="K31" s="1434"/>
      <c r="L31" s="1434"/>
      <c r="M31" s="1434"/>
      <c r="N31" s="1434"/>
      <c r="O31" s="1434"/>
      <c r="P31" s="1436" t="s">
        <v>135</v>
      </c>
      <c r="Q31" s="1436"/>
      <c r="R31" s="1436"/>
      <c r="S31" s="1436"/>
      <c r="T31" s="1436"/>
    </row>
    <row r="32" spans="1:22" ht="33.75" customHeight="1" x14ac:dyDescent="0.25">
      <c r="C32" s="1420" t="s">
        <v>136</v>
      </c>
      <c r="D32" s="1421" t="s">
        <v>137</v>
      </c>
      <c r="E32" s="1421" t="s">
        <v>138</v>
      </c>
      <c r="F32" s="1420" t="s">
        <v>139</v>
      </c>
      <c r="G32" s="1420"/>
      <c r="H32" s="1422" t="s">
        <v>140</v>
      </c>
      <c r="I32" s="1422"/>
      <c r="J32" s="1429" t="s">
        <v>141</v>
      </c>
      <c r="K32" s="1429" t="s">
        <v>142</v>
      </c>
      <c r="L32" s="1435" t="s">
        <v>143</v>
      </c>
      <c r="M32" s="1429" t="s">
        <v>144</v>
      </c>
      <c r="N32" s="1429" t="s">
        <v>145</v>
      </c>
      <c r="O32" s="1429"/>
      <c r="P32" s="1428" t="s">
        <v>141</v>
      </c>
      <c r="Q32" s="1428" t="s">
        <v>142</v>
      </c>
      <c r="R32" s="1428" t="s">
        <v>143</v>
      </c>
      <c r="S32" s="1428" t="s">
        <v>144</v>
      </c>
      <c r="T32" s="1432" t="s">
        <v>145</v>
      </c>
      <c r="U32" s="1426" t="s">
        <v>115</v>
      </c>
      <c r="V32" s="1426"/>
    </row>
    <row r="33" spans="3:22" ht="30" x14ac:dyDescent="0.25">
      <c r="C33" s="1420"/>
      <c r="D33" s="1421"/>
      <c r="E33" s="1421"/>
      <c r="F33" s="121" t="s">
        <v>146</v>
      </c>
      <c r="G33" s="122" t="s">
        <v>147</v>
      </c>
      <c r="H33" s="121" t="s">
        <v>146</v>
      </c>
      <c r="I33" s="122" t="s">
        <v>148</v>
      </c>
      <c r="J33" s="1429"/>
      <c r="K33" s="1429"/>
      <c r="L33" s="1435"/>
      <c r="M33" s="1429"/>
      <c r="N33" s="1429"/>
      <c r="O33" s="1429"/>
      <c r="P33" s="1428"/>
      <c r="Q33" s="1428"/>
      <c r="R33" s="1428"/>
      <c r="S33" s="1428"/>
      <c r="T33" s="1433"/>
      <c r="U33" s="1426"/>
      <c r="V33" s="1426"/>
    </row>
    <row r="34" spans="3:22" ht="45" x14ac:dyDescent="0.25">
      <c r="C34" s="123">
        <v>1</v>
      </c>
      <c r="D34" s="124" t="s">
        <v>149</v>
      </c>
      <c r="E34" s="122">
        <v>1</v>
      </c>
      <c r="F34" s="121">
        <v>1</v>
      </c>
      <c r="G34" s="122">
        <v>1</v>
      </c>
      <c r="H34" s="121">
        <v>1</v>
      </c>
      <c r="I34" s="122">
        <v>1</v>
      </c>
      <c r="J34" s="122">
        <f>(E28+E29)*12</f>
        <v>28512</v>
      </c>
      <c r="K34" s="125">
        <f>J34*$H$30</f>
        <v>6868.5407999999998</v>
      </c>
      <c r="L34" s="535">
        <v>3880</v>
      </c>
      <c r="M34" s="534">
        <f>SUM(J34:L34)</f>
        <v>39260.540800000002</v>
      </c>
      <c r="N34" s="1424">
        <f>ROUND(M34/2,0)</f>
        <v>19630</v>
      </c>
      <c r="O34" s="1424"/>
      <c r="P34" s="125">
        <f>(L28+L29)*12</f>
        <v>37065.600000000006</v>
      </c>
      <c r="Q34" s="125">
        <f>P34*$H$28</f>
        <v>8743.7750400000004</v>
      </c>
      <c r="R34" s="535">
        <v>3880</v>
      </c>
      <c r="S34" s="538">
        <f>SUM(P34:R34)</f>
        <v>49689.375040000006</v>
      </c>
      <c r="T34" s="126">
        <f>ROUND(S34/2,0)</f>
        <v>24845</v>
      </c>
      <c r="U34" s="1419">
        <f>S41-M41</f>
        <v>96593.445051899995</v>
      </c>
      <c r="V34" s="1419"/>
    </row>
    <row r="35" spans="3:22" ht="45" x14ac:dyDescent="0.25">
      <c r="C35" s="123">
        <v>2</v>
      </c>
      <c r="D35" s="124" t="s">
        <v>150</v>
      </c>
      <c r="E35" s="122">
        <v>1</v>
      </c>
      <c r="F35" s="121">
        <v>1</v>
      </c>
      <c r="G35" s="122">
        <v>0.5</v>
      </c>
      <c r="H35" s="121">
        <v>1</v>
      </c>
      <c r="I35" s="122">
        <v>0.5</v>
      </c>
      <c r="J35" s="122">
        <f>(F28+F29)*12</f>
        <v>14256</v>
      </c>
      <c r="K35" s="125">
        <f t="shared" ref="K35:K40" si="0">J35*$H$30</f>
        <v>3434.2703999999999</v>
      </c>
      <c r="L35" s="535">
        <f>L34/2</f>
        <v>1940</v>
      </c>
      <c r="M35" s="534">
        <f t="shared" ref="M35:M40" si="1">SUM(J35:L35)</f>
        <v>19630.270400000001</v>
      </c>
      <c r="N35" s="1424">
        <f t="shared" ref="N35:N40" si="2">ROUND(M35/2,0)</f>
        <v>9815</v>
      </c>
      <c r="O35" s="1424"/>
      <c r="P35" s="125">
        <f>(M28+M29)*12</f>
        <v>18532.800000000003</v>
      </c>
      <c r="Q35" s="125">
        <f t="shared" ref="Q35:Q40" si="3">P35*$H$28</f>
        <v>4371.8875200000002</v>
      </c>
      <c r="R35" s="535">
        <f>R34/2</f>
        <v>1940</v>
      </c>
      <c r="S35" s="538">
        <f t="shared" ref="S35:S40" si="4">SUM(P35:R35)</f>
        <v>24844.687520000003</v>
      </c>
      <c r="T35" s="127">
        <f t="shared" ref="T35:T40" si="5">ROUND(S35/2,0)</f>
        <v>12422</v>
      </c>
    </row>
    <row r="36" spans="3:22" ht="75" x14ac:dyDescent="0.25">
      <c r="C36" s="123">
        <v>3</v>
      </c>
      <c r="D36" s="124" t="s">
        <v>151</v>
      </c>
      <c r="E36" s="122">
        <v>2</v>
      </c>
      <c r="F36" s="121"/>
      <c r="G36" s="122">
        <v>5.5</v>
      </c>
      <c r="H36" s="121"/>
      <c r="I36" s="122">
        <v>4.5</v>
      </c>
      <c r="J36" s="125">
        <f>95117.28+17820+57070.44</f>
        <v>170007.72</v>
      </c>
      <c r="K36" s="125">
        <f t="shared" si="0"/>
        <v>40954.859748000003</v>
      </c>
      <c r="L36" s="535">
        <v>40569</v>
      </c>
      <c r="M36" s="534">
        <f t="shared" si="1"/>
        <v>251531.57974800002</v>
      </c>
      <c r="N36" s="1427">
        <f t="shared" si="2"/>
        <v>125766</v>
      </c>
      <c r="O36" s="1427"/>
      <c r="P36" s="125">
        <f>J36*1.3</f>
        <v>221010.03600000002</v>
      </c>
      <c r="Q36" s="125">
        <f t="shared" si="3"/>
        <v>52136.267492400002</v>
      </c>
      <c r="R36" s="535">
        <v>40569</v>
      </c>
      <c r="S36" s="538">
        <f t="shared" si="4"/>
        <v>313715.30349240004</v>
      </c>
      <c r="T36" s="127">
        <f t="shared" si="5"/>
        <v>156858</v>
      </c>
    </row>
    <row r="37" spans="3:22" ht="45" x14ac:dyDescent="0.25">
      <c r="C37" s="123">
        <v>4</v>
      </c>
      <c r="D37" s="124" t="s">
        <v>149</v>
      </c>
      <c r="E37" s="122">
        <v>1</v>
      </c>
      <c r="F37" s="121"/>
      <c r="G37" s="122">
        <v>0.5</v>
      </c>
      <c r="H37" s="121">
        <v>0</v>
      </c>
      <c r="I37" s="122">
        <v>0</v>
      </c>
      <c r="J37" s="122">
        <f>F28*12</f>
        <v>8910</v>
      </c>
      <c r="K37" s="125">
        <f t="shared" si="0"/>
        <v>2146.4189999999999</v>
      </c>
      <c r="L37" s="535">
        <v>1708</v>
      </c>
      <c r="M37" s="534">
        <f t="shared" si="1"/>
        <v>12764.419</v>
      </c>
      <c r="N37" s="1424">
        <f t="shared" si="2"/>
        <v>6382</v>
      </c>
      <c r="O37" s="1424"/>
      <c r="P37" s="125">
        <f>M28*12</f>
        <v>11583</v>
      </c>
      <c r="Q37" s="125">
        <f t="shared" si="3"/>
        <v>2732.4297000000001</v>
      </c>
      <c r="R37" s="535">
        <v>1708</v>
      </c>
      <c r="S37" s="538">
        <f t="shared" si="4"/>
        <v>16023.429700000001</v>
      </c>
      <c r="T37" s="127">
        <f t="shared" si="5"/>
        <v>8012</v>
      </c>
    </row>
    <row r="38" spans="3:22" ht="75" x14ac:dyDescent="0.25">
      <c r="C38" s="123">
        <v>5</v>
      </c>
      <c r="D38" s="124" t="s">
        <v>152</v>
      </c>
      <c r="E38" s="122">
        <v>2</v>
      </c>
      <c r="F38" s="121"/>
      <c r="G38" s="122">
        <v>2</v>
      </c>
      <c r="H38" s="121">
        <v>0</v>
      </c>
      <c r="I38" s="122">
        <v>0</v>
      </c>
      <c r="J38" s="122">
        <f>(E28*2)*12</f>
        <v>35640</v>
      </c>
      <c r="K38" s="125">
        <f t="shared" si="0"/>
        <v>8585.6759999999995</v>
      </c>
      <c r="L38" s="535">
        <v>6832</v>
      </c>
      <c r="M38" s="534">
        <f t="shared" si="1"/>
        <v>51057.675999999999</v>
      </c>
      <c r="N38" s="1424">
        <f t="shared" si="2"/>
        <v>25529</v>
      </c>
      <c r="O38" s="1424"/>
      <c r="P38" s="125">
        <f>(L28*2)*12</f>
        <v>46332</v>
      </c>
      <c r="Q38" s="125">
        <f t="shared" si="3"/>
        <v>10929.718800000001</v>
      </c>
      <c r="R38" s="535">
        <v>6832</v>
      </c>
      <c r="S38" s="538">
        <f t="shared" si="4"/>
        <v>64093.718800000002</v>
      </c>
      <c r="T38" s="127">
        <f t="shared" si="5"/>
        <v>32047</v>
      </c>
    </row>
    <row r="39" spans="3:22" ht="30" x14ac:dyDescent="0.25">
      <c r="C39" s="123">
        <v>6</v>
      </c>
      <c r="D39" s="124" t="s">
        <v>153</v>
      </c>
      <c r="E39" s="122">
        <v>1</v>
      </c>
      <c r="F39" s="121">
        <v>1</v>
      </c>
      <c r="G39" s="122">
        <v>0.25</v>
      </c>
      <c r="H39" s="121">
        <v>1</v>
      </c>
      <c r="I39" s="122">
        <v>0.25</v>
      </c>
      <c r="J39" s="122">
        <f>(G28+G29)*7</f>
        <v>4158</v>
      </c>
      <c r="K39" s="125">
        <f t="shared" si="0"/>
        <v>1001.6622</v>
      </c>
      <c r="L39" s="535">
        <v>566</v>
      </c>
      <c r="M39" s="534">
        <f t="shared" si="1"/>
        <v>5725.6621999999998</v>
      </c>
      <c r="N39" s="1427">
        <f t="shared" si="2"/>
        <v>2863</v>
      </c>
      <c r="O39" s="1427"/>
      <c r="P39" s="125">
        <f>(N28+N29)*7</f>
        <v>5405.4000000000005</v>
      </c>
      <c r="Q39" s="125">
        <f t="shared" si="3"/>
        <v>1275.1338600000001</v>
      </c>
      <c r="R39" s="535">
        <v>566</v>
      </c>
      <c r="S39" s="538">
        <f t="shared" si="4"/>
        <v>7246.5338600000005</v>
      </c>
      <c r="T39" s="127">
        <f t="shared" si="5"/>
        <v>3623</v>
      </c>
    </row>
    <row r="40" spans="3:22" ht="30" x14ac:dyDescent="0.25">
      <c r="C40" s="123">
        <v>7</v>
      </c>
      <c r="D40" s="124" t="s">
        <v>154</v>
      </c>
      <c r="E40" s="122">
        <v>1</v>
      </c>
      <c r="F40" s="121">
        <v>1</v>
      </c>
      <c r="G40" s="122">
        <v>0.25</v>
      </c>
      <c r="H40" s="121">
        <v>0</v>
      </c>
      <c r="I40" s="122">
        <v>0</v>
      </c>
      <c r="J40" s="125">
        <f>G28*7</f>
        <v>2598.75</v>
      </c>
      <c r="K40" s="125">
        <f t="shared" si="0"/>
        <v>626.03887499999996</v>
      </c>
      <c r="L40" s="535">
        <v>498</v>
      </c>
      <c r="M40" s="534">
        <f t="shared" si="1"/>
        <v>3722.7888750000002</v>
      </c>
      <c r="N40" s="1438">
        <f t="shared" si="2"/>
        <v>1861</v>
      </c>
      <c r="O40" s="1439"/>
      <c r="P40" s="125">
        <f>N28*7</f>
        <v>3378.375</v>
      </c>
      <c r="Q40" s="125">
        <f t="shared" si="3"/>
        <v>796.95866249999995</v>
      </c>
      <c r="R40" s="535">
        <v>498</v>
      </c>
      <c r="S40" s="538">
        <f t="shared" si="4"/>
        <v>4673.3336625000002</v>
      </c>
      <c r="T40" s="127">
        <f t="shared" si="5"/>
        <v>2337</v>
      </c>
    </row>
    <row r="41" spans="3:22" x14ac:dyDescent="0.25">
      <c r="C41" s="128"/>
      <c r="D41" s="129"/>
      <c r="E41" s="130"/>
      <c r="F41" s="131"/>
      <c r="G41" s="130"/>
      <c r="H41" s="131"/>
      <c r="I41" s="130"/>
      <c r="J41" s="130"/>
      <c r="K41" s="132"/>
      <c r="L41" s="514"/>
      <c r="M41" s="536">
        <f>SUM(M34:M40)</f>
        <v>383692.93702300003</v>
      </c>
      <c r="N41" s="1430">
        <f>SUM(N34:O40)</f>
        <v>191846</v>
      </c>
      <c r="O41" s="1431"/>
      <c r="P41" s="132"/>
      <c r="Q41" s="132"/>
      <c r="R41" s="132"/>
      <c r="S41" s="539">
        <f>SUM(S34:S40)</f>
        <v>480286.38207490003</v>
      </c>
      <c r="T41" s="537">
        <f>SUM(T34:T40)</f>
        <v>240144</v>
      </c>
    </row>
    <row r="42" spans="3:22" x14ac:dyDescent="0.25">
      <c r="C42" s="100" t="s">
        <v>155</v>
      </c>
    </row>
    <row r="43" spans="3:22" x14ac:dyDescent="0.25">
      <c r="C43" s="100" t="s">
        <v>156</v>
      </c>
    </row>
  </sheetData>
  <mergeCells count="40">
    <mergeCell ref="O1:R1"/>
    <mergeCell ref="M2:R2"/>
    <mergeCell ref="O21:P21"/>
    <mergeCell ref="N39:O39"/>
    <mergeCell ref="N40:O40"/>
    <mergeCell ref="N28:O28"/>
    <mergeCell ref="N29:O29"/>
    <mergeCell ref="N41:O41"/>
    <mergeCell ref="T32:T33"/>
    <mergeCell ref="J31:O31"/>
    <mergeCell ref="M32:M33"/>
    <mergeCell ref="J32:J33"/>
    <mergeCell ref="K32:K33"/>
    <mergeCell ref="L32:L33"/>
    <mergeCell ref="N37:O37"/>
    <mergeCell ref="N38:O38"/>
    <mergeCell ref="P31:T31"/>
    <mergeCell ref="U32:V33"/>
    <mergeCell ref="N34:O34"/>
    <mergeCell ref="U34:V34"/>
    <mergeCell ref="N35:O35"/>
    <mergeCell ref="N36:O36"/>
    <mergeCell ref="S32:S33"/>
    <mergeCell ref="N32:O33"/>
    <mergeCell ref="P32:P33"/>
    <mergeCell ref="Q32:Q33"/>
    <mergeCell ref="R32:R33"/>
    <mergeCell ref="J18:K18"/>
    <mergeCell ref="J19:K19"/>
    <mergeCell ref="C32:C33"/>
    <mergeCell ref="D32:D33"/>
    <mergeCell ref="E32:E33"/>
    <mergeCell ref="F32:G32"/>
    <mergeCell ref="H32:I32"/>
    <mergeCell ref="C28:D28"/>
    <mergeCell ref="H28:H29"/>
    <mergeCell ref="J28:K28"/>
    <mergeCell ref="C29:D29"/>
    <mergeCell ref="J29:K29"/>
    <mergeCell ref="F30:G30"/>
  </mergeCells>
  <pageMargins left="0.70866141732283472" right="0.70866141732283472" top="0.74803149606299213" bottom="0.74803149606299213" header="0.31496062992125984" footer="0.31496062992125984"/>
  <pageSetup paperSize="9" scale="40" orientation="landscape"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7"/>
  <sheetViews>
    <sheetView showGridLines="0" topLeftCell="A7" zoomScale="90" zoomScaleNormal="90" zoomScaleSheetLayoutView="85" workbookViewId="0">
      <selection activeCell="K27" sqref="K27:M27"/>
    </sheetView>
  </sheetViews>
  <sheetFormatPr defaultRowHeight="15" x14ac:dyDescent="0.25"/>
  <cols>
    <col min="1" max="1" width="2.5703125" style="133" customWidth="1"/>
    <col min="2" max="2" width="11.42578125" style="133" customWidth="1"/>
    <col min="3" max="3" width="20.85546875" style="133" customWidth="1"/>
    <col min="4" max="4" width="37.28515625" style="133" customWidth="1"/>
    <col min="5" max="5" width="10.5703125" style="133" customWidth="1"/>
    <col min="6" max="6" width="13.42578125" style="133" customWidth="1"/>
    <col min="7" max="7" width="15.28515625" style="133" customWidth="1"/>
    <col min="8" max="8" width="14.42578125" style="133" customWidth="1"/>
    <col min="9" max="9" width="12.140625" style="133" customWidth="1"/>
    <col min="10" max="10" width="15.28515625" style="133" customWidth="1"/>
    <col min="11" max="11" width="13.42578125" style="133" customWidth="1"/>
    <col min="12" max="12" width="11.7109375" style="133" customWidth="1"/>
    <col min="13" max="13" width="16.42578125" style="133" customWidth="1"/>
    <col min="14" max="14" width="11.42578125" style="133" customWidth="1"/>
    <col min="15" max="16384" width="9.140625" style="133"/>
  </cols>
  <sheetData>
    <row r="1" spans="1:15" ht="15.75" x14ac:dyDescent="0.25">
      <c r="I1" s="901"/>
      <c r="J1" s="998"/>
      <c r="K1" s="1137" t="s">
        <v>1444</v>
      </c>
      <c r="L1" s="1137"/>
      <c r="M1" s="1137"/>
      <c r="N1" s="1137"/>
    </row>
    <row r="2" spans="1:15" ht="33" customHeight="1" x14ac:dyDescent="0.25">
      <c r="I2" s="1161" t="s">
        <v>1342</v>
      </c>
      <c r="J2" s="1161"/>
      <c r="K2" s="1161"/>
      <c r="L2" s="1161"/>
      <c r="M2" s="1161"/>
      <c r="N2" s="1161"/>
    </row>
    <row r="4" spans="1:15" ht="18.75" x14ac:dyDescent="0.25">
      <c r="B4" s="677" t="s">
        <v>1337</v>
      </c>
    </row>
    <row r="5" spans="1:15" x14ac:dyDescent="0.25">
      <c r="A5" s="732"/>
      <c r="B5" s="155"/>
      <c r="C5" s="155"/>
      <c r="D5" s="674"/>
      <c r="E5" s="732"/>
      <c r="F5" s="732"/>
      <c r="G5" s="688"/>
      <c r="H5" s="688"/>
      <c r="I5" s="688"/>
      <c r="J5" s="689"/>
      <c r="K5" s="690"/>
      <c r="L5" s="691"/>
      <c r="M5" s="691"/>
      <c r="N5" s="691"/>
    </row>
    <row r="6" spans="1:15" x14ac:dyDescent="0.25">
      <c r="D6" s="134" t="s">
        <v>173</v>
      </c>
      <c r="E6" s="135">
        <f>20*8*60</f>
        <v>9600</v>
      </c>
      <c r="F6" s="135"/>
      <c r="G6" s="1457" t="s">
        <v>160</v>
      </c>
      <c r="H6" s="1462"/>
      <c r="I6" s="1463"/>
      <c r="J6" s="1458" t="s">
        <v>174</v>
      </c>
      <c r="K6" s="1458"/>
      <c r="L6" s="1457" t="s">
        <v>175</v>
      </c>
      <c r="M6" s="1458"/>
      <c r="N6" s="1459"/>
    </row>
    <row r="7" spans="1:15" ht="28.5" customHeight="1" x14ac:dyDescent="0.25">
      <c r="A7" s="732"/>
      <c r="B7" s="676" t="s">
        <v>176</v>
      </c>
      <c r="C7" s="136"/>
      <c r="D7" s="137" t="s">
        <v>177</v>
      </c>
      <c r="E7" s="676" t="s">
        <v>146</v>
      </c>
      <c r="F7" s="676" t="s">
        <v>178</v>
      </c>
      <c r="G7" s="138" t="s">
        <v>179</v>
      </c>
      <c r="H7" s="138" t="s">
        <v>180</v>
      </c>
      <c r="I7" s="138" t="s">
        <v>181</v>
      </c>
      <c r="J7" s="139" t="s">
        <v>182</v>
      </c>
      <c r="K7" s="139" t="s">
        <v>180</v>
      </c>
      <c r="L7" s="676" t="s">
        <v>183</v>
      </c>
      <c r="M7" s="676" t="s">
        <v>184</v>
      </c>
      <c r="N7" s="676" t="s">
        <v>185</v>
      </c>
    </row>
    <row r="8" spans="1:15" x14ac:dyDescent="0.25">
      <c r="A8" s="732"/>
      <c r="B8" s="680">
        <v>5</v>
      </c>
      <c r="C8" s="1454" t="s">
        <v>186</v>
      </c>
      <c r="D8" s="141" t="s">
        <v>1160</v>
      </c>
      <c r="E8" s="142">
        <v>1</v>
      </c>
      <c r="F8" s="140">
        <v>1</v>
      </c>
      <c r="G8" s="143">
        <f>F8*$E$6*12</f>
        <v>115200</v>
      </c>
      <c r="H8" s="143">
        <f>G8/12</f>
        <v>9600</v>
      </c>
      <c r="I8" s="143">
        <f t="shared" ref="I8:I17" si="0">365*B8</f>
        <v>1825</v>
      </c>
      <c r="J8" s="144">
        <f>G8/I8</f>
        <v>63.123287671232873</v>
      </c>
      <c r="K8" s="144">
        <f t="shared" ref="K8:K17" si="1">H8/I8</f>
        <v>5.2602739726027394</v>
      </c>
      <c r="L8" s="145">
        <f>(J8+K8)*$G$25</f>
        <v>13.75193424657534</v>
      </c>
      <c r="M8" s="145">
        <f>L8*0.2359</f>
        <v>3.2440812887671227</v>
      </c>
      <c r="N8" s="145">
        <f>L8+M8</f>
        <v>16.996015535342462</v>
      </c>
      <c r="O8" s="681"/>
    </row>
    <row r="9" spans="1:15" x14ac:dyDescent="0.25">
      <c r="A9" s="732"/>
      <c r="B9" s="682">
        <v>40</v>
      </c>
      <c r="C9" s="1460"/>
      <c r="D9" s="141" t="s">
        <v>1161</v>
      </c>
      <c r="E9" s="142">
        <v>1</v>
      </c>
      <c r="F9" s="140">
        <v>3.5</v>
      </c>
      <c r="G9" s="143">
        <f t="shared" ref="G9:G17" si="2">F9*$E$6*12</f>
        <v>403200</v>
      </c>
      <c r="H9" s="143">
        <f>G9/12</f>
        <v>33600</v>
      </c>
      <c r="I9" s="143">
        <f t="shared" si="0"/>
        <v>14600</v>
      </c>
      <c r="J9" s="144">
        <f t="shared" ref="J9:J17" si="3">G9/I9</f>
        <v>27.616438356164384</v>
      </c>
      <c r="K9" s="144">
        <f t="shared" si="1"/>
        <v>2.3013698630136985</v>
      </c>
      <c r="L9" s="145">
        <f>(J9+K9)*$G$25</f>
        <v>6.0164712328767118</v>
      </c>
      <c r="M9" s="145">
        <f t="shared" ref="M9:M17" si="4">L9*0.2359</f>
        <v>1.4192855638356163</v>
      </c>
      <c r="N9" s="145">
        <f t="shared" ref="N9:N17" si="5">L9+M9</f>
        <v>7.4357567967123277</v>
      </c>
      <c r="O9" s="681"/>
    </row>
    <row r="10" spans="1:15" ht="30" x14ac:dyDescent="0.25">
      <c r="A10" s="732"/>
      <c r="B10" s="680">
        <v>6</v>
      </c>
      <c r="C10" s="1460"/>
      <c r="D10" s="146" t="s">
        <v>1162</v>
      </c>
      <c r="E10" s="142">
        <v>1</v>
      </c>
      <c r="F10" s="680">
        <v>1</v>
      </c>
      <c r="G10" s="143">
        <f t="shared" si="2"/>
        <v>115200</v>
      </c>
      <c r="H10" s="143">
        <f t="shared" ref="H10:H17" si="6">G10/12</f>
        <v>9600</v>
      </c>
      <c r="I10" s="143">
        <f t="shared" si="0"/>
        <v>2190</v>
      </c>
      <c r="J10" s="144">
        <f t="shared" si="3"/>
        <v>52.602739726027394</v>
      </c>
      <c r="K10" s="144">
        <f t="shared" si="1"/>
        <v>4.3835616438356162</v>
      </c>
      <c r="L10" s="145">
        <f>(J10+K10)*$G$26</f>
        <v>6.878246575342466</v>
      </c>
      <c r="M10" s="145">
        <f t="shared" si="4"/>
        <v>1.6225783671232876</v>
      </c>
      <c r="N10" s="145">
        <f t="shared" si="5"/>
        <v>8.5008249424657532</v>
      </c>
    </row>
    <row r="11" spans="1:15" ht="30" x14ac:dyDescent="0.25">
      <c r="A11" s="732"/>
      <c r="B11" s="682">
        <v>10</v>
      </c>
      <c r="C11" s="1461"/>
      <c r="D11" s="146" t="s">
        <v>1163</v>
      </c>
      <c r="E11" s="142">
        <v>1</v>
      </c>
      <c r="F11" s="682">
        <v>3.5</v>
      </c>
      <c r="G11" s="143">
        <f t="shared" si="2"/>
        <v>403200</v>
      </c>
      <c r="H11" s="143">
        <f t="shared" si="6"/>
        <v>33600</v>
      </c>
      <c r="I11" s="143">
        <f t="shared" si="0"/>
        <v>3650</v>
      </c>
      <c r="J11" s="144">
        <f t="shared" si="3"/>
        <v>110.46575342465754</v>
      </c>
      <c r="K11" s="144">
        <f t="shared" si="1"/>
        <v>9.205479452054794</v>
      </c>
      <c r="L11" s="145">
        <f>(J11+K11)*$G$26</f>
        <v>14.444317808219179</v>
      </c>
      <c r="M11" s="145">
        <f t="shared" si="4"/>
        <v>3.4074145709589043</v>
      </c>
      <c r="N11" s="145">
        <f t="shared" si="5"/>
        <v>17.851732379178081</v>
      </c>
    </row>
    <row r="12" spans="1:15" ht="18" x14ac:dyDescent="0.25">
      <c r="A12" s="732"/>
      <c r="B12" s="140">
        <v>10</v>
      </c>
      <c r="C12" s="1454" t="s">
        <v>187</v>
      </c>
      <c r="D12" s="141" t="s">
        <v>188</v>
      </c>
      <c r="E12" s="140">
        <v>1</v>
      </c>
      <c r="F12" s="140">
        <v>1</v>
      </c>
      <c r="G12" s="143">
        <f t="shared" si="2"/>
        <v>115200</v>
      </c>
      <c r="H12" s="143">
        <f t="shared" si="6"/>
        <v>9600</v>
      </c>
      <c r="I12" s="143">
        <f t="shared" si="0"/>
        <v>3650</v>
      </c>
      <c r="J12" s="144">
        <f t="shared" si="3"/>
        <v>31.561643835616437</v>
      </c>
      <c r="K12" s="144">
        <f t="shared" si="1"/>
        <v>2.6301369863013697</v>
      </c>
      <c r="L12" s="145">
        <f>(J12+K12)*$G$25</f>
        <v>6.87596712328767</v>
      </c>
      <c r="M12" s="145">
        <f t="shared" si="4"/>
        <v>1.6220406443835613</v>
      </c>
      <c r="N12" s="145">
        <f t="shared" si="5"/>
        <v>8.4980077676712309</v>
      </c>
    </row>
    <row r="13" spans="1:15" x14ac:dyDescent="0.25">
      <c r="A13" s="679"/>
      <c r="B13" s="140">
        <v>20</v>
      </c>
      <c r="C13" s="1455"/>
      <c r="D13" s="141" t="s">
        <v>189</v>
      </c>
      <c r="E13" s="140">
        <v>1</v>
      </c>
      <c r="F13" s="140">
        <v>1</v>
      </c>
      <c r="G13" s="143">
        <f t="shared" si="2"/>
        <v>115200</v>
      </c>
      <c r="H13" s="143">
        <f t="shared" si="6"/>
        <v>9600</v>
      </c>
      <c r="I13" s="143">
        <f t="shared" si="0"/>
        <v>7300</v>
      </c>
      <c r="J13" s="144">
        <f t="shared" si="3"/>
        <v>15.780821917808218</v>
      </c>
      <c r="K13" s="144">
        <f t="shared" si="1"/>
        <v>1.3150684931506849</v>
      </c>
      <c r="L13" s="145">
        <f>(J13+K13)*$G$25</f>
        <v>3.437983561643835</v>
      </c>
      <c r="M13" s="145">
        <f t="shared" si="4"/>
        <v>0.81102032219178066</v>
      </c>
      <c r="N13" s="145">
        <f t="shared" si="5"/>
        <v>4.2490038838356154</v>
      </c>
    </row>
    <row r="14" spans="1:15" x14ac:dyDescent="0.25">
      <c r="A14" s="679"/>
      <c r="B14" s="140">
        <v>10</v>
      </c>
      <c r="C14" s="1454" t="s">
        <v>190</v>
      </c>
      <c r="D14" s="146" t="s">
        <v>191</v>
      </c>
      <c r="E14" s="140">
        <v>1</v>
      </c>
      <c r="F14" s="140">
        <f>E14*$F$28</f>
        <v>4.5</v>
      </c>
      <c r="G14" s="143">
        <f t="shared" si="2"/>
        <v>518400</v>
      </c>
      <c r="H14" s="143">
        <f t="shared" si="6"/>
        <v>43200</v>
      </c>
      <c r="I14" s="143">
        <f t="shared" si="0"/>
        <v>3650</v>
      </c>
      <c r="J14" s="144">
        <f t="shared" si="3"/>
        <v>142.02739726027397</v>
      </c>
      <c r="K14" s="144">
        <f t="shared" si="1"/>
        <v>11.835616438356164</v>
      </c>
      <c r="L14" s="145">
        <f>(J14+K14)*$G$27</f>
        <v>12.370586301369864</v>
      </c>
      <c r="M14" s="145">
        <f t="shared" si="4"/>
        <v>2.918221308493151</v>
      </c>
      <c r="N14" s="145">
        <f t="shared" si="5"/>
        <v>15.288807609863014</v>
      </c>
    </row>
    <row r="15" spans="1:15" ht="25.5" customHeight="1" x14ac:dyDescent="0.25">
      <c r="A15" s="679"/>
      <c r="B15" s="140">
        <v>40</v>
      </c>
      <c r="C15" s="1455"/>
      <c r="D15" s="146" t="s">
        <v>192</v>
      </c>
      <c r="E15" s="140">
        <v>1</v>
      </c>
      <c r="F15" s="140">
        <v>1</v>
      </c>
      <c r="G15" s="143">
        <f t="shared" si="2"/>
        <v>115200</v>
      </c>
      <c r="H15" s="143">
        <f t="shared" si="6"/>
        <v>9600</v>
      </c>
      <c r="I15" s="143">
        <f t="shared" si="0"/>
        <v>14600</v>
      </c>
      <c r="J15" s="144">
        <f t="shared" si="3"/>
        <v>7.8904109589041092</v>
      </c>
      <c r="K15" s="144">
        <f t="shared" si="1"/>
        <v>0.65753424657534243</v>
      </c>
      <c r="L15" s="145">
        <f>(J15+K15)*$G$27</f>
        <v>0.68725479452054783</v>
      </c>
      <c r="M15" s="145">
        <f t="shared" si="4"/>
        <v>0.16212340602739722</v>
      </c>
      <c r="N15" s="145">
        <f t="shared" si="5"/>
        <v>0.84937820054794511</v>
      </c>
    </row>
    <row r="16" spans="1:15" x14ac:dyDescent="0.25">
      <c r="A16" s="679"/>
      <c r="B16" s="140">
        <v>20</v>
      </c>
      <c r="C16" s="1454" t="s">
        <v>193</v>
      </c>
      <c r="D16" s="146" t="s">
        <v>194</v>
      </c>
      <c r="E16" s="140">
        <v>1</v>
      </c>
      <c r="F16" s="140">
        <v>0.75</v>
      </c>
      <c r="G16" s="143">
        <f t="shared" si="2"/>
        <v>86400</v>
      </c>
      <c r="H16" s="143">
        <f t="shared" si="6"/>
        <v>7200</v>
      </c>
      <c r="I16" s="143">
        <f t="shared" si="0"/>
        <v>7300</v>
      </c>
      <c r="J16" s="144">
        <f t="shared" si="3"/>
        <v>11.835616438356164</v>
      </c>
      <c r="K16" s="144">
        <f t="shared" si="1"/>
        <v>0.98630136986301364</v>
      </c>
      <c r="L16" s="145">
        <f>(J16+K16)*$G$25</f>
        <v>2.5784876712328768</v>
      </c>
      <c r="M16" s="145">
        <f t="shared" si="4"/>
        <v>0.60826524164383566</v>
      </c>
      <c r="N16" s="145">
        <f t="shared" si="5"/>
        <v>3.1867529128767123</v>
      </c>
    </row>
    <row r="17" spans="2:18" x14ac:dyDescent="0.25">
      <c r="B17" s="140">
        <v>20</v>
      </c>
      <c r="C17" s="1455"/>
      <c r="D17" s="146" t="s">
        <v>195</v>
      </c>
      <c r="E17" s="140">
        <v>1</v>
      </c>
      <c r="F17" s="140">
        <v>1</v>
      </c>
      <c r="G17" s="143">
        <f t="shared" si="2"/>
        <v>115200</v>
      </c>
      <c r="H17" s="143">
        <f t="shared" si="6"/>
        <v>9600</v>
      </c>
      <c r="I17" s="143">
        <f t="shared" si="0"/>
        <v>7300</v>
      </c>
      <c r="J17" s="144">
        <f t="shared" si="3"/>
        <v>15.780821917808218</v>
      </c>
      <c r="K17" s="144">
        <f t="shared" si="1"/>
        <v>1.3150684931506849</v>
      </c>
      <c r="L17" s="145">
        <f>(J17+K17)*$G$25</f>
        <v>3.437983561643835</v>
      </c>
      <c r="M17" s="145">
        <f t="shared" si="4"/>
        <v>0.81102032219178066</v>
      </c>
      <c r="N17" s="145">
        <f t="shared" si="5"/>
        <v>4.2490038838356154</v>
      </c>
    </row>
    <row r="18" spans="2:18" x14ac:dyDescent="0.25">
      <c r="B18" s="673"/>
      <c r="C18" s="673"/>
      <c r="D18" s="683" t="s">
        <v>196</v>
      </c>
      <c r="E18" s="147">
        <f t="shared" ref="E18:N18" si="7">SUM(E8:E17)</f>
        <v>10</v>
      </c>
      <c r="F18" s="147">
        <f t="shared" si="7"/>
        <v>18.25</v>
      </c>
      <c r="G18" s="148">
        <f t="shared" si="7"/>
        <v>2102400</v>
      </c>
      <c r="H18" s="148">
        <f t="shared" si="7"/>
        <v>175200</v>
      </c>
      <c r="I18" s="148">
        <f t="shared" si="7"/>
        <v>66065</v>
      </c>
      <c r="J18" s="149">
        <f t="shared" si="7"/>
        <v>478.68493150684935</v>
      </c>
      <c r="K18" s="150">
        <f t="shared" si="7"/>
        <v>39.890410958904106</v>
      </c>
      <c r="L18" s="151">
        <f t="shared" si="7"/>
        <v>70.479232876712317</v>
      </c>
      <c r="M18" s="151">
        <f t="shared" si="7"/>
        <v>16.626051035616435</v>
      </c>
      <c r="N18" s="152">
        <f t="shared" si="7"/>
        <v>87.105283912328758</v>
      </c>
    </row>
    <row r="20" spans="2:18" x14ac:dyDescent="0.25">
      <c r="D20" s="741" t="s">
        <v>198</v>
      </c>
      <c r="E20" s="742">
        <v>8</v>
      </c>
      <c r="F20" s="743">
        <f>869.22/E20</f>
        <v>108.6525</v>
      </c>
      <c r="M20" s="695" t="s">
        <v>197</v>
      </c>
      <c r="N20" s="696">
        <v>0.76749999999999996</v>
      </c>
    </row>
    <row r="21" spans="2:18" x14ac:dyDescent="0.25">
      <c r="C21" s="166"/>
      <c r="N21" s="697">
        <f>N18*N20</f>
        <v>66.853305402712323</v>
      </c>
    </row>
    <row r="22" spans="2:18" x14ac:dyDescent="0.25">
      <c r="C22" s="166"/>
      <c r="D22" s="744"/>
      <c r="E22" s="745"/>
    </row>
    <row r="23" spans="2:18" x14ac:dyDescent="0.25">
      <c r="C23" s="166"/>
      <c r="F23" s="1456" t="s">
        <v>157</v>
      </c>
      <c r="G23" s="1456"/>
      <c r="H23" s="698"/>
      <c r="J23" s="133" t="s">
        <v>158</v>
      </c>
      <c r="K23" s="1443" t="s">
        <v>199</v>
      </c>
      <c r="L23" s="1444"/>
      <c r="M23" s="1445"/>
      <c r="N23" s="145">
        <v>5</v>
      </c>
      <c r="O23" s="133" t="s">
        <v>200</v>
      </c>
    </row>
    <row r="24" spans="2:18" ht="36" customHeight="1" x14ac:dyDescent="0.25">
      <c r="F24" s="699" t="s">
        <v>159</v>
      </c>
      <c r="G24" s="699" t="s">
        <v>1166</v>
      </c>
      <c r="H24" s="700"/>
      <c r="I24" s="133" t="s">
        <v>160</v>
      </c>
      <c r="J24" s="133">
        <v>365</v>
      </c>
      <c r="K24" s="1452" t="s">
        <v>1180</v>
      </c>
      <c r="L24" s="1453"/>
      <c r="M24" s="1453"/>
      <c r="N24" s="748">
        <v>9.24</v>
      </c>
      <c r="O24" s="456" t="s">
        <v>1181</v>
      </c>
    </row>
    <row r="25" spans="2:18" x14ac:dyDescent="0.25">
      <c r="D25" s="702" t="s">
        <v>161</v>
      </c>
      <c r="E25" s="703"/>
      <c r="F25" s="704">
        <f>1485+(1485*0.3)</f>
        <v>1930.5</v>
      </c>
      <c r="G25" s="705">
        <f>ROUND(F25/9600,4)</f>
        <v>0.2011</v>
      </c>
      <c r="H25" s="706"/>
      <c r="J25" s="133" t="s">
        <v>162</v>
      </c>
      <c r="K25" s="1440" t="s">
        <v>1182</v>
      </c>
      <c r="L25" s="1441"/>
      <c r="M25" s="1442"/>
      <c r="N25" s="164"/>
    </row>
    <row r="26" spans="2:18" ht="17.25" customHeight="1" x14ac:dyDescent="0.25">
      <c r="D26" s="702" t="s">
        <v>163</v>
      </c>
      <c r="E26" s="703"/>
      <c r="F26" s="704">
        <f>891+(891*0.3)</f>
        <v>1158.3</v>
      </c>
      <c r="G26" s="705">
        <f>ROUND(F26/9600,4)</f>
        <v>0.1207</v>
      </c>
      <c r="H26" s="706"/>
      <c r="I26" s="133" t="s">
        <v>164</v>
      </c>
      <c r="J26" s="681">
        <f>J24*10</f>
        <v>3650</v>
      </c>
      <c r="K26" s="1443" t="s">
        <v>205</v>
      </c>
      <c r="L26" s="1444"/>
      <c r="M26" s="1445"/>
      <c r="N26" s="164">
        <v>5.23</v>
      </c>
      <c r="O26" s="456" t="s">
        <v>1181</v>
      </c>
    </row>
    <row r="27" spans="2:18" x14ac:dyDescent="0.25">
      <c r="D27" s="702" t="s">
        <v>165</v>
      </c>
      <c r="E27" s="703"/>
      <c r="F27" s="704">
        <f>594+(594*0.3)</f>
        <v>772.2</v>
      </c>
      <c r="G27" s="705">
        <f>ROUND(F27/9600,4)</f>
        <v>8.0399999999999999E-2</v>
      </c>
      <c r="H27" s="706"/>
      <c r="I27" s="133" t="s">
        <v>166</v>
      </c>
      <c r="J27" s="681">
        <f>8*J24</f>
        <v>2920</v>
      </c>
      <c r="K27" s="1443" t="s">
        <v>1183</v>
      </c>
      <c r="L27" s="1444"/>
      <c r="M27" s="1445"/>
      <c r="N27" s="164">
        <v>2.61</v>
      </c>
      <c r="O27" s="456" t="s">
        <v>1181</v>
      </c>
    </row>
    <row r="28" spans="2:18" x14ac:dyDescent="0.25">
      <c r="D28" s="702"/>
      <c r="E28" s="707" t="s">
        <v>167</v>
      </c>
      <c r="F28" s="708">
        <v>4.5</v>
      </c>
      <c r="G28" s="709" t="s">
        <v>168</v>
      </c>
      <c r="H28" s="706"/>
      <c r="I28" s="133" t="s">
        <v>169</v>
      </c>
      <c r="J28" s="681">
        <f>6*J24</f>
        <v>2190</v>
      </c>
      <c r="K28" s="1443" t="s">
        <v>1184</v>
      </c>
      <c r="L28" s="1444"/>
      <c r="M28" s="1445"/>
      <c r="N28" s="164">
        <v>0.31</v>
      </c>
      <c r="O28" s="456" t="s">
        <v>1181</v>
      </c>
    </row>
    <row r="29" spans="2:18" x14ac:dyDescent="0.25">
      <c r="D29" s="702"/>
      <c r="E29" s="707" t="s">
        <v>170</v>
      </c>
      <c r="F29" s="710">
        <v>0.25</v>
      </c>
      <c r="G29" s="709" t="s">
        <v>168</v>
      </c>
      <c r="H29" s="706"/>
      <c r="I29" s="133" t="s">
        <v>171</v>
      </c>
      <c r="J29" s="681">
        <f>5*J24</f>
        <v>1825</v>
      </c>
      <c r="K29" s="1443" t="s">
        <v>1185</v>
      </c>
      <c r="L29" s="1444"/>
      <c r="M29" s="1445"/>
      <c r="N29" s="164">
        <v>0.66</v>
      </c>
      <c r="O29" s="456" t="s">
        <v>1181</v>
      </c>
    </row>
    <row r="30" spans="2:18" x14ac:dyDescent="0.25">
      <c r="E30" s="674" t="s">
        <v>172</v>
      </c>
      <c r="F30" s="711">
        <f>F28+F29</f>
        <v>4.75</v>
      </c>
      <c r="G30" s="706">
        <f>F29/F30</f>
        <v>5.2631578947368418E-2</v>
      </c>
      <c r="H30" s="706"/>
      <c r="J30" s="681"/>
      <c r="K30" s="1446" t="s">
        <v>214</v>
      </c>
      <c r="L30" s="1447"/>
      <c r="M30" s="1448"/>
      <c r="N30" s="749">
        <f>'5.5.2.'!G16</f>
        <v>1.9854916666666664</v>
      </c>
      <c r="O30" s="156"/>
      <c r="P30" s="156"/>
    </row>
    <row r="31" spans="2:18" x14ac:dyDescent="0.25">
      <c r="K31" s="1446" t="s">
        <v>216</v>
      </c>
      <c r="L31" s="1447"/>
      <c r="M31" s="1448"/>
      <c r="N31" s="749">
        <f>'5.5.3.'!G22</f>
        <v>3.3228204327021937</v>
      </c>
      <c r="P31" s="156"/>
    </row>
    <row r="32" spans="2:18" x14ac:dyDescent="0.25">
      <c r="K32" s="1449" t="s">
        <v>217</v>
      </c>
      <c r="L32" s="1450"/>
      <c r="M32" s="1451"/>
      <c r="N32" s="145">
        <f>Q32</f>
        <v>2.1058791201854383</v>
      </c>
      <c r="O32" s="133" t="s">
        <v>1167</v>
      </c>
      <c r="P32" s="156"/>
      <c r="Q32" s="712">
        <f>$N$21*R32</f>
        <v>2.1058791201854383</v>
      </c>
      <c r="R32" s="713">
        <v>3.15E-2</v>
      </c>
    </row>
    <row r="33" spans="11:18" x14ac:dyDescent="0.25">
      <c r="K33" s="1449" t="s">
        <v>19</v>
      </c>
      <c r="L33" s="1450"/>
      <c r="M33" s="1451"/>
      <c r="N33" s="145">
        <f>Q33</f>
        <v>3.3560359312161587</v>
      </c>
      <c r="O33" s="133" t="s">
        <v>1167</v>
      </c>
      <c r="P33" s="156"/>
      <c r="Q33" s="714">
        <f t="shared" ref="Q33:Q34" si="8">$N$21*R33</f>
        <v>3.3560359312161587</v>
      </c>
      <c r="R33" s="715">
        <v>5.0200000000000002E-2</v>
      </c>
    </row>
    <row r="34" spans="11:18" x14ac:dyDescent="0.25">
      <c r="K34" s="1449" t="s">
        <v>218</v>
      </c>
      <c r="L34" s="1450"/>
      <c r="M34" s="1451"/>
      <c r="N34" s="145">
        <f>Q34</f>
        <v>19.37408790570603</v>
      </c>
      <c r="O34" s="133" t="s">
        <v>1167</v>
      </c>
      <c r="P34" s="156"/>
      <c r="Q34" s="716">
        <f t="shared" si="8"/>
        <v>19.37408790570603</v>
      </c>
      <c r="R34" s="717">
        <v>0.2898</v>
      </c>
    </row>
    <row r="35" spans="11:18" x14ac:dyDescent="0.25">
      <c r="K35" s="1440" t="s">
        <v>219</v>
      </c>
      <c r="L35" s="1441"/>
      <c r="M35" s="1442"/>
      <c r="N35" s="170">
        <f>ROUND(SUM(N21:N34),2)</f>
        <v>120.05</v>
      </c>
      <c r="P35" s="156"/>
    </row>
    <row r="36" spans="11:18" x14ac:dyDescent="0.25">
      <c r="M36" s="747"/>
      <c r="N36" s="746"/>
      <c r="P36" s="156"/>
    </row>
    <row r="37" spans="11:18" x14ac:dyDescent="0.25">
      <c r="M37" s="747"/>
      <c r="N37" s="746"/>
      <c r="O37" s="156"/>
      <c r="P37" s="156"/>
    </row>
    <row r="38" spans="11:18" x14ac:dyDescent="0.25">
      <c r="M38" s="747"/>
      <c r="N38" s="746"/>
      <c r="O38" s="156"/>
      <c r="P38" s="156"/>
    </row>
    <row r="39" spans="11:18" x14ac:dyDescent="0.25">
      <c r="O39" s="156"/>
      <c r="P39" s="156"/>
    </row>
    <row r="46" spans="11:18" x14ac:dyDescent="0.25">
      <c r="M46" s="747"/>
      <c r="N46" s="746"/>
    </row>
    <row r="47" spans="11:18" x14ac:dyDescent="0.25">
      <c r="O47" s="156"/>
      <c r="P47" s="156"/>
    </row>
  </sheetData>
  <mergeCells count="23">
    <mergeCell ref="K1:N1"/>
    <mergeCell ref="I2:N2"/>
    <mergeCell ref="L6:N6"/>
    <mergeCell ref="C8:C11"/>
    <mergeCell ref="C12:C13"/>
    <mergeCell ref="G6:I6"/>
    <mergeCell ref="J6:K6"/>
    <mergeCell ref="K24:M24"/>
    <mergeCell ref="K23:M23"/>
    <mergeCell ref="C14:C15"/>
    <mergeCell ref="C16:C17"/>
    <mergeCell ref="F23:G23"/>
    <mergeCell ref="K25:M25"/>
    <mergeCell ref="K26:M26"/>
    <mergeCell ref="K27:M27"/>
    <mergeCell ref="K33:M33"/>
    <mergeCell ref="K34:M34"/>
    <mergeCell ref="K35:M35"/>
    <mergeCell ref="K28:M28"/>
    <mergeCell ref="K29:M29"/>
    <mergeCell ref="K30:M30"/>
    <mergeCell ref="K31:M31"/>
    <mergeCell ref="K32:M32"/>
  </mergeCells>
  <pageMargins left="0.70866141732283472" right="0.70866141732283472" top="0.74803149606299213" bottom="0.74803149606299213" header="0.31496062992125984" footer="0.31496062992125984"/>
  <pageSetup paperSize="9" scale="60" orientation="landscape" r:id="rId1"/>
  <colBreaks count="1" manualBreakCount="1">
    <brk id="14"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28"/>
  <sheetViews>
    <sheetView showGridLines="0" topLeftCell="C1" zoomScale="90" zoomScaleNormal="90" workbookViewId="0">
      <selection activeCell="H1" sqref="H1:M2"/>
    </sheetView>
  </sheetViews>
  <sheetFormatPr defaultRowHeight="15.75" x14ac:dyDescent="0.25"/>
  <cols>
    <col min="1" max="1" width="10.140625" style="100" hidden="1" customWidth="1"/>
    <col min="2" max="2" width="73.42578125" style="100" hidden="1" customWidth="1"/>
    <col min="3" max="3" width="4.5703125" style="174" customWidth="1"/>
    <col min="4" max="4" width="28.28515625" style="100" bestFit="1" customWidth="1"/>
    <col min="5" max="5" width="10.7109375" style="100" bestFit="1" customWidth="1"/>
    <col min="6" max="6" width="21.7109375" style="100" bestFit="1" customWidth="1"/>
    <col min="7" max="7" width="27.5703125" style="100" bestFit="1" customWidth="1"/>
    <col min="8" max="16384" width="9.140625" style="100"/>
  </cols>
  <sheetData>
    <row r="1" spans="1:23" x14ac:dyDescent="0.25">
      <c r="H1" s="901"/>
      <c r="I1" s="998"/>
      <c r="J1" s="1137" t="s">
        <v>1445</v>
      </c>
      <c r="K1" s="1137"/>
      <c r="L1" s="1137"/>
      <c r="M1" s="1137"/>
    </row>
    <row r="2" spans="1:23" ht="45" customHeight="1" x14ac:dyDescent="0.25">
      <c r="H2" s="1161" t="s">
        <v>1342</v>
      </c>
      <c r="I2" s="1161"/>
      <c r="J2" s="1161"/>
      <c r="K2" s="1161"/>
      <c r="L2" s="1161"/>
      <c r="M2" s="1161"/>
    </row>
    <row r="3" spans="1:23" s="133" customFormat="1" ht="20.25" x14ac:dyDescent="0.25">
      <c r="B3" s="453" t="s">
        <v>911</v>
      </c>
      <c r="D3" s="155"/>
      <c r="E3" s="155"/>
      <c r="G3" s="156"/>
      <c r="H3" s="157"/>
      <c r="I3" s="155"/>
      <c r="J3" s="155"/>
      <c r="K3" s="158"/>
      <c r="L3" s="159"/>
      <c r="M3" s="159"/>
      <c r="Q3" s="160"/>
      <c r="V3" s="161"/>
      <c r="W3" s="161"/>
    </row>
    <row r="4" spans="1:23" s="133" customFormat="1" ht="20.25" x14ac:dyDescent="0.25">
      <c r="B4" s="453" t="s">
        <v>911</v>
      </c>
      <c r="C4" s="454"/>
      <c r="D4" s="457" t="s">
        <v>1408</v>
      </c>
      <c r="E4" s="455"/>
      <c r="F4" s="454"/>
      <c r="G4" s="456"/>
      <c r="H4" s="157"/>
      <c r="I4" s="155"/>
      <c r="J4" s="155"/>
      <c r="K4" s="158"/>
      <c r="L4" s="159"/>
      <c r="M4" s="159"/>
      <c r="Q4" s="160"/>
      <c r="V4" s="161"/>
      <c r="W4" s="161"/>
    </row>
    <row r="6" spans="1:23" x14ac:dyDescent="0.25">
      <c r="A6" s="1464" t="s">
        <v>348</v>
      </c>
      <c r="B6" s="1464"/>
      <c r="C6" s="171"/>
      <c r="D6" s="172" t="s">
        <v>214</v>
      </c>
      <c r="E6" s="172" t="s">
        <v>349</v>
      </c>
      <c r="F6" s="172" t="s">
        <v>350</v>
      </c>
      <c r="G6" s="172" t="s">
        <v>351</v>
      </c>
    </row>
    <row r="7" spans="1:23" x14ac:dyDescent="0.25">
      <c r="A7" s="105" t="s">
        <v>352</v>
      </c>
      <c r="B7" s="173" t="s">
        <v>353</v>
      </c>
      <c r="D7" s="1465" t="s">
        <v>354</v>
      </c>
      <c r="E7" s="1465"/>
      <c r="F7" s="1465"/>
      <c r="G7" s="1465"/>
    </row>
    <row r="8" spans="1:23" x14ac:dyDescent="0.25">
      <c r="A8" s="105" t="s">
        <v>355</v>
      </c>
      <c r="B8" s="173" t="s">
        <v>356</v>
      </c>
      <c r="D8" s="105" t="s">
        <v>357</v>
      </c>
      <c r="E8" s="105">
        <v>131.55000000000001</v>
      </c>
      <c r="F8" s="105">
        <f>360*5</f>
        <v>1800</v>
      </c>
      <c r="G8" s="175">
        <f>E8/F8</f>
        <v>7.3083333333333333E-2</v>
      </c>
      <c r="H8" s="100" t="s">
        <v>358</v>
      </c>
    </row>
    <row r="9" spans="1:23" x14ac:dyDescent="0.25">
      <c r="A9" s="105" t="s">
        <v>359</v>
      </c>
      <c r="B9" s="173" t="s">
        <v>360</v>
      </c>
      <c r="D9" s="105" t="s">
        <v>361</v>
      </c>
      <c r="E9" s="104">
        <v>1492.5</v>
      </c>
      <c r="F9" s="105">
        <f>360*5</f>
        <v>1800</v>
      </c>
      <c r="G9" s="175">
        <f>E9/F9</f>
        <v>0.82916666666666672</v>
      </c>
      <c r="H9" s="100" t="s">
        <v>358</v>
      </c>
    </row>
    <row r="10" spans="1:23" x14ac:dyDescent="0.25">
      <c r="A10" s="105" t="s">
        <v>362</v>
      </c>
      <c r="B10" s="173" t="s">
        <v>363</v>
      </c>
      <c r="D10" s="105" t="s">
        <v>364</v>
      </c>
      <c r="E10" s="105">
        <v>1065.25</v>
      </c>
      <c r="F10" s="105">
        <f>360*6</f>
        <v>2160</v>
      </c>
      <c r="G10" s="175">
        <f>E10/F10</f>
        <v>0.4931712962962963</v>
      </c>
      <c r="H10" s="100" t="s">
        <v>365</v>
      </c>
    </row>
    <row r="11" spans="1:23" x14ac:dyDescent="0.25">
      <c r="A11" s="105" t="s">
        <v>366</v>
      </c>
      <c r="B11" s="173" t="s">
        <v>367</v>
      </c>
      <c r="D11" s="105" t="s">
        <v>368</v>
      </c>
      <c r="E11" s="104">
        <v>500</v>
      </c>
      <c r="F11" s="105">
        <f>360*5</f>
        <v>1800</v>
      </c>
      <c r="G11" s="175">
        <f>E11/F11</f>
        <v>0.27777777777777779</v>
      </c>
      <c r="H11" s="100" t="s">
        <v>358</v>
      </c>
    </row>
    <row r="12" spans="1:23" x14ac:dyDescent="0.25">
      <c r="A12" s="105" t="s">
        <v>369</v>
      </c>
      <c r="B12" s="173" t="s">
        <v>370</v>
      </c>
      <c r="D12" s="1465" t="s">
        <v>371</v>
      </c>
      <c r="E12" s="1465"/>
      <c r="F12" s="1465"/>
      <c r="G12" s="1465"/>
    </row>
    <row r="13" spans="1:23" x14ac:dyDescent="0.25">
      <c r="A13" s="105" t="s">
        <v>372</v>
      </c>
      <c r="B13" s="173" t="s">
        <v>373</v>
      </c>
      <c r="D13" s="105" t="s">
        <v>374</v>
      </c>
      <c r="E13" s="104">
        <v>100</v>
      </c>
      <c r="F13" s="105">
        <f>360*3</f>
        <v>1080</v>
      </c>
      <c r="G13" s="175">
        <f>E13/F13</f>
        <v>9.2592592592592587E-2</v>
      </c>
      <c r="H13" s="100" t="s">
        <v>358</v>
      </c>
    </row>
    <row r="14" spans="1:23" x14ac:dyDescent="0.25">
      <c r="A14" s="105" t="s">
        <v>375</v>
      </c>
      <c r="B14" s="173" t="s">
        <v>376</v>
      </c>
      <c r="D14" s="105" t="s">
        <v>377</v>
      </c>
      <c r="E14" s="104">
        <v>184.4</v>
      </c>
      <c r="F14" s="105">
        <f>360*4</f>
        <v>1440</v>
      </c>
      <c r="G14" s="175">
        <f>E14/F14</f>
        <v>0.12805555555555556</v>
      </c>
      <c r="H14" s="100" t="s">
        <v>378</v>
      </c>
    </row>
    <row r="15" spans="1:23" x14ac:dyDescent="0.25">
      <c r="A15" s="105" t="s">
        <v>379</v>
      </c>
      <c r="B15" s="173" t="s">
        <v>380</v>
      </c>
      <c r="D15" s="105" t="s">
        <v>381</v>
      </c>
      <c r="E15" s="105">
        <v>164.96</v>
      </c>
      <c r="F15" s="105">
        <f>360*5</f>
        <v>1800</v>
      </c>
      <c r="G15" s="175">
        <f>E15/F15</f>
        <v>9.1644444444444445E-2</v>
      </c>
      <c r="H15" s="100" t="s">
        <v>382</v>
      </c>
    </row>
    <row r="16" spans="1:23" x14ac:dyDescent="0.25">
      <c r="A16" s="105" t="s">
        <v>383</v>
      </c>
      <c r="B16" s="173" t="s">
        <v>384</v>
      </c>
      <c r="F16" s="176" t="s">
        <v>102</v>
      </c>
      <c r="G16" s="177">
        <f>SUM(G8:G11,G13:G15)</f>
        <v>1.9854916666666664</v>
      </c>
    </row>
    <row r="17" spans="1:7" x14ac:dyDescent="0.25">
      <c r="A17" s="105" t="s">
        <v>385</v>
      </c>
      <c r="B17" s="173" t="s">
        <v>386</v>
      </c>
      <c r="F17" s="178"/>
      <c r="G17" s="179"/>
    </row>
    <row r="18" spans="1:7" x14ac:dyDescent="0.25">
      <c r="A18" s="105" t="s">
        <v>387</v>
      </c>
      <c r="B18" s="173" t="s">
        <v>388</v>
      </c>
      <c r="F18" s="180"/>
    </row>
    <row r="19" spans="1:7" x14ac:dyDescent="0.25">
      <c r="A19" s="105" t="s">
        <v>389</v>
      </c>
      <c r="B19" s="173" t="s">
        <v>390</v>
      </c>
    </row>
    <row r="20" spans="1:7" x14ac:dyDescent="0.25">
      <c r="A20" s="105" t="s">
        <v>391</v>
      </c>
      <c r="B20" s="173" t="s">
        <v>392</v>
      </c>
    </row>
    <row r="21" spans="1:7" x14ac:dyDescent="0.25">
      <c r="A21" s="105" t="s">
        <v>393</v>
      </c>
      <c r="B21" s="173" t="s">
        <v>394</v>
      </c>
    </row>
    <row r="22" spans="1:7" x14ac:dyDescent="0.25">
      <c r="A22" s="105" t="s">
        <v>395</v>
      </c>
      <c r="B22" s="173" t="s">
        <v>396</v>
      </c>
    </row>
    <row r="23" spans="1:7" x14ac:dyDescent="0.25">
      <c r="A23" s="105" t="s">
        <v>397</v>
      </c>
      <c r="B23" s="173" t="s">
        <v>398</v>
      </c>
    </row>
    <row r="24" spans="1:7" x14ac:dyDescent="0.25">
      <c r="A24" s="105" t="s">
        <v>399</v>
      </c>
      <c r="B24" s="173" t="s">
        <v>400</v>
      </c>
    </row>
    <row r="25" spans="1:7" x14ac:dyDescent="0.25">
      <c r="A25" s="105" t="s">
        <v>401</v>
      </c>
      <c r="B25" s="173" t="s">
        <v>402</v>
      </c>
    </row>
    <row r="26" spans="1:7" x14ac:dyDescent="0.25">
      <c r="A26" s="105" t="s">
        <v>403</v>
      </c>
      <c r="B26" s="173" t="s">
        <v>404</v>
      </c>
    </row>
    <row r="27" spans="1:7" x14ac:dyDescent="0.25">
      <c r="A27" s="105" t="s">
        <v>405</v>
      </c>
      <c r="B27" s="173" t="s">
        <v>406</v>
      </c>
    </row>
    <row r="28" spans="1:7" x14ac:dyDescent="0.25">
      <c r="A28" s="172" t="s">
        <v>407</v>
      </c>
      <c r="B28" s="181" t="s">
        <v>408</v>
      </c>
      <c r="C28" s="182"/>
    </row>
  </sheetData>
  <mergeCells count="5">
    <mergeCell ref="A6:B6"/>
    <mergeCell ref="D7:G7"/>
    <mergeCell ref="D12:G12"/>
    <mergeCell ref="J1:M1"/>
    <mergeCell ref="H2:M2"/>
  </mergeCells>
  <pageMargins left="0.70866141732283472" right="0.70866141732283472" top="0.74803149606299213" bottom="0.74803149606299213" header="0.31496062992125984" footer="0.31496062992125984"/>
  <pageSetup paperSize="9" scale="8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K24"/>
  <sheetViews>
    <sheetView showGridLines="0" zoomScale="90" zoomScaleNormal="90" workbookViewId="0">
      <selection activeCell="U12" sqref="U12"/>
    </sheetView>
  </sheetViews>
  <sheetFormatPr defaultRowHeight="15" x14ac:dyDescent="0.25"/>
  <cols>
    <col min="1" max="1" width="5.140625" customWidth="1"/>
    <col min="4" max="4" width="38.42578125" bestFit="1" customWidth="1"/>
    <col min="5" max="5" width="23.42578125" customWidth="1"/>
    <col min="6" max="8" width="22.28515625" customWidth="1"/>
  </cols>
  <sheetData>
    <row r="1" spans="2:11" ht="15.75" x14ac:dyDescent="0.25">
      <c r="F1" s="901"/>
      <c r="G1" s="998"/>
      <c r="H1" s="1137" t="s">
        <v>1446</v>
      </c>
      <c r="I1" s="1137"/>
      <c r="J1" s="1137"/>
      <c r="K1" s="1137"/>
    </row>
    <row r="2" spans="2:11" ht="42.75" customHeight="1" x14ac:dyDescent="0.25">
      <c r="F2" s="1161" t="s">
        <v>1342</v>
      </c>
      <c r="G2" s="1161"/>
      <c r="H2" s="1161"/>
      <c r="I2" s="1161"/>
      <c r="J2" s="1161"/>
      <c r="K2" s="1161"/>
    </row>
    <row r="4" spans="2:11" ht="37.5" customHeight="1" x14ac:dyDescent="0.25">
      <c r="B4" s="1466" t="s">
        <v>1409</v>
      </c>
      <c r="C4" s="1466"/>
      <c r="D4" s="1466"/>
      <c r="E4" s="1466"/>
      <c r="F4" s="1466"/>
      <c r="G4" s="1466"/>
      <c r="H4" s="1466"/>
    </row>
    <row r="6" spans="2:11" ht="30" x14ac:dyDescent="0.25">
      <c r="B6" s="183" t="s">
        <v>409</v>
      </c>
      <c r="C6" s="183" t="s">
        <v>410</v>
      </c>
      <c r="D6" s="183" t="s">
        <v>137</v>
      </c>
      <c r="E6" s="183" t="s">
        <v>411</v>
      </c>
      <c r="F6" s="183" t="s">
        <v>412</v>
      </c>
      <c r="G6" s="183" t="s">
        <v>413</v>
      </c>
      <c r="H6" s="183" t="s">
        <v>414</v>
      </c>
    </row>
    <row r="7" spans="2:11" x14ac:dyDescent="0.25">
      <c r="B7" s="184">
        <v>1</v>
      </c>
      <c r="C7" s="185" t="s">
        <v>415</v>
      </c>
      <c r="D7" s="185" t="s">
        <v>416</v>
      </c>
      <c r="E7" s="186">
        <v>120</v>
      </c>
      <c r="F7" s="186">
        <v>1</v>
      </c>
      <c r="G7" s="187">
        <v>0.40498496541559992</v>
      </c>
      <c r="H7" s="188">
        <f>G7*E7</f>
        <v>48.598195849871992</v>
      </c>
      <c r="I7" s="189">
        <f>E7/F7</f>
        <v>120</v>
      </c>
    </row>
    <row r="8" spans="2:11" x14ac:dyDescent="0.25">
      <c r="B8" s="184">
        <v>2</v>
      </c>
      <c r="C8" s="185" t="s">
        <v>415</v>
      </c>
      <c r="D8" s="185" t="s">
        <v>417</v>
      </c>
      <c r="E8" s="186">
        <v>94</v>
      </c>
      <c r="F8" s="186">
        <v>4</v>
      </c>
      <c r="G8" s="187">
        <v>0.74226239724069154</v>
      </c>
      <c r="H8" s="188">
        <f t="shared" ref="H8:H9" si="0">G8*E8</f>
        <v>69.772665340625011</v>
      </c>
      <c r="I8" s="189">
        <f t="shared" ref="I8:I12" si="1">E8/F8</f>
        <v>23.5</v>
      </c>
    </row>
    <row r="9" spans="2:11" x14ac:dyDescent="0.25">
      <c r="B9" s="190">
        <v>3</v>
      </c>
      <c r="C9" s="185" t="s">
        <v>415</v>
      </c>
      <c r="D9" s="185" t="s">
        <v>418</v>
      </c>
      <c r="E9" s="186">
        <v>108</v>
      </c>
      <c r="F9" s="186">
        <v>1</v>
      </c>
      <c r="G9" s="187">
        <v>0.36140676033854174</v>
      </c>
      <c r="H9" s="188">
        <f t="shared" si="0"/>
        <v>39.031930116562506</v>
      </c>
      <c r="I9" s="189">
        <f t="shared" si="1"/>
        <v>108</v>
      </c>
    </row>
    <row r="10" spans="2:11" x14ac:dyDescent="0.25">
      <c r="B10" s="184">
        <v>4</v>
      </c>
      <c r="C10" s="185" t="s">
        <v>415</v>
      </c>
      <c r="D10" s="185" t="s">
        <v>419</v>
      </c>
      <c r="E10" s="191">
        <v>134.81</v>
      </c>
      <c r="F10" s="186">
        <v>9</v>
      </c>
      <c r="G10" s="187">
        <v>0.81327828151472081</v>
      </c>
      <c r="H10" s="188">
        <f>G10*E10</f>
        <v>109.63804513099952</v>
      </c>
      <c r="I10" s="189">
        <f t="shared" si="1"/>
        <v>14.978888888888889</v>
      </c>
    </row>
    <row r="11" spans="2:11" x14ac:dyDescent="0.25">
      <c r="B11" s="184">
        <v>5</v>
      </c>
      <c r="C11" s="185" t="s">
        <v>415</v>
      </c>
      <c r="D11" s="185" t="s">
        <v>420</v>
      </c>
      <c r="E11" s="186">
        <v>407</v>
      </c>
      <c r="F11" s="186">
        <v>25</v>
      </c>
      <c r="G11" s="187">
        <v>0.86293233902134503</v>
      </c>
      <c r="H11" s="188">
        <f>G11*E11</f>
        <v>351.21346198168743</v>
      </c>
      <c r="I11" s="189">
        <f t="shared" si="1"/>
        <v>16.28</v>
      </c>
    </row>
    <row r="12" spans="2:11" x14ac:dyDescent="0.25">
      <c r="B12" s="190">
        <v>6</v>
      </c>
      <c r="C12" s="185" t="s">
        <v>415</v>
      </c>
      <c r="D12" s="185" t="s">
        <v>421</v>
      </c>
      <c r="E12" s="186">
        <v>97</v>
      </c>
      <c r="F12" s="186">
        <v>3</v>
      </c>
      <c r="G12" s="187">
        <v>0.35261853881739685</v>
      </c>
      <c r="H12" s="188">
        <f>G12*E12</f>
        <v>34.203998265287495</v>
      </c>
      <c r="I12" s="189">
        <f t="shared" si="1"/>
        <v>32.333333333333336</v>
      </c>
    </row>
    <row r="13" spans="2:11" x14ac:dyDescent="0.25">
      <c r="B13" s="1467" t="s">
        <v>196</v>
      </c>
      <c r="C13" s="1468"/>
      <c r="D13" s="1469"/>
      <c r="E13" s="192">
        <f>SUM(E7:E12)</f>
        <v>960.81</v>
      </c>
      <c r="F13" s="193">
        <f t="shared" ref="F13:H13" si="2">SUM(F7:F12)</f>
        <v>43</v>
      </c>
      <c r="G13" s="194">
        <f>AVERAGE(G7:G12)</f>
        <v>0.58958054705804941</v>
      </c>
      <c r="H13" s="195">
        <f t="shared" si="2"/>
        <v>652.45829668503393</v>
      </c>
      <c r="I13" s="189">
        <f>AVERAGE(I7:I12)</f>
        <v>52.51537037037037</v>
      </c>
    </row>
    <row r="14" spans="2:11" ht="8.25" customHeight="1" x14ac:dyDescent="0.25">
      <c r="D14" s="196"/>
    </row>
    <row r="15" spans="2:11" x14ac:dyDescent="0.25">
      <c r="B15" s="197" t="s">
        <v>422</v>
      </c>
      <c r="F15" s="153" t="s">
        <v>423</v>
      </c>
      <c r="G15" s="198">
        <f>I13</f>
        <v>52.51537037037037</v>
      </c>
      <c r="J15" s="199"/>
    </row>
    <row r="16" spans="2:11" x14ac:dyDescent="0.25">
      <c r="F16" s="200" t="s">
        <v>424</v>
      </c>
      <c r="G16" s="201">
        <f>G13*G15</f>
        <v>30.962040791919041</v>
      </c>
    </row>
    <row r="18" spans="6:8" x14ac:dyDescent="0.25">
      <c r="F18" s="153" t="s">
        <v>198</v>
      </c>
      <c r="G18" s="154">
        <f>'[6](Pr Pal)'!F156</f>
        <v>9.3179999999999996</v>
      </c>
    </row>
    <row r="19" spans="6:8" x14ac:dyDescent="0.25">
      <c r="F19" s="153" t="s">
        <v>425</v>
      </c>
      <c r="G19" s="154">
        <f>'[6](Pr Hr)'!F197</f>
        <v>6.8</v>
      </c>
      <c r="H19" s="189"/>
    </row>
    <row r="20" spans="6:8" x14ac:dyDescent="0.25">
      <c r="F20" s="153" t="s">
        <v>426</v>
      </c>
      <c r="G20" s="202">
        <f>'[6](Pr Apr)'!F83</f>
        <v>9.6999999999999993</v>
      </c>
    </row>
    <row r="22" spans="6:8" x14ac:dyDescent="0.25">
      <c r="F22" s="153" t="s">
        <v>427</v>
      </c>
      <c r="G22" s="203">
        <f>$G$16/G18</f>
        <v>3.3228204327021937</v>
      </c>
    </row>
    <row r="23" spans="6:8" x14ac:dyDescent="0.25">
      <c r="F23" s="153" t="s">
        <v>428</v>
      </c>
      <c r="G23" s="203">
        <f>$G$16/G19</f>
        <v>4.5532412929292709</v>
      </c>
    </row>
    <row r="24" spans="6:8" x14ac:dyDescent="0.25">
      <c r="F24" s="153" t="s">
        <v>429</v>
      </c>
      <c r="G24" s="203">
        <f>$G$16/G20</f>
        <v>3.1919629682390767</v>
      </c>
    </row>
  </sheetData>
  <mergeCells count="4">
    <mergeCell ref="B4:H4"/>
    <mergeCell ref="B13:D13"/>
    <mergeCell ref="H1:K1"/>
    <mergeCell ref="F2:K2"/>
  </mergeCells>
  <pageMargins left="0.70866141732283472" right="0.70866141732283472"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007A9-0BCB-4530-A9EE-602FEBFFDB6C}">
  <sheetPr>
    <tabColor rgb="FFFFFF00"/>
  </sheetPr>
  <dimension ref="A1:Q31"/>
  <sheetViews>
    <sheetView workbookViewId="0">
      <selection activeCell="G22" sqref="G22"/>
    </sheetView>
  </sheetViews>
  <sheetFormatPr defaultRowHeight="15" x14ac:dyDescent="0.25"/>
  <cols>
    <col min="1" max="1" width="11.7109375" customWidth="1"/>
    <col min="2" max="2" width="11.5703125" customWidth="1"/>
    <col min="3" max="3" width="11.7109375" customWidth="1"/>
    <col min="4" max="4" width="12.28515625" customWidth="1"/>
    <col min="5" max="5" width="29" customWidth="1"/>
    <col min="9" max="9" width="17.28515625" customWidth="1"/>
    <col min="11" max="11" width="18.42578125" customWidth="1"/>
    <col min="12" max="12" width="12.42578125" customWidth="1"/>
  </cols>
  <sheetData>
    <row r="1" spans="1:17" ht="15.75" x14ac:dyDescent="0.25">
      <c r="E1" s="100"/>
      <c r="F1" s="901"/>
      <c r="G1" s="901"/>
      <c r="H1" s="100"/>
      <c r="I1" s="1137" t="s">
        <v>1429</v>
      </c>
      <c r="J1" s="1137"/>
    </row>
    <row r="2" spans="1:17" ht="51.75" customHeight="1" x14ac:dyDescent="0.25">
      <c r="E2" s="1161" t="s">
        <v>1342</v>
      </c>
      <c r="F2" s="1161"/>
      <c r="G2" s="1161"/>
      <c r="H2" s="1161"/>
      <c r="I2" s="1161"/>
      <c r="J2" s="1161"/>
    </row>
    <row r="3" spans="1:17" ht="18.75" customHeight="1" x14ac:dyDescent="0.25">
      <c r="L3" s="1047"/>
      <c r="M3" s="1047"/>
      <c r="N3" s="1047"/>
      <c r="O3" s="1047"/>
      <c r="P3" s="1047"/>
      <c r="Q3" s="1047"/>
    </row>
    <row r="4" spans="1:17" ht="18.75" x14ac:dyDescent="0.3">
      <c r="A4" s="8" t="s">
        <v>1207</v>
      </c>
    </row>
    <row r="5" spans="1:17" ht="15.75" thickBot="1" x14ac:dyDescent="0.3"/>
    <row r="6" spans="1:17" ht="19.5" thickBot="1" x14ac:dyDescent="0.35">
      <c r="A6" s="656" t="s">
        <v>1002</v>
      </c>
      <c r="B6" s="654"/>
      <c r="C6" s="101"/>
      <c r="D6" s="101"/>
      <c r="E6" s="101"/>
      <c r="F6" s="101"/>
      <c r="G6" s="101"/>
      <c r="H6" s="102"/>
    </row>
    <row r="7" spans="1:17" s="578" customFormat="1" ht="18.75" x14ac:dyDescent="0.3">
      <c r="A7" s="572" t="s">
        <v>1023</v>
      </c>
      <c r="B7" s="655">
        <f>ROUND(E22,0)</f>
        <v>885120</v>
      </c>
      <c r="C7" s="900" t="s">
        <v>6</v>
      </c>
      <c r="D7" s="549"/>
      <c r="E7" s="549"/>
      <c r="F7" s="549"/>
      <c r="G7" s="549"/>
      <c r="H7" s="550"/>
    </row>
    <row r="8" spans="1:17" s="578" customFormat="1" ht="18.75" x14ac:dyDescent="0.3">
      <c r="A8" s="572" t="s">
        <v>1024</v>
      </c>
      <c r="B8" s="655">
        <f>ROUND(E23,0)</f>
        <v>885120</v>
      </c>
      <c r="C8" s="900" t="s">
        <v>6</v>
      </c>
      <c r="D8" s="549"/>
      <c r="E8" s="549"/>
      <c r="F8" s="549"/>
      <c r="G8" s="549"/>
      <c r="H8" s="550"/>
    </row>
    <row r="9" spans="1:17" s="578" customFormat="1" ht="18.75" x14ac:dyDescent="0.3">
      <c r="A9" s="572" t="s">
        <v>1025</v>
      </c>
      <c r="B9" s="655">
        <f t="shared" ref="B9:B14" si="0">ROUND(E24,0)</f>
        <v>1062144</v>
      </c>
      <c r="C9" s="900" t="s">
        <v>6</v>
      </c>
      <c r="D9" s="549"/>
      <c r="E9" s="549"/>
      <c r="F9" s="549"/>
      <c r="G9" s="549"/>
      <c r="H9" s="550"/>
    </row>
    <row r="10" spans="1:17" s="578" customFormat="1" ht="18.75" x14ac:dyDescent="0.3">
      <c r="A10" s="572" t="s">
        <v>1026</v>
      </c>
      <c r="B10" s="655">
        <f t="shared" si="0"/>
        <v>1062144</v>
      </c>
      <c r="C10" s="900" t="s">
        <v>6</v>
      </c>
      <c r="D10" s="549"/>
      <c r="E10" s="549"/>
      <c r="F10" s="549"/>
      <c r="G10" s="549"/>
      <c r="H10" s="550"/>
    </row>
    <row r="11" spans="1:17" s="578" customFormat="1" ht="18.75" x14ac:dyDescent="0.3">
      <c r="A11" s="572" t="s">
        <v>1027</v>
      </c>
      <c r="B11" s="655">
        <f t="shared" si="0"/>
        <v>1239168</v>
      </c>
      <c r="C11" s="900" t="s">
        <v>6</v>
      </c>
      <c r="D11" s="549"/>
      <c r="E11" s="549"/>
      <c r="F11" s="549"/>
      <c r="G11" s="549"/>
      <c r="H11" s="550"/>
    </row>
    <row r="12" spans="1:17" s="578" customFormat="1" ht="18.75" x14ac:dyDescent="0.3">
      <c r="A12" s="572" t="s">
        <v>1146</v>
      </c>
      <c r="B12" s="655">
        <f t="shared" si="0"/>
        <v>1239168</v>
      </c>
      <c r="C12" s="900" t="s">
        <v>6</v>
      </c>
      <c r="D12" s="549"/>
      <c r="E12" s="549"/>
      <c r="F12" s="549"/>
      <c r="G12" s="549"/>
      <c r="H12" s="550"/>
    </row>
    <row r="13" spans="1:17" s="578" customFormat="1" ht="18.75" x14ac:dyDescent="0.3">
      <c r="A13" s="572" t="s">
        <v>1028</v>
      </c>
      <c r="B13" s="655">
        <f t="shared" si="0"/>
        <v>1416192</v>
      </c>
      <c r="C13" s="900" t="s">
        <v>6</v>
      </c>
      <c r="D13" s="549"/>
      <c r="E13" s="549"/>
      <c r="F13" s="549"/>
      <c r="G13" s="549"/>
      <c r="H13" s="550"/>
    </row>
    <row r="14" spans="1:17" s="578" customFormat="1" ht="18.75" x14ac:dyDescent="0.3">
      <c r="A14" s="572" t="s">
        <v>1147</v>
      </c>
      <c r="B14" s="655">
        <f t="shared" si="0"/>
        <v>1416192</v>
      </c>
      <c r="C14" s="900" t="s">
        <v>6</v>
      </c>
      <c r="D14" s="549"/>
      <c r="E14" s="549"/>
      <c r="F14" s="549"/>
      <c r="G14" s="549"/>
      <c r="H14" s="550"/>
    </row>
    <row r="15" spans="1:17" s="578" customFormat="1" ht="18.75" x14ac:dyDescent="0.3">
      <c r="A15" s="547"/>
      <c r="B15" s="548"/>
      <c r="C15" s="549"/>
      <c r="D15" s="549"/>
      <c r="E15" s="549"/>
      <c r="F15" s="549"/>
      <c r="G15" s="549"/>
      <c r="H15" s="550"/>
    </row>
    <row r="17" spans="2:6" ht="70.5" customHeight="1" x14ac:dyDescent="0.25">
      <c r="B17" s="1165" t="s">
        <v>1029</v>
      </c>
      <c r="C17" s="1165"/>
      <c r="D17" s="1165"/>
      <c r="E17" s="1165"/>
      <c r="F17" s="1165"/>
    </row>
    <row r="18" spans="2:6" ht="15" customHeight="1" x14ac:dyDescent="0.25">
      <c r="B18" s="1164" t="s">
        <v>1016</v>
      </c>
      <c r="C18" s="1164"/>
      <c r="D18" s="1164"/>
      <c r="E18" s="1164"/>
      <c r="F18" s="568">
        <f>'3.3.1.'!H72</f>
        <v>1180.1600000000001</v>
      </c>
    </row>
    <row r="19" spans="2:6" ht="15.75" x14ac:dyDescent="0.25">
      <c r="B19" s="100"/>
      <c r="C19" s="100"/>
      <c r="D19" s="100"/>
      <c r="E19" s="100"/>
      <c r="F19" s="100"/>
    </row>
    <row r="20" spans="2:6" ht="60.75" x14ac:dyDescent="0.25">
      <c r="B20" s="1162" t="s">
        <v>1017</v>
      </c>
      <c r="C20" s="1162" t="s">
        <v>1018</v>
      </c>
      <c r="D20" s="573" t="s">
        <v>1019</v>
      </c>
      <c r="E20" s="569" t="s">
        <v>1020</v>
      </c>
      <c r="F20" s="570" t="s">
        <v>1021</v>
      </c>
    </row>
    <row r="21" spans="2:6" ht="21" x14ac:dyDescent="0.25">
      <c r="B21" s="1163"/>
      <c r="C21" s="1163"/>
      <c r="D21" s="574">
        <v>1</v>
      </c>
      <c r="E21" s="571">
        <v>2</v>
      </c>
      <c r="F21" s="571" t="s">
        <v>1022</v>
      </c>
    </row>
    <row r="22" spans="2:6" ht="15.75" x14ac:dyDescent="0.25">
      <c r="B22" s="105">
        <v>1</v>
      </c>
      <c r="C22" s="572" t="s">
        <v>1023</v>
      </c>
      <c r="D22" s="575">
        <f>750</f>
        <v>750</v>
      </c>
      <c r="E22" s="576">
        <f>D22*$F$18</f>
        <v>885120.00000000012</v>
      </c>
      <c r="F22" s="577">
        <f>D22+(D22*2)</f>
        <v>2250</v>
      </c>
    </row>
    <row r="23" spans="2:6" ht="15.75" x14ac:dyDescent="0.25">
      <c r="B23" s="105">
        <v>2</v>
      </c>
      <c r="C23" s="572" t="s">
        <v>1024</v>
      </c>
      <c r="D23" s="575">
        <v>750</v>
      </c>
      <c r="E23" s="576">
        <f t="shared" ref="E23:E29" si="1">D23*$F$18</f>
        <v>885120.00000000012</v>
      </c>
      <c r="F23" s="577">
        <f t="shared" ref="F23:F28" si="2">D23+(D23*2)</f>
        <v>2250</v>
      </c>
    </row>
    <row r="24" spans="2:6" ht="15.75" x14ac:dyDescent="0.25">
      <c r="B24" s="105">
        <v>3</v>
      </c>
      <c r="C24" s="572" t="s">
        <v>1025</v>
      </c>
      <c r="D24" s="575">
        <v>900</v>
      </c>
      <c r="E24" s="576">
        <f t="shared" si="1"/>
        <v>1062144</v>
      </c>
      <c r="F24" s="577">
        <f t="shared" si="2"/>
        <v>2700</v>
      </c>
    </row>
    <row r="25" spans="2:6" ht="15.75" x14ac:dyDescent="0.25">
      <c r="B25" s="105">
        <v>4</v>
      </c>
      <c r="C25" s="572" t="s">
        <v>1026</v>
      </c>
      <c r="D25" s="575">
        <v>900</v>
      </c>
      <c r="E25" s="576">
        <f t="shared" si="1"/>
        <v>1062144</v>
      </c>
      <c r="F25" s="577">
        <f t="shared" si="2"/>
        <v>2700</v>
      </c>
    </row>
    <row r="26" spans="2:6" ht="15.75" x14ac:dyDescent="0.25">
      <c r="B26" s="105">
        <v>5</v>
      </c>
      <c r="C26" s="572" t="s">
        <v>1027</v>
      </c>
      <c r="D26" s="575">
        <v>1050</v>
      </c>
      <c r="E26" s="576">
        <f t="shared" si="1"/>
        <v>1239168</v>
      </c>
      <c r="F26" s="577">
        <f t="shared" si="2"/>
        <v>3150</v>
      </c>
    </row>
    <row r="27" spans="2:6" ht="15.75" x14ac:dyDescent="0.25">
      <c r="B27" s="105">
        <v>6</v>
      </c>
      <c r="C27" s="572" t="s">
        <v>1146</v>
      </c>
      <c r="D27" s="575">
        <v>1050</v>
      </c>
      <c r="E27" s="576">
        <f t="shared" si="1"/>
        <v>1239168</v>
      </c>
      <c r="F27" s="577">
        <f t="shared" si="2"/>
        <v>3150</v>
      </c>
    </row>
    <row r="28" spans="2:6" ht="15.75" x14ac:dyDescent="0.25">
      <c r="B28" s="105">
        <v>7</v>
      </c>
      <c r="C28" s="572" t="s">
        <v>1028</v>
      </c>
      <c r="D28" s="575">
        <v>1200</v>
      </c>
      <c r="E28" s="576">
        <f t="shared" si="1"/>
        <v>1416192</v>
      </c>
      <c r="F28" s="577">
        <f t="shared" si="2"/>
        <v>3600</v>
      </c>
    </row>
    <row r="29" spans="2:6" ht="15.75" x14ac:dyDescent="0.25">
      <c r="B29" s="105">
        <v>8</v>
      </c>
      <c r="C29" s="572" t="s">
        <v>1147</v>
      </c>
      <c r="D29" s="575">
        <v>1200</v>
      </c>
      <c r="E29" s="576">
        <f t="shared" si="1"/>
        <v>1416192</v>
      </c>
      <c r="F29" s="577">
        <f>D29+(D29*2)</f>
        <v>3600</v>
      </c>
    </row>
    <row r="30" spans="2:6" ht="78.75" customHeight="1" x14ac:dyDescent="0.25">
      <c r="B30" s="1160" t="s">
        <v>1030</v>
      </c>
      <c r="C30" s="1160"/>
      <c r="D30" s="1160"/>
      <c r="E30" s="1160"/>
      <c r="F30" s="1160"/>
    </row>
    <row r="31" spans="2:6" ht="37.5" customHeight="1" x14ac:dyDescent="0.25">
      <c r="B31" s="1159" t="s">
        <v>1031</v>
      </c>
      <c r="C31" s="1159"/>
      <c r="D31" s="1159"/>
      <c r="E31" s="1159"/>
      <c r="F31" s="1159"/>
    </row>
  </sheetData>
  <mergeCells count="8">
    <mergeCell ref="B31:F31"/>
    <mergeCell ref="B30:F30"/>
    <mergeCell ref="I1:J1"/>
    <mergeCell ref="E2:J2"/>
    <mergeCell ref="C20:C21"/>
    <mergeCell ref="B20:B21"/>
    <mergeCell ref="B18:E18"/>
    <mergeCell ref="B17:F17"/>
  </mergeCells>
  <pageMargins left="0.70866141732283472" right="0.70866141732283472" top="0.74803149606299213" bottom="0.74803149606299213" header="0.31496062992125984" footer="0.31496062992125984"/>
  <pageSetup paperSize="9" scale="6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M59"/>
  <sheetViews>
    <sheetView showGridLines="0" zoomScale="90" zoomScaleNormal="90" workbookViewId="0">
      <pane ySplit="3" topLeftCell="A10" activePane="bottomLeft" state="frozen"/>
      <selection pane="bottomLeft" activeCell="L48" sqref="L48"/>
    </sheetView>
  </sheetViews>
  <sheetFormatPr defaultColWidth="11.5703125" defaultRowHeight="15" x14ac:dyDescent="0.25"/>
  <cols>
    <col min="1" max="1" width="7.28515625" style="2" customWidth="1"/>
    <col min="2" max="2" width="42.7109375" style="4" customWidth="1"/>
    <col min="3" max="3" width="33" style="4" customWidth="1"/>
    <col min="4" max="4" width="14.28515625" style="4" customWidth="1"/>
    <col min="5" max="6" width="13.5703125" style="4" customWidth="1"/>
    <col min="7" max="7" width="12.7109375" style="4" bestFit="1" customWidth="1"/>
    <col min="8" max="8" width="10.5703125" style="2" customWidth="1"/>
    <col min="9" max="9" width="11.5703125" style="2"/>
    <col min="10" max="10" width="18.42578125" style="2" customWidth="1"/>
    <col min="11" max="11" width="5.85546875" style="2" customWidth="1"/>
    <col min="12" max="12" width="18.140625" style="2" customWidth="1"/>
    <col min="13" max="13" width="42.7109375" style="2" customWidth="1"/>
    <col min="14" max="14" width="15.7109375" style="2" customWidth="1"/>
    <col min="15" max="15" width="17.5703125" style="2" customWidth="1"/>
    <col min="16" max="16" width="15.28515625" style="2" customWidth="1"/>
    <col min="17" max="17" width="15.140625" style="2" customWidth="1"/>
    <col min="18" max="18" width="13.85546875" style="2" customWidth="1"/>
    <col min="19" max="16384" width="11.5703125" style="2"/>
  </cols>
  <sheetData>
    <row r="1" spans="1:13" s="998" customFormat="1" ht="15.75" x14ac:dyDescent="0.25">
      <c r="B1" s="946"/>
      <c r="C1" s="946"/>
      <c r="D1" s="946"/>
      <c r="E1" s="946"/>
      <c r="F1" s="901"/>
      <c r="H1" s="1137" t="s">
        <v>1447</v>
      </c>
      <c r="I1" s="1137"/>
      <c r="J1" s="1137"/>
      <c r="K1" s="1137"/>
    </row>
    <row r="2" spans="1:13" s="998" customFormat="1" ht="45.75" customHeight="1" x14ac:dyDescent="0.25">
      <c r="B2" s="946"/>
      <c r="C2" s="946"/>
      <c r="D2" s="946"/>
      <c r="E2" s="946"/>
      <c r="F2" s="1161" t="s">
        <v>1342</v>
      </c>
      <c r="G2" s="1161"/>
      <c r="H2" s="1161"/>
      <c r="I2" s="1161"/>
      <c r="J2" s="1161"/>
      <c r="K2" s="1161"/>
    </row>
    <row r="4" spans="1:13" ht="20.25" x14ac:dyDescent="0.3">
      <c r="A4" s="22" t="s">
        <v>1338</v>
      </c>
      <c r="D4" s="2"/>
      <c r="E4" s="2"/>
      <c r="F4" s="2"/>
      <c r="G4" s="2"/>
    </row>
    <row r="5" spans="1:13" ht="21" thickBot="1" x14ac:dyDescent="0.35">
      <c r="A5" s="22"/>
      <c r="D5" s="2"/>
      <c r="E5" s="2"/>
      <c r="F5" s="2"/>
      <c r="G5" s="2"/>
    </row>
    <row r="6" spans="1:13" ht="21" thickBot="1" x14ac:dyDescent="0.35">
      <c r="A6" s="22"/>
      <c r="B6" s="23" t="s">
        <v>12</v>
      </c>
      <c r="C6" s="24"/>
      <c r="D6" s="25"/>
      <c r="E6" s="25"/>
      <c r="F6" s="26">
        <f>ROUND(F29+F35+F52+F58,0)</f>
        <v>70196</v>
      </c>
      <c r="G6" s="27" t="s">
        <v>6</v>
      </c>
    </row>
    <row r="7" spans="1:13" ht="20.25" x14ac:dyDescent="0.3">
      <c r="A7" s="5"/>
      <c r="B7" s="2"/>
      <c r="C7" s="6"/>
      <c r="D7" s="6"/>
      <c r="E7" s="6"/>
      <c r="F7" s="6"/>
    </row>
    <row r="8" spans="1:13" ht="19.5" x14ac:dyDescent="0.3">
      <c r="A8" s="447" t="s">
        <v>912</v>
      </c>
      <c r="B8" s="446"/>
      <c r="C8" s="446"/>
      <c r="D8" s="446"/>
      <c r="E8" s="446"/>
      <c r="F8" s="446"/>
      <c r="G8" s="446"/>
      <c r="H8" s="446"/>
      <c r="I8" s="446"/>
      <c r="J8" s="446"/>
    </row>
    <row r="9" spans="1:13" ht="8.25" customHeight="1" x14ac:dyDescent="0.3">
      <c r="A9" s="447"/>
      <c r="B9" s="446"/>
      <c r="C9" s="446"/>
      <c r="D9" s="446"/>
      <c r="E9" s="446"/>
      <c r="F9" s="446"/>
      <c r="G9" s="446"/>
      <c r="H9" s="446"/>
      <c r="I9" s="446"/>
      <c r="J9" s="446"/>
    </row>
    <row r="10" spans="1:13" ht="12" customHeight="1" x14ac:dyDescent="0.3">
      <c r="A10" s="21"/>
      <c r="B10" s="446"/>
      <c r="D10" s="2"/>
      <c r="E10" s="2"/>
      <c r="F10" s="2"/>
      <c r="G10" s="2"/>
    </row>
    <row r="11" spans="1:13" ht="20.25" x14ac:dyDescent="0.25">
      <c r="B11" s="1471" t="s">
        <v>13</v>
      </c>
      <c r="C11" s="1471"/>
      <c r="D11" s="6"/>
      <c r="E11" s="6"/>
      <c r="F11" s="6"/>
    </row>
    <row r="12" spans="1:13" ht="15" customHeight="1" x14ac:dyDescent="0.25">
      <c r="B12" s="1474" t="s">
        <v>14</v>
      </c>
      <c r="C12" s="1474"/>
      <c r="D12" s="1474"/>
      <c r="E12" s="1474"/>
      <c r="F12" s="1474"/>
      <c r="G12" s="1474"/>
      <c r="H12" s="1474"/>
      <c r="I12" s="1474"/>
      <c r="J12" s="1474"/>
      <c r="K12" s="1474"/>
      <c r="L12" s="1474"/>
      <c r="M12" s="1474"/>
    </row>
    <row r="13" spans="1:13" ht="19.5" customHeight="1" x14ac:dyDescent="0.25">
      <c r="B13" s="1474"/>
      <c r="C13" s="1474"/>
      <c r="D13" s="1474"/>
      <c r="E13" s="1474"/>
      <c r="F13" s="1474"/>
      <c r="G13" s="1474"/>
      <c r="H13" s="1474"/>
      <c r="I13" s="1474"/>
      <c r="J13" s="1474"/>
      <c r="K13" s="1474"/>
      <c r="L13" s="1474"/>
      <c r="M13" s="1474"/>
    </row>
    <row r="14" spans="1:13" ht="42.75" x14ac:dyDescent="0.25">
      <c r="B14" s="31" t="s">
        <v>15</v>
      </c>
      <c r="C14" s="32" t="s">
        <v>16</v>
      </c>
      <c r="D14" s="32" t="s">
        <v>17</v>
      </c>
      <c r="E14" s="32" t="s">
        <v>18</v>
      </c>
      <c r="F14" s="6"/>
    </row>
    <row r="15" spans="1:13" x14ac:dyDescent="0.25">
      <c r="B15" s="33" t="s">
        <v>19</v>
      </c>
      <c r="C15" s="34">
        <v>800</v>
      </c>
      <c r="D15" s="35">
        <v>40000</v>
      </c>
      <c r="E15" s="33">
        <f>C15/D15</f>
        <v>0.02</v>
      </c>
      <c r="F15" s="6"/>
    </row>
    <row r="16" spans="1:13" ht="30" x14ac:dyDescent="0.25">
      <c r="B16" s="36" t="s">
        <v>20</v>
      </c>
      <c r="C16" s="34">
        <v>650</v>
      </c>
      <c r="D16" s="35">
        <v>40000</v>
      </c>
      <c r="E16" s="33">
        <f>C16/D16</f>
        <v>1.6250000000000001E-2</v>
      </c>
      <c r="F16" s="6"/>
    </row>
    <row r="17" spans="2:8" x14ac:dyDescent="0.25">
      <c r="B17" s="6"/>
      <c r="C17" s="6"/>
      <c r="D17" s="6"/>
      <c r="E17" s="37">
        <f>SUM(E15:E16)</f>
        <v>3.6250000000000004E-2</v>
      </c>
      <c r="F17" s="6"/>
    </row>
    <row r="18" spans="2:8" ht="19.5" x14ac:dyDescent="0.35">
      <c r="B18" s="30"/>
      <c r="C18" s="6"/>
      <c r="D18" s="6"/>
      <c r="E18" s="38"/>
      <c r="F18" s="6"/>
    </row>
    <row r="19" spans="2:8" ht="42.75" x14ac:dyDescent="0.25">
      <c r="B19" s="31" t="s">
        <v>21</v>
      </c>
      <c r="C19" s="32" t="s">
        <v>22</v>
      </c>
      <c r="D19" s="32" t="s">
        <v>23</v>
      </c>
      <c r="E19" s="32" t="s">
        <v>24</v>
      </c>
      <c r="F19" s="6"/>
    </row>
    <row r="20" spans="2:8" x14ac:dyDescent="0.25">
      <c r="B20" s="33"/>
      <c r="C20" s="34">
        <v>7</v>
      </c>
      <c r="D20" s="39">
        <v>1.32</v>
      </c>
      <c r="E20" s="33">
        <f>C20/100*D20</f>
        <v>9.240000000000001E-2</v>
      </c>
      <c r="F20" s="6"/>
    </row>
    <row r="21" spans="2:8" x14ac:dyDescent="0.25">
      <c r="B21" s="6"/>
      <c r="C21" s="6"/>
      <c r="D21" s="6"/>
      <c r="E21" s="37">
        <f>SUM(E20)</f>
        <v>9.240000000000001E-2</v>
      </c>
      <c r="F21" s="6"/>
    </row>
    <row r="22" spans="2:8" x14ac:dyDescent="0.25">
      <c r="B22" s="6"/>
      <c r="C22" s="6"/>
      <c r="D22" s="6"/>
      <c r="E22" s="6"/>
      <c r="F22" s="6"/>
    </row>
    <row r="23" spans="2:8" ht="57" x14ac:dyDescent="0.25">
      <c r="B23" s="40" t="s">
        <v>25</v>
      </c>
      <c r="C23" s="32" t="s">
        <v>26</v>
      </c>
      <c r="D23" s="32" t="s">
        <v>27</v>
      </c>
      <c r="E23" s="32" t="s">
        <v>28</v>
      </c>
      <c r="F23" s="32" t="s">
        <v>29</v>
      </c>
      <c r="G23" s="32" t="s">
        <v>30</v>
      </c>
    </row>
    <row r="24" spans="2:8" x14ac:dyDescent="0.25">
      <c r="B24" s="33" t="s">
        <v>31</v>
      </c>
      <c r="C24" s="41">
        <v>106</v>
      </c>
      <c r="D24" s="35">
        <v>10</v>
      </c>
      <c r="E24" s="35">
        <v>6</v>
      </c>
      <c r="F24" s="35">
        <f>D24*2*C24*E24</f>
        <v>12720</v>
      </c>
      <c r="G24" s="35">
        <f>C24*E24</f>
        <v>636</v>
      </c>
    </row>
    <row r="25" spans="2:8" x14ac:dyDescent="0.25">
      <c r="B25" s="33" t="s">
        <v>32</v>
      </c>
      <c r="C25" s="41">
        <v>47</v>
      </c>
      <c r="D25" s="35">
        <v>50</v>
      </c>
      <c r="E25" s="35">
        <v>6</v>
      </c>
      <c r="F25" s="35">
        <f>D25*2*C25*E25</f>
        <v>28200</v>
      </c>
      <c r="G25" s="35">
        <f>C25*E25</f>
        <v>282</v>
      </c>
    </row>
    <row r="26" spans="2:8" x14ac:dyDescent="0.25">
      <c r="B26" s="33" t="s">
        <v>33</v>
      </c>
      <c r="C26" s="41">
        <f>186-C24-C25</f>
        <v>33</v>
      </c>
      <c r="D26" s="35">
        <v>200</v>
      </c>
      <c r="E26" s="35">
        <v>6</v>
      </c>
      <c r="F26" s="35">
        <f>D26*2*C26*E26</f>
        <v>79200</v>
      </c>
      <c r="G26" s="35">
        <f>C26*E26</f>
        <v>198</v>
      </c>
    </row>
    <row r="27" spans="2:8" x14ac:dyDescent="0.25">
      <c r="B27" s="6"/>
      <c r="C27" s="6"/>
      <c r="D27" s="6"/>
      <c r="E27" s="6"/>
      <c r="F27" s="42">
        <f>SUM(F24:F26)</f>
        <v>120120</v>
      </c>
    </row>
    <row r="28" spans="2:8" x14ac:dyDescent="0.25">
      <c r="B28" s="6"/>
      <c r="C28" s="6"/>
      <c r="D28" s="6"/>
      <c r="E28" s="6"/>
      <c r="F28" s="6"/>
    </row>
    <row r="29" spans="2:8" ht="18.75" x14ac:dyDescent="0.3">
      <c r="B29" s="43" t="s">
        <v>34</v>
      </c>
      <c r="C29" s="43"/>
      <c r="D29" s="43"/>
      <c r="E29" s="43"/>
      <c r="F29" s="44">
        <f>F27*(E17+E21)</f>
        <v>15453.438000000002</v>
      </c>
    </row>
    <row r="31" spans="2:8" ht="57" x14ac:dyDescent="0.25">
      <c r="B31" s="1470" t="s">
        <v>35</v>
      </c>
      <c r="C31" s="32" t="s">
        <v>36</v>
      </c>
      <c r="D31" s="32" t="s">
        <v>37</v>
      </c>
      <c r="E31" s="32" t="s">
        <v>38</v>
      </c>
      <c r="F31" s="32" t="s">
        <v>39</v>
      </c>
      <c r="G31" s="32" t="s">
        <v>40</v>
      </c>
      <c r="H31" s="32" t="s">
        <v>41</v>
      </c>
    </row>
    <row r="32" spans="2:8" x14ac:dyDescent="0.25">
      <c r="B32" s="1470"/>
      <c r="C32" s="45">
        <v>995</v>
      </c>
      <c r="D32" s="46">
        <f>C32/21/8</f>
        <v>5.9226190476190474</v>
      </c>
      <c r="E32" s="45">
        <v>95</v>
      </c>
      <c r="F32" s="45">
        <f>E32*(G24+G25+G26)</f>
        <v>106020</v>
      </c>
      <c r="G32" s="45">
        <f>F32/60</f>
        <v>1767</v>
      </c>
      <c r="H32" s="45">
        <f>G32*D32</f>
        <v>10465.267857142857</v>
      </c>
    </row>
    <row r="33" spans="1:8" x14ac:dyDescent="0.25">
      <c r="H33" s="47">
        <f>H32</f>
        <v>10465.267857142857</v>
      </c>
    </row>
    <row r="35" spans="1:8" ht="18.75" x14ac:dyDescent="0.3">
      <c r="B35" s="43" t="s">
        <v>42</v>
      </c>
      <c r="C35" s="43"/>
      <c r="D35" s="43"/>
      <c r="E35" s="43"/>
      <c r="F35" s="44">
        <f>H33</f>
        <v>10465.267857142857</v>
      </c>
    </row>
    <row r="36" spans="1:8" x14ac:dyDescent="0.25">
      <c r="B36" s="48"/>
      <c r="C36" s="48"/>
      <c r="D36" s="48"/>
      <c r="E36" s="48"/>
      <c r="F36" s="48"/>
      <c r="G36" s="48"/>
    </row>
    <row r="37" spans="1:8" ht="19.5" x14ac:dyDescent="0.3">
      <c r="A37" s="28" t="s">
        <v>43</v>
      </c>
      <c r="D37" s="2"/>
      <c r="E37" s="2"/>
      <c r="F37" s="2"/>
      <c r="G37" s="2"/>
    </row>
    <row r="39" spans="1:8" ht="42.75" x14ac:dyDescent="0.25">
      <c r="B39" s="31" t="s">
        <v>15</v>
      </c>
      <c r="C39" s="32" t="s">
        <v>16</v>
      </c>
      <c r="D39" s="32" t="s">
        <v>17</v>
      </c>
      <c r="E39" s="32" t="s">
        <v>18</v>
      </c>
    </row>
    <row r="40" spans="1:8" x14ac:dyDescent="0.25">
      <c r="B40" s="33" t="s">
        <v>19</v>
      </c>
      <c r="C40" s="34">
        <v>800</v>
      </c>
      <c r="D40" s="35">
        <v>40000</v>
      </c>
      <c r="E40" s="33">
        <f>C40/D40</f>
        <v>0.02</v>
      </c>
    </row>
    <row r="41" spans="1:8" ht="30" x14ac:dyDescent="0.25">
      <c r="B41" s="36" t="s">
        <v>20</v>
      </c>
      <c r="C41" s="34">
        <v>650</v>
      </c>
      <c r="D41" s="35">
        <v>40000</v>
      </c>
      <c r="E41" s="33">
        <f>C41/D41</f>
        <v>1.6250000000000001E-2</v>
      </c>
    </row>
    <row r="42" spans="1:8" x14ac:dyDescent="0.25">
      <c r="B42" s="6"/>
      <c r="C42" s="6"/>
      <c r="D42" s="6"/>
      <c r="E42" s="37">
        <f>SUM(E40:E41)</f>
        <v>3.6250000000000004E-2</v>
      </c>
    </row>
    <row r="44" spans="1:8" ht="42.75" x14ac:dyDescent="0.25">
      <c r="B44" s="31" t="s">
        <v>21</v>
      </c>
      <c r="C44" s="32" t="s">
        <v>22</v>
      </c>
      <c r="D44" s="32" t="s">
        <v>23</v>
      </c>
      <c r="E44" s="32" t="s">
        <v>24</v>
      </c>
    </row>
    <row r="45" spans="1:8" x14ac:dyDescent="0.25">
      <c r="B45" s="33"/>
      <c r="C45" s="34">
        <v>7</v>
      </c>
      <c r="D45" s="39">
        <v>1.32</v>
      </c>
      <c r="E45" s="33">
        <f>C45/100*D45</f>
        <v>9.240000000000001E-2</v>
      </c>
    </row>
    <row r="46" spans="1:8" x14ac:dyDescent="0.25">
      <c r="B46" s="6"/>
      <c r="C46" s="6"/>
      <c r="D46" s="6"/>
      <c r="E46" s="37">
        <f>SUM(E45)</f>
        <v>9.240000000000001E-2</v>
      </c>
    </row>
    <row r="48" spans="1:8" ht="71.25" x14ac:dyDescent="0.25">
      <c r="B48" s="1472" t="s">
        <v>25</v>
      </c>
      <c r="C48" s="32" t="s">
        <v>44</v>
      </c>
      <c r="D48" s="32" t="s">
        <v>45</v>
      </c>
      <c r="E48" s="32" t="s">
        <v>46</v>
      </c>
      <c r="F48" s="32" t="s">
        <v>27</v>
      </c>
      <c r="G48" s="32" t="s">
        <v>29</v>
      </c>
    </row>
    <row r="49" spans="2:9" x14ac:dyDescent="0.25">
      <c r="B49" s="1473"/>
      <c r="C49" s="45">
        <v>3153</v>
      </c>
      <c r="D49" s="45">
        <f>C49*0.1</f>
        <v>315.3</v>
      </c>
      <c r="E49" s="45">
        <f>D49*4</f>
        <v>1261.2</v>
      </c>
      <c r="F49" s="45">
        <v>100</v>
      </c>
      <c r="G49" s="49">
        <f>F49*2*E49</f>
        <v>252240</v>
      </c>
    </row>
    <row r="50" spans="2:9" x14ac:dyDescent="0.25">
      <c r="B50" s="6"/>
      <c r="C50" s="6"/>
      <c r="D50" s="2"/>
      <c r="E50" s="2"/>
      <c r="F50" s="2"/>
      <c r="G50" s="47">
        <f>SUM(G49:G49)</f>
        <v>252240</v>
      </c>
    </row>
    <row r="52" spans="2:9" ht="18.75" x14ac:dyDescent="0.3">
      <c r="B52" s="43" t="s">
        <v>34</v>
      </c>
      <c r="C52" s="43"/>
      <c r="D52" s="43"/>
      <c r="E52" s="43"/>
      <c r="F52" s="44">
        <f>G50*(E46+E42)</f>
        <v>32450.676000000003</v>
      </c>
    </row>
    <row r="54" spans="2:9" ht="57" x14ac:dyDescent="0.25">
      <c r="B54" s="1470" t="s">
        <v>35</v>
      </c>
      <c r="C54" s="32" t="s">
        <v>36</v>
      </c>
      <c r="D54" s="32" t="s">
        <v>37</v>
      </c>
      <c r="E54" s="32" t="s">
        <v>38</v>
      </c>
      <c r="F54" s="32" t="s">
        <v>39</v>
      </c>
      <c r="G54" s="32" t="s">
        <v>40</v>
      </c>
      <c r="H54" s="32" t="s">
        <v>41</v>
      </c>
    </row>
    <row r="55" spans="2:9" x14ac:dyDescent="0.25">
      <c r="B55" s="1470"/>
      <c r="C55" s="45">
        <v>995</v>
      </c>
      <c r="D55" s="46">
        <f>C55/21/8</f>
        <v>5.9226190476190474</v>
      </c>
      <c r="E55" s="45">
        <v>95</v>
      </c>
      <c r="F55" s="45">
        <f>E55*E49</f>
        <v>119814</v>
      </c>
      <c r="G55" s="45">
        <f>F55/60</f>
        <v>1996.9</v>
      </c>
      <c r="H55" s="45">
        <f>G55*D55</f>
        <v>11826.877976190477</v>
      </c>
    </row>
    <row r="56" spans="2:9" x14ac:dyDescent="0.25">
      <c r="H56" s="47">
        <f>H55</f>
        <v>11826.877976190477</v>
      </c>
    </row>
    <row r="58" spans="2:9" ht="18.75" x14ac:dyDescent="0.3">
      <c r="B58" s="43" t="s">
        <v>47</v>
      </c>
      <c r="C58" s="43"/>
      <c r="D58" s="43"/>
      <c r="E58" s="43"/>
      <c r="F58" s="44">
        <f>H56</f>
        <v>11826.877976190477</v>
      </c>
    </row>
    <row r="59" spans="2:9" x14ac:dyDescent="0.25">
      <c r="B59" s="2"/>
      <c r="C59" s="2"/>
      <c r="D59" s="2"/>
      <c r="E59" s="2"/>
      <c r="F59" s="2"/>
      <c r="G59" s="2"/>
      <c r="I59" s="2" t="s">
        <v>48</v>
      </c>
    </row>
  </sheetData>
  <mergeCells count="7">
    <mergeCell ref="H1:K1"/>
    <mergeCell ref="F2:K2"/>
    <mergeCell ref="B54:B55"/>
    <mergeCell ref="B11:C11"/>
    <mergeCell ref="B31:B32"/>
    <mergeCell ref="B48:B49"/>
    <mergeCell ref="B12:M13"/>
  </mergeCells>
  <pageMargins left="0.70866141732283472" right="0.70866141732283472" top="0.74803149606299213" bottom="0.74803149606299213" header="0.31496062992125984" footer="0.31496062992125984"/>
  <pageSetup paperSize="9" scale="5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M24"/>
  <sheetViews>
    <sheetView showGridLines="0" topLeftCell="B1" zoomScale="90" zoomScaleNormal="90" workbookViewId="0">
      <pane ySplit="3" topLeftCell="A4" activePane="bottomLeft" state="frozen"/>
      <selection pane="bottomLeft" activeCell="D14" sqref="D14"/>
    </sheetView>
  </sheetViews>
  <sheetFormatPr defaultColWidth="11.5703125" defaultRowHeight="15" x14ac:dyDescent="0.25"/>
  <cols>
    <col min="1" max="1" width="3.140625" style="2" customWidth="1"/>
    <col min="2" max="2" width="7.28515625" style="2" customWidth="1"/>
    <col min="3" max="3" width="42.7109375" style="4" customWidth="1"/>
    <col min="4" max="4" width="33" style="4" customWidth="1"/>
    <col min="5" max="5" width="14.28515625" style="4" customWidth="1"/>
    <col min="6" max="7" width="13.5703125" style="4" customWidth="1"/>
    <col min="8" max="8" width="12.7109375" style="4" bestFit="1" customWidth="1"/>
    <col min="9" max="9" width="10.5703125" style="2" customWidth="1"/>
    <col min="10" max="10" width="11.5703125" style="2"/>
    <col min="11" max="11" width="12.42578125" style="2" customWidth="1"/>
    <col min="12" max="12" width="14.140625" style="2" customWidth="1"/>
    <col min="13" max="13" width="13.7109375" style="2" customWidth="1"/>
    <col min="14" max="16384" width="11.5703125" style="2"/>
  </cols>
  <sheetData>
    <row r="1" spans="2:10" s="998" customFormat="1" ht="15.75" x14ac:dyDescent="0.25">
      <c r="C1" s="946"/>
      <c r="D1" s="946"/>
      <c r="E1" s="901"/>
      <c r="G1" s="1137" t="s">
        <v>1448</v>
      </c>
      <c r="H1" s="1137"/>
      <c r="I1" s="1137"/>
      <c r="J1" s="1137"/>
    </row>
    <row r="2" spans="2:10" s="998" customFormat="1" ht="43.5" customHeight="1" x14ac:dyDescent="0.25">
      <c r="C2" s="946"/>
      <c r="D2" s="946"/>
      <c r="E2" s="1161" t="s">
        <v>1342</v>
      </c>
      <c r="F2" s="1161"/>
      <c r="G2" s="1161"/>
      <c r="H2" s="1161"/>
      <c r="I2" s="1161"/>
      <c r="J2" s="1161"/>
    </row>
    <row r="4" spans="2:10" x14ac:dyDescent="0.25">
      <c r="B4" s="3"/>
      <c r="E4" s="2"/>
      <c r="F4" s="2"/>
      <c r="G4" s="2"/>
      <c r="H4" s="2"/>
    </row>
    <row r="5" spans="2:10" ht="15" customHeight="1" x14ac:dyDescent="0.3">
      <c r="B5" s="5" t="s">
        <v>1339</v>
      </c>
      <c r="C5" s="2"/>
      <c r="D5" s="6"/>
      <c r="E5" s="6"/>
      <c r="F5" s="6"/>
      <c r="G5" s="6"/>
    </row>
    <row r="6" spans="2:10" ht="15" customHeight="1" x14ac:dyDescent="0.3">
      <c r="B6" s="5"/>
      <c r="C6" s="2"/>
      <c r="D6" s="6"/>
      <c r="E6" s="6"/>
      <c r="F6" s="6"/>
      <c r="G6" s="6"/>
    </row>
    <row r="7" spans="2:10" ht="15" customHeight="1" thickBot="1" x14ac:dyDescent="0.35">
      <c r="B7" s="5"/>
      <c r="C7" s="2"/>
      <c r="D7" s="6"/>
      <c r="E7" s="6"/>
      <c r="F7" s="6"/>
      <c r="G7" s="6"/>
    </row>
    <row r="8" spans="2:10" ht="21" thickBot="1" x14ac:dyDescent="0.35">
      <c r="B8" s="5"/>
      <c r="C8" s="1475" t="s">
        <v>5</v>
      </c>
      <c r="D8" s="1476"/>
      <c r="E8" s="7">
        <f>ROUND(G16,0)</f>
        <v>30634</v>
      </c>
      <c r="F8" s="8" t="s">
        <v>6</v>
      </c>
      <c r="G8" s="6"/>
    </row>
    <row r="9" spans="2:10" ht="20.25" x14ac:dyDescent="0.3">
      <c r="B9" s="5"/>
      <c r="C9" s="9"/>
      <c r="D9" s="9"/>
      <c r="E9" s="10"/>
      <c r="F9" s="6"/>
      <c r="G9" s="6"/>
    </row>
    <row r="10" spans="2:10" ht="20.25" customHeight="1" x14ac:dyDescent="0.25">
      <c r="C10" s="1477" t="s">
        <v>7</v>
      </c>
      <c r="D10" s="1477"/>
      <c r="E10" s="2"/>
      <c r="F10" s="2"/>
      <c r="G10" s="2"/>
    </row>
    <row r="11" spans="2:10" ht="74.25" customHeight="1" x14ac:dyDescent="0.25">
      <c r="C11" s="1478" t="s">
        <v>8</v>
      </c>
      <c r="D11" s="1478"/>
      <c r="E11" s="2"/>
      <c r="F11" s="2"/>
      <c r="G11" s="2"/>
    </row>
    <row r="12" spans="2:10" x14ac:dyDescent="0.25">
      <c r="C12" s="2"/>
      <c r="D12" s="2"/>
      <c r="E12" s="2"/>
      <c r="F12" s="2"/>
      <c r="G12" s="2"/>
    </row>
    <row r="13" spans="2:10" ht="34.5" customHeight="1" x14ac:dyDescent="0.25">
      <c r="C13" s="799" t="s">
        <v>9</v>
      </c>
      <c r="D13" s="800">
        <v>27234</v>
      </c>
      <c r="E13" s="12"/>
      <c r="F13" s="12"/>
      <c r="G13" s="12"/>
      <c r="H13" s="12"/>
    </row>
    <row r="14" spans="2:10" ht="63.75" customHeight="1" x14ac:dyDescent="0.25">
      <c r="C14" s="11" t="s">
        <v>10</v>
      </c>
      <c r="D14" s="13">
        <v>57867.55</v>
      </c>
      <c r="E14" s="12"/>
      <c r="F14" s="12"/>
      <c r="G14" s="12"/>
      <c r="H14" s="12"/>
    </row>
    <row r="15" spans="2:10" ht="17.25" customHeight="1" x14ac:dyDescent="0.25">
      <c r="C15" s="14"/>
      <c r="D15" s="15"/>
      <c r="E15" s="12"/>
      <c r="F15" s="12"/>
      <c r="G15" s="12"/>
      <c r="H15" s="12"/>
    </row>
    <row r="16" spans="2:10" ht="18.75" x14ac:dyDescent="0.3">
      <c r="C16" s="16" t="s">
        <v>11</v>
      </c>
      <c r="D16" s="17"/>
      <c r="E16" s="18"/>
      <c r="F16" s="19"/>
      <c r="G16" s="20">
        <f>D14-D13</f>
        <v>30633.550000000003</v>
      </c>
      <c r="H16" s="12"/>
    </row>
    <row r="24" spans="1:13" s="4" customFormat="1" x14ac:dyDescent="0.25">
      <c r="A24" s="2"/>
      <c r="B24" s="2"/>
      <c r="C24" s="2"/>
      <c r="I24" s="2"/>
      <c r="J24" s="2"/>
      <c r="K24" s="2"/>
      <c r="L24" s="2"/>
      <c r="M24" s="2"/>
    </row>
  </sheetData>
  <mergeCells count="5">
    <mergeCell ref="C8:D8"/>
    <mergeCell ref="C10:D10"/>
    <mergeCell ref="C11:D11"/>
    <mergeCell ref="G1:J1"/>
    <mergeCell ref="E2:J2"/>
  </mergeCells>
  <pageMargins left="0.70866141732283472" right="0.70866141732283472" top="0.74803149606299213" bottom="0.74803149606299213" header="0.31496062992125984" footer="0.31496062992125984"/>
  <pageSetup paperSize="9" scale="6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933D1-6B93-42D9-B7F9-405D11710880}">
  <sheetPr>
    <tabColor rgb="FFFFFF00"/>
  </sheetPr>
  <dimension ref="B1:M7"/>
  <sheetViews>
    <sheetView workbookViewId="0">
      <selection activeCell="T1" sqref="T1"/>
    </sheetView>
  </sheetViews>
  <sheetFormatPr defaultRowHeight="15" x14ac:dyDescent="0.25"/>
  <cols>
    <col min="2" max="2" width="21.5703125" customWidth="1"/>
    <col min="10" max="10" width="49.42578125" customWidth="1"/>
    <col min="11" max="11" width="18.28515625" customWidth="1"/>
  </cols>
  <sheetData>
    <row r="1" spans="2:13" ht="15.75" x14ac:dyDescent="0.25">
      <c r="G1" s="901"/>
      <c r="H1" s="998"/>
      <c r="I1" s="1137" t="s">
        <v>1449</v>
      </c>
      <c r="J1" s="1137"/>
      <c r="K1" s="1137"/>
      <c r="L1" s="1137"/>
    </row>
    <row r="2" spans="2:13" ht="30" customHeight="1" x14ac:dyDescent="0.25">
      <c r="G2" s="1161" t="s">
        <v>1342</v>
      </c>
      <c r="H2" s="1161"/>
      <c r="I2" s="1161"/>
      <c r="J2" s="1161"/>
      <c r="K2" s="1161"/>
      <c r="L2" s="1161"/>
    </row>
    <row r="4" spans="2:13" ht="20.25" x14ac:dyDescent="0.3">
      <c r="B4" s="5" t="s">
        <v>1219</v>
      </c>
      <c r="C4" s="100"/>
      <c r="D4" s="100"/>
      <c r="E4" s="100"/>
      <c r="F4" s="100"/>
      <c r="G4" s="100"/>
      <c r="H4" s="100"/>
      <c r="I4" s="100"/>
      <c r="J4" s="100"/>
      <c r="K4" s="100"/>
      <c r="L4" s="100"/>
      <c r="M4" s="100"/>
    </row>
    <row r="5" spans="2:13" ht="19.5" thickBot="1" x14ac:dyDescent="0.35">
      <c r="B5" s="8"/>
      <c r="C5" s="100"/>
      <c r="D5" s="100"/>
      <c r="E5" s="100"/>
      <c r="F5" s="100"/>
      <c r="G5" s="100"/>
      <c r="H5" s="100"/>
      <c r="I5" s="100"/>
      <c r="J5" s="100"/>
      <c r="K5" s="100"/>
      <c r="L5" s="100"/>
      <c r="M5" s="100"/>
    </row>
    <row r="6" spans="2:13" ht="19.5" thickBot="1" x14ac:dyDescent="0.35">
      <c r="B6" s="204" t="s">
        <v>1220</v>
      </c>
      <c r="C6" s="101"/>
      <c r="D6" s="101"/>
      <c r="E6" s="101"/>
      <c r="F6" s="101"/>
      <c r="G6" s="101"/>
      <c r="H6" s="101"/>
      <c r="I6" s="101"/>
      <c r="J6" s="102"/>
      <c r="K6" s="542">
        <f>'6.2.1.'!K6+'6.2.2.'!L6</f>
        <v>3051410</v>
      </c>
      <c r="L6" s="205" t="s">
        <v>6</v>
      </c>
      <c r="M6" s="100"/>
    </row>
    <row r="7" spans="2:13" ht="15.75" x14ac:dyDescent="0.25">
      <c r="B7" s="100"/>
      <c r="C7" s="100"/>
      <c r="D7" s="100"/>
      <c r="E7" s="100"/>
      <c r="F7" s="100"/>
      <c r="G7" s="100"/>
      <c r="H7" s="100"/>
      <c r="I7" s="100"/>
      <c r="J7" s="100"/>
      <c r="K7" s="100"/>
      <c r="L7" s="100"/>
      <c r="M7" s="100"/>
    </row>
  </sheetData>
  <mergeCells count="2">
    <mergeCell ref="I1:L1"/>
    <mergeCell ref="G2:L2"/>
  </mergeCells>
  <pageMargins left="0.70866141732283472" right="0.70866141732283472" top="0.74803149606299213" bottom="0.74803149606299213" header="0.31496062992125984" footer="0.31496062992125984"/>
  <pageSetup paperSize="9" scale="7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79998168889431442"/>
  </sheetPr>
  <dimension ref="B1:L10"/>
  <sheetViews>
    <sheetView showGridLines="0" zoomScale="90" zoomScaleNormal="90" workbookViewId="0">
      <selection activeCell="E10" sqref="E10"/>
    </sheetView>
  </sheetViews>
  <sheetFormatPr defaultRowHeight="15.75" x14ac:dyDescent="0.25"/>
  <cols>
    <col min="1" max="1" width="9.140625" style="100"/>
    <col min="2" max="8" width="13.42578125" style="100" customWidth="1"/>
    <col min="9" max="9" width="14.28515625" style="100" customWidth="1"/>
    <col min="10" max="10" width="14.85546875" style="100" customWidth="1"/>
    <col min="11" max="11" width="11.42578125" style="100" bestFit="1" customWidth="1"/>
    <col min="12" max="16384" width="9.140625" style="100"/>
  </cols>
  <sheetData>
    <row r="1" spans="2:12" x14ac:dyDescent="0.25">
      <c r="G1" s="901"/>
      <c r="H1" s="998"/>
      <c r="I1" s="1137" t="s">
        <v>1450</v>
      </c>
      <c r="J1" s="1137"/>
      <c r="K1" s="1137"/>
      <c r="L1" s="1137"/>
    </row>
    <row r="2" spans="2:12" ht="44.25" customHeight="1" x14ac:dyDescent="0.25">
      <c r="G2" s="1161" t="s">
        <v>1342</v>
      </c>
      <c r="H2" s="1161"/>
      <c r="I2" s="1161"/>
      <c r="J2" s="1161"/>
      <c r="K2" s="1161"/>
      <c r="L2" s="1161"/>
    </row>
    <row r="3" spans="2:12" ht="16.5" customHeight="1" x14ac:dyDescent="0.25"/>
    <row r="4" spans="2:12" ht="20.25" x14ac:dyDescent="0.3">
      <c r="B4" s="5" t="s">
        <v>1217</v>
      </c>
    </row>
    <row r="5" spans="2:12" ht="19.5" thickBot="1" x14ac:dyDescent="0.35">
      <c r="B5" s="8"/>
    </row>
    <row r="6" spans="2:12" ht="19.5" thickBot="1" x14ac:dyDescent="0.35">
      <c r="B6" s="204" t="s">
        <v>430</v>
      </c>
      <c r="C6" s="101"/>
      <c r="D6" s="101"/>
      <c r="E6" s="101"/>
      <c r="F6" s="101"/>
      <c r="G6" s="101"/>
      <c r="H6" s="101"/>
      <c r="I6" s="101"/>
      <c r="J6" s="102"/>
      <c r="K6" s="542">
        <f>ROUND(J10,0)</f>
        <v>774662</v>
      </c>
      <c r="L6" s="205" t="s">
        <v>6</v>
      </c>
    </row>
    <row r="8" spans="2:12" ht="15.75" customHeight="1" x14ac:dyDescent="0.25"/>
    <row r="9" spans="2:12" ht="60" x14ac:dyDescent="0.25">
      <c r="B9" s="676" t="s">
        <v>1168</v>
      </c>
      <c r="C9" s="676" t="s">
        <v>1169</v>
      </c>
      <c r="D9" s="675" t="s">
        <v>1170</v>
      </c>
      <c r="E9" s="676" t="s">
        <v>1171</v>
      </c>
      <c r="F9" s="675" t="s">
        <v>1172</v>
      </c>
      <c r="G9" s="676" t="s">
        <v>1173</v>
      </c>
      <c r="H9" s="676" t="s">
        <v>1174</v>
      </c>
      <c r="I9" s="791" t="s">
        <v>1224</v>
      </c>
      <c r="J9" s="672" t="s">
        <v>115</v>
      </c>
    </row>
    <row r="10" spans="2:12" x14ac:dyDescent="0.25">
      <c r="B10" s="729">
        <f>'6.2.1.1.'!E21</f>
        <v>7.8</v>
      </c>
      <c r="C10" s="676">
        <v>43.12</v>
      </c>
      <c r="D10" s="512">
        <v>336.36</v>
      </c>
      <c r="E10" s="730">
        <f>'6.2.1.1.'!N37</f>
        <v>79.33</v>
      </c>
      <c r="F10" s="512">
        <f>B10*E10</f>
        <v>618.774</v>
      </c>
      <c r="G10" s="115">
        <f>F10-D10</f>
        <v>282.41399999999999</v>
      </c>
      <c r="H10" s="49">
        <v>2743</v>
      </c>
      <c r="I10" s="792">
        <f>ROUND(D10*H10,2)</f>
        <v>922635.48</v>
      </c>
      <c r="J10" s="731">
        <f>H10*G10</f>
        <v>774661.60199999996</v>
      </c>
    </row>
  </sheetData>
  <mergeCells count="2">
    <mergeCell ref="I1:L1"/>
    <mergeCell ref="G2:L2"/>
  </mergeCells>
  <pageMargins left="0.70866141732283472" right="0.70866141732283472" top="0.74803149606299213" bottom="0.74803149606299213" header="0.31496062992125984" footer="0.31496062992125984"/>
  <pageSetup paperSize="9" scale="8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42"/>
  <sheetViews>
    <sheetView showGridLines="0" topLeftCell="A7" zoomScale="90" zoomScaleNormal="90" zoomScaleSheetLayoutView="85" workbookViewId="0">
      <selection activeCell="M14" sqref="M14"/>
    </sheetView>
  </sheetViews>
  <sheetFormatPr defaultRowHeight="15" x14ac:dyDescent="0.25"/>
  <cols>
    <col min="1" max="1" width="2.5703125" style="133" customWidth="1"/>
    <col min="2" max="2" width="15.7109375" style="133" customWidth="1"/>
    <col min="3" max="3" width="23.42578125" style="133" customWidth="1"/>
    <col min="4" max="4" width="35.140625" style="133" customWidth="1"/>
    <col min="5" max="5" width="10.5703125" style="133" customWidth="1"/>
    <col min="6" max="6" width="13.42578125" style="133" customWidth="1"/>
    <col min="7" max="7" width="15" style="133" customWidth="1"/>
    <col min="8" max="8" width="14.42578125" style="133" customWidth="1"/>
    <col min="9" max="9" width="12.140625" style="133" customWidth="1"/>
    <col min="10" max="10" width="15.28515625" style="133" customWidth="1"/>
    <col min="11" max="11" width="12" style="133" customWidth="1"/>
    <col min="12" max="12" width="11.7109375" style="133" customWidth="1"/>
    <col min="13" max="13" width="19.5703125" style="133" customWidth="1"/>
    <col min="14" max="14" width="11.42578125" style="133" customWidth="1"/>
    <col min="15" max="16384" width="9.140625" style="133"/>
  </cols>
  <sheetData>
    <row r="1" spans="1:15" ht="15.75" x14ac:dyDescent="0.25">
      <c r="H1" s="901"/>
      <c r="I1" s="998"/>
      <c r="J1" s="1137" t="s">
        <v>1451</v>
      </c>
      <c r="K1" s="1137"/>
      <c r="L1" s="1137"/>
      <c r="M1" s="1137"/>
    </row>
    <row r="2" spans="1:15" ht="42" customHeight="1" x14ac:dyDescent="0.25">
      <c r="H2" s="1161" t="s">
        <v>1342</v>
      </c>
      <c r="I2" s="1161"/>
      <c r="J2" s="1161"/>
      <c r="K2" s="1161"/>
      <c r="L2" s="1161"/>
      <c r="M2" s="1161"/>
    </row>
    <row r="4" spans="1:15" ht="18.75" x14ac:dyDescent="0.25">
      <c r="B4" s="677" t="s">
        <v>1159</v>
      </c>
    </row>
    <row r="5" spans="1:15" ht="20.25" x14ac:dyDescent="0.25">
      <c r="B5" s="453"/>
    </row>
    <row r="6" spans="1:15" x14ac:dyDescent="0.25">
      <c r="A6" s="678"/>
      <c r="D6" s="134" t="s">
        <v>173</v>
      </c>
      <c r="E6" s="135">
        <f>20*8*60</f>
        <v>9600</v>
      </c>
      <c r="F6" s="135"/>
      <c r="G6" s="1457" t="s">
        <v>160</v>
      </c>
      <c r="H6" s="1462"/>
      <c r="I6" s="1463"/>
      <c r="J6" s="1487" t="s">
        <v>174</v>
      </c>
      <c r="K6" s="1458"/>
      <c r="L6" s="1457" t="s">
        <v>175</v>
      </c>
      <c r="M6" s="1458"/>
      <c r="N6" s="1459"/>
    </row>
    <row r="7" spans="1:15" ht="46.5" customHeight="1" x14ac:dyDescent="0.25">
      <c r="A7" s="678"/>
      <c r="B7" s="676" t="s">
        <v>176</v>
      </c>
      <c r="C7" s="136"/>
      <c r="D7" s="137" t="s">
        <v>431</v>
      </c>
      <c r="E7" s="676" t="s">
        <v>146</v>
      </c>
      <c r="F7" s="676" t="s">
        <v>178</v>
      </c>
      <c r="G7" s="138" t="s">
        <v>179</v>
      </c>
      <c r="H7" s="138" t="s">
        <v>180</v>
      </c>
      <c r="I7" s="138" t="s">
        <v>181</v>
      </c>
      <c r="J7" s="139" t="s">
        <v>182</v>
      </c>
      <c r="K7" s="139" t="s">
        <v>180</v>
      </c>
      <c r="L7" s="676" t="s">
        <v>183</v>
      </c>
      <c r="M7" s="676" t="s">
        <v>184</v>
      </c>
      <c r="N7" s="676" t="s">
        <v>185</v>
      </c>
    </row>
    <row r="8" spans="1:15" x14ac:dyDescent="0.25">
      <c r="A8" s="679"/>
      <c r="B8" s="680">
        <v>10</v>
      </c>
      <c r="C8" s="1454" t="s">
        <v>186</v>
      </c>
      <c r="D8" s="141" t="s">
        <v>1160</v>
      </c>
      <c r="E8" s="142">
        <v>2</v>
      </c>
      <c r="F8" s="680">
        <v>2</v>
      </c>
      <c r="G8" s="143">
        <f>F8*$E$6*12</f>
        <v>230400</v>
      </c>
      <c r="H8" s="143">
        <f>G8/12</f>
        <v>19200</v>
      </c>
      <c r="I8" s="143">
        <f>365*B8</f>
        <v>3650</v>
      </c>
      <c r="J8" s="144">
        <f>G8/I8</f>
        <v>63.123287671232873</v>
      </c>
      <c r="K8" s="144">
        <f t="shared" ref="K8:K18" si="0">H8/I8</f>
        <v>5.2602739726027394</v>
      </c>
      <c r="L8" s="145">
        <f>(J8+K8)*$G$26</f>
        <v>10.578936986301368</v>
      </c>
      <c r="M8" s="145">
        <f>L8*0.2359</f>
        <v>2.4955712350684927</v>
      </c>
      <c r="N8" s="145">
        <f>L8+M8</f>
        <v>13.074508221369861</v>
      </c>
      <c r="O8" s="681"/>
    </row>
    <row r="9" spans="1:15" x14ac:dyDescent="0.25">
      <c r="A9" s="679"/>
      <c r="B9" s="682">
        <v>40</v>
      </c>
      <c r="C9" s="1460"/>
      <c r="D9" s="141" t="s">
        <v>1161</v>
      </c>
      <c r="E9" s="142">
        <v>1</v>
      </c>
      <c r="F9" s="682">
        <v>3.5</v>
      </c>
      <c r="G9" s="143">
        <f>F9*$E$6*12</f>
        <v>403200</v>
      </c>
      <c r="H9" s="143">
        <f>G9/12</f>
        <v>33600</v>
      </c>
      <c r="I9" s="143">
        <f>365*B9</f>
        <v>14600</v>
      </c>
      <c r="J9" s="144">
        <f>G9/I9</f>
        <v>27.616438356164384</v>
      </c>
      <c r="K9" s="144">
        <f t="shared" si="0"/>
        <v>2.3013698630136985</v>
      </c>
      <c r="L9" s="145">
        <f>(J9+K9)*$G$26</f>
        <v>4.6282849315068493</v>
      </c>
      <c r="M9" s="145">
        <f t="shared" ref="M9:M18" si="1">L9*0.2359</f>
        <v>1.0918124153424658</v>
      </c>
      <c r="N9" s="145">
        <f>L9+M9</f>
        <v>5.7200973468493146</v>
      </c>
      <c r="O9" s="681"/>
    </row>
    <row r="10" spans="1:15" ht="30" x14ac:dyDescent="0.25">
      <c r="A10" s="679"/>
      <c r="B10" s="680">
        <v>10</v>
      </c>
      <c r="C10" s="1460"/>
      <c r="D10" s="146" t="s">
        <v>1162</v>
      </c>
      <c r="E10" s="142">
        <v>1</v>
      </c>
      <c r="F10" s="680">
        <v>1</v>
      </c>
      <c r="G10" s="143">
        <f>F10*$E$6*12</f>
        <v>115200</v>
      </c>
      <c r="H10" s="143">
        <f t="shared" ref="H10:H18" si="2">G10/12</f>
        <v>9600</v>
      </c>
      <c r="I10" s="143">
        <f t="shared" ref="I10:I18" si="3">365*B10</f>
        <v>3650</v>
      </c>
      <c r="J10" s="144">
        <f t="shared" ref="J10:J18" si="4">G10/I10</f>
        <v>31.561643835616437</v>
      </c>
      <c r="K10" s="144">
        <f t="shared" si="0"/>
        <v>2.6301369863013697</v>
      </c>
      <c r="L10" s="145">
        <f>(J10+K10)*$G$27</f>
        <v>3.1729972602739718</v>
      </c>
      <c r="M10" s="145">
        <f t="shared" si="1"/>
        <v>0.74851005369862988</v>
      </c>
      <c r="N10" s="145">
        <f t="shared" ref="N10:N18" si="5">L10+M10</f>
        <v>3.9215073139726018</v>
      </c>
    </row>
    <row r="11" spans="1:15" ht="45" x14ac:dyDescent="0.25">
      <c r="A11" s="679"/>
      <c r="B11" s="682">
        <v>20</v>
      </c>
      <c r="C11" s="1461"/>
      <c r="D11" s="146" t="s">
        <v>1163</v>
      </c>
      <c r="E11" s="142">
        <v>1</v>
      </c>
      <c r="F11" s="682">
        <v>3.5</v>
      </c>
      <c r="G11" s="143">
        <f>F11*$E$6*12</f>
        <v>403200</v>
      </c>
      <c r="H11" s="143">
        <f t="shared" si="2"/>
        <v>33600</v>
      </c>
      <c r="I11" s="143">
        <f t="shared" si="3"/>
        <v>7300</v>
      </c>
      <c r="J11" s="144">
        <f t="shared" si="4"/>
        <v>55.232876712328768</v>
      </c>
      <c r="K11" s="144">
        <f t="shared" si="0"/>
        <v>4.602739726027397</v>
      </c>
      <c r="L11" s="145">
        <f>(J11+K11)*$G$27</f>
        <v>5.5527452054794511</v>
      </c>
      <c r="M11" s="145">
        <f t="shared" si="1"/>
        <v>1.3098925939726025</v>
      </c>
      <c r="N11" s="145">
        <f t="shared" si="5"/>
        <v>6.8626377994520533</v>
      </c>
    </row>
    <row r="12" spans="1:15" ht="18" x14ac:dyDescent="0.25">
      <c r="A12" s="679"/>
      <c r="B12" s="140">
        <v>10</v>
      </c>
      <c r="C12" s="1454" t="s">
        <v>187</v>
      </c>
      <c r="D12" s="141" t="s">
        <v>188</v>
      </c>
      <c r="E12" s="140">
        <v>1</v>
      </c>
      <c r="F12" s="140">
        <v>1</v>
      </c>
      <c r="G12" s="143">
        <f t="shared" ref="G12:G18" si="6">F12*$E$6*12</f>
        <v>115200</v>
      </c>
      <c r="H12" s="143">
        <f t="shared" si="2"/>
        <v>9600</v>
      </c>
      <c r="I12" s="143">
        <f t="shared" si="3"/>
        <v>3650</v>
      </c>
      <c r="J12" s="144">
        <f t="shared" si="4"/>
        <v>31.561643835616437</v>
      </c>
      <c r="K12" s="144">
        <f t="shared" si="0"/>
        <v>2.6301369863013697</v>
      </c>
      <c r="L12" s="145">
        <f>(J12+K12)*$G$26</f>
        <v>5.2894684931506841</v>
      </c>
      <c r="M12" s="145">
        <f t="shared" si="1"/>
        <v>1.2477856175342463</v>
      </c>
      <c r="N12" s="145">
        <f t="shared" si="5"/>
        <v>6.5372541106849305</v>
      </c>
    </row>
    <row r="13" spans="1:15" x14ac:dyDescent="0.25">
      <c r="A13" s="679"/>
      <c r="B13" s="140">
        <v>20</v>
      </c>
      <c r="C13" s="1455"/>
      <c r="D13" s="141" t="s">
        <v>189</v>
      </c>
      <c r="E13" s="140">
        <v>1</v>
      </c>
      <c r="F13" s="140">
        <v>1</v>
      </c>
      <c r="G13" s="143">
        <f t="shared" si="6"/>
        <v>115200</v>
      </c>
      <c r="H13" s="143">
        <f t="shared" si="2"/>
        <v>9600</v>
      </c>
      <c r="I13" s="143">
        <f>365*B13</f>
        <v>7300</v>
      </c>
      <c r="J13" s="144">
        <f t="shared" si="4"/>
        <v>15.780821917808218</v>
      </c>
      <c r="K13" s="144">
        <f t="shared" si="0"/>
        <v>1.3150684931506849</v>
      </c>
      <c r="L13" s="145">
        <f>(J13+K13)*$G$26</f>
        <v>2.6447342465753421</v>
      </c>
      <c r="M13" s="145">
        <f t="shared" si="1"/>
        <v>0.62389280876712316</v>
      </c>
      <c r="N13" s="145">
        <f t="shared" si="5"/>
        <v>3.2686270553424652</v>
      </c>
    </row>
    <row r="14" spans="1:15" ht="30" x14ac:dyDescent="0.25">
      <c r="A14" s="679"/>
      <c r="B14" s="140">
        <v>6</v>
      </c>
      <c r="C14" s="1454" t="s">
        <v>190</v>
      </c>
      <c r="D14" s="146" t="s">
        <v>1164</v>
      </c>
      <c r="E14" s="142">
        <v>1</v>
      </c>
      <c r="F14" s="680">
        <v>1</v>
      </c>
      <c r="G14" s="143">
        <f t="shared" si="6"/>
        <v>115200</v>
      </c>
      <c r="H14" s="143">
        <f t="shared" si="2"/>
        <v>9600</v>
      </c>
      <c r="I14" s="143">
        <f t="shared" si="3"/>
        <v>2190</v>
      </c>
      <c r="J14" s="144">
        <f t="shared" si="4"/>
        <v>52.602739726027394</v>
      </c>
      <c r="K14" s="144">
        <f t="shared" si="0"/>
        <v>4.3835616438356162</v>
      </c>
      <c r="L14" s="145">
        <f>(J14+K14)*$G$28</f>
        <v>3.5274520547945203</v>
      </c>
      <c r="M14" s="145">
        <f t="shared" si="1"/>
        <v>0.83212593972602733</v>
      </c>
      <c r="N14" s="145">
        <f t="shared" si="5"/>
        <v>4.3595779945205475</v>
      </c>
    </row>
    <row r="15" spans="1:15" ht="29.25" customHeight="1" x14ac:dyDescent="0.25">
      <c r="A15" s="679"/>
      <c r="B15" s="140">
        <v>10</v>
      </c>
      <c r="C15" s="1460"/>
      <c r="D15" s="146" t="s">
        <v>1165</v>
      </c>
      <c r="E15" s="142">
        <v>1</v>
      </c>
      <c r="F15" s="682">
        <v>3.5</v>
      </c>
      <c r="G15" s="143">
        <f t="shared" si="6"/>
        <v>403200</v>
      </c>
      <c r="H15" s="143">
        <f t="shared" si="2"/>
        <v>33600</v>
      </c>
      <c r="I15" s="143">
        <f t="shared" si="3"/>
        <v>3650</v>
      </c>
      <c r="J15" s="144">
        <f t="shared" si="4"/>
        <v>110.46575342465754</v>
      </c>
      <c r="K15" s="144">
        <f t="shared" si="0"/>
        <v>9.205479452054794</v>
      </c>
      <c r="L15" s="145">
        <f>(J15+K15)*$G$28</f>
        <v>7.4076493150684923</v>
      </c>
      <c r="M15" s="145">
        <f t="shared" si="1"/>
        <v>1.7474644734246574</v>
      </c>
      <c r="N15" s="145">
        <f t="shared" si="5"/>
        <v>9.1551137884931499</v>
      </c>
    </row>
    <row r="16" spans="1:15" ht="42" customHeight="1" x14ac:dyDescent="0.25">
      <c r="A16" s="679"/>
      <c r="B16" s="140">
        <v>40</v>
      </c>
      <c r="C16" s="1455"/>
      <c r="D16" s="146" t="s">
        <v>192</v>
      </c>
      <c r="E16" s="140">
        <v>1</v>
      </c>
      <c r="F16" s="140">
        <v>1</v>
      </c>
      <c r="G16" s="143">
        <f t="shared" si="6"/>
        <v>115200</v>
      </c>
      <c r="H16" s="143">
        <f t="shared" si="2"/>
        <v>9600</v>
      </c>
      <c r="I16" s="143">
        <f>365*B16</f>
        <v>14600</v>
      </c>
      <c r="J16" s="144">
        <f t="shared" si="4"/>
        <v>7.8904109589041092</v>
      </c>
      <c r="K16" s="144">
        <f t="shared" si="0"/>
        <v>0.65753424657534243</v>
      </c>
      <c r="L16" s="145">
        <f>(J16+K16)*$G$28</f>
        <v>0.52911780821917798</v>
      </c>
      <c r="M16" s="145">
        <f t="shared" si="1"/>
        <v>0.12481889095890408</v>
      </c>
      <c r="N16" s="145">
        <f t="shared" si="5"/>
        <v>0.65393669917808206</v>
      </c>
    </row>
    <row r="17" spans="1:19" x14ac:dyDescent="0.25">
      <c r="A17" s="679"/>
      <c r="B17" s="140">
        <v>20</v>
      </c>
      <c r="C17" s="1454" t="s">
        <v>193</v>
      </c>
      <c r="D17" s="146" t="s">
        <v>194</v>
      </c>
      <c r="E17" s="140">
        <v>1</v>
      </c>
      <c r="F17" s="140">
        <v>0.75</v>
      </c>
      <c r="G17" s="143">
        <f t="shared" si="6"/>
        <v>86400</v>
      </c>
      <c r="H17" s="143">
        <f t="shared" si="2"/>
        <v>7200</v>
      </c>
      <c r="I17" s="143">
        <f t="shared" si="3"/>
        <v>7300</v>
      </c>
      <c r="J17" s="144">
        <f t="shared" si="4"/>
        <v>11.835616438356164</v>
      </c>
      <c r="K17" s="144">
        <f t="shared" si="0"/>
        <v>0.98630136986301364</v>
      </c>
      <c r="L17" s="145">
        <f>(J17+K17)*$G$26</f>
        <v>1.9835506849315068</v>
      </c>
      <c r="M17" s="145">
        <f t="shared" si="1"/>
        <v>0.46791960657534243</v>
      </c>
      <c r="N17" s="145">
        <f t="shared" si="5"/>
        <v>2.4514702915068494</v>
      </c>
    </row>
    <row r="18" spans="1:19" x14ac:dyDescent="0.25">
      <c r="A18" s="679"/>
      <c r="B18" s="140">
        <v>20</v>
      </c>
      <c r="C18" s="1455"/>
      <c r="D18" s="146" t="s">
        <v>195</v>
      </c>
      <c r="E18" s="140">
        <v>1</v>
      </c>
      <c r="F18" s="140">
        <v>1</v>
      </c>
      <c r="G18" s="143">
        <f t="shared" si="6"/>
        <v>115200</v>
      </c>
      <c r="H18" s="143">
        <f t="shared" si="2"/>
        <v>9600</v>
      </c>
      <c r="I18" s="143">
        <f t="shared" si="3"/>
        <v>7300</v>
      </c>
      <c r="J18" s="144">
        <f t="shared" si="4"/>
        <v>15.780821917808218</v>
      </c>
      <c r="K18" s="144">
        <f t="shared" si="0"/>
        <v>1.3150684931506849</v>
      </c>
      <c r="L18" s="145">
        <f>(J18+K18)*$G$26</f>
        <v>2.6447342465753421</v>
      </c>
      <c r="M18" s="145">
        <f t="shared" si="1"/>
        <v>0.62389280876712316</v>
      </c>
      <c r="N18" s="145">
        <f t="shared" si="5"/>
        <v>3.2686270553424652</v>
      </c>
    </row>
    <row r="19" spans="1:19" ht="39.75" customHeight="1" x14ac:dyDescent="0.25">
      <c r="A19" s="679"/>
      <c r="B19" s="673"/>
      <c r="C19" s="673"/>
      <c r="D19" s="683" t="s">
        <v>196</v>
      </c>
      <c r="E19" s="147">
        <f t="shared" ref="E19:M19" si="7">SUM(E8:E18)</f>
        <v>12</v>
      </c>
      <c r="F19" s="147">
        <f t="shared" si="7"/>
        <v>19.25</v>
      </c>
      <c r="G19" s="148">
        <f t="shared" si="7"/>
        <v>2217600</v>
      </c>
      <c r="H19" s="148">
        <f t="shared" si="7"/>
        <v>184800</v>
      </c>
      <c r="I19" s="148">
        <f t="shared" si="7"/>
        <v>75190</v>
      </c>
      <c r="J19" s="149">
        <f t="shared" si="7"/>
        <v>423.45205479452051</v>
      </c>
      <c r="K19" s="150">
        <f t="shared" si="7"/>
        <v>35.287671232876711</v>
      </c>
      <c r="L19" s="151">
        <f t="shared" si="7"/>
        <v>47.959671232876701</v>
      </c>
      <c r="M19" s="151">
        <f t="shared" si="7"/>
        <v>11.313686443835614</v>
      </c>
      <c r="N19" s="152">
        <f>SUM(N8:N18)</f>
        <v>59.273357676712315</v>
      </c>
    </row>
    <row r="20" spans="1:19" s="156" customFormat="1" x14ac:dyDescent="0.25">
      <c r="A20" s="684"/>
      <c r="B20" s="685"/>
      <c r="C20" s="685"/>
      <c r="D20" s="686"/>
      <c r="E20" s="687"/>
      <c r="F20" s="687"/>
      <c r="G20" s="688"/>
      <c r="H20" s="688"/>
      <c r="I20" s="688"/>
      <c r="J20" s="689"/>
      <c r="K20" s="690"/>
      <c r="L20" s="691"/>
      <c r="M20" s="691"/>
      <c r="N20" s="691"/>
    </row>
    <row r="21" spans="1:19" s="156" customFormat="1" x14ac:dyDescent="0.25">
      <c r="A21" s="684"/>
      <c r="B21" s="685"/>
      <c r="C21" s="685"/>
      <c r="D21" s="692" t="s">
        <v>426</v>
      </c>
      <c r="E21" s="693">
        <v>7.8</v>
      </c>
      <c r="F21" s="694">
        <f>336.36/E21</f>
        <v>43.123076923076923</v>
      </c>
      <c r="G21" s="688"/>
      <c r="H21" s="688"/>
      <c r="I21" s="688"/>
      <c r="J21" s="689"/>
      <c r="K21" s="690"/>
      <c r="L21" s="691"/>
      <c r="M21" s="695" t="s">
        <v>197</v>
      </c>
      <c r="N21" s="696">
        <v>0.76749999999999996</v>
      </c>
      <c r="O21" s="133"/>
    </row>
    <row r="22" spans="1:19" s="156" customFormat="1" x14ac:dyDescent="0.25">
      <c r="A22" s="684"/>
      <c r="B22" s="685"/>
      <c r="C22" s="685"/>
      <c r="F22" s="687"/>
      <c r="G22" s="688"/>
      <c r="H22" s="688"/>
      <c r="I22" s="688"/>
      <c r="J22" s="689"/>
      <c r="K22" s="690"/>
      <c r="L22" s="691"/>
      <c r="M22" s="133"/>
      <c r="N22" s="697">
        <f>N19*N21</f>
        <v>45.4923020168767</v>
      </c>
      <c r="O22" s="133"/>
    </row>
    <row r="23" spans="1:19" s="156" customFormat="1" x14ac:dyDescent="0.25">
      <c r="A23" s="684"/>
      <c r="B23" s="685"/>
      <c r="C23" s="166"/>
      <c r="F23" s="687"/>
      <c r="G23" s="688"/>
      <c r="H23" s="688"/>
      <c r="I23" s="688"/>
      <c r="J23" s="689"/>
      <c r="K23" s="690"/>
      <c r="L23" s="691"/>
      <c r="M23" s="691"/>
      <c r="N23" s="691"/>
    </row>
    <row r="24" spans="1:19" x14ac:dyDescent="0.25">
      <c r="C24" s="166"/>
      <c r="F24" s="1456" t="s">
        <v>157</v>
      </c>
      <c r="G24" s="1456"/>
      <c r="H24" s="698"/>
      <c r="J24" s="133" t="s">
        <v>158</v>
      </c>
      <c r="L24" s="1487" t="s">
        <v>199</v>
      </c>
      <c r="M24" s="1459"/>
      <c r="N24" s="145">
        <v>5</v>
      </c>
      <c r="O24" s="133" t="s">
        <v>200</v>
      </c>
    </row>
    <row r="25" spans="1:19" ht="45" x14ac:dyDescent="0.25">
      <c r="C25" s="166"/>
      <c r="F25" s="699" t="s">
        <v>159</v>
      </c>
      <c r="G25" s="699" t="s">
        <v>1166</v>
      </c>
      <c r="H25" s="700"/>
      <c r="I25" s="133" t="s">
        <v>160</v>
      </c>
      <c r="J25" s="133">
        <v>365</v>
      </c>
      <c r="L25" s="719"/>
      <c r="M25" s="720" t="s">
        <v>203</v>
      </c>
      <c r="N25" s="721">
        <f>'6.2.1.2.'!F26</f>
        <v>1.2570919635459816</v>
      </c>
      <c r="O25" s="701" t="s">
        <v>202</v>
      </c>
      <c r="P25" s="701"/>
    </row>
    <row r="26" spans="1:19" ht="18" customHeight="1" x14ac:dyDescent="0.25">
      <c r="D26" s="702" t="s">
        <v>161</v>
      </c>
      <c r="E26" s="703"/>
      <c r="F26" s="704">
        <v>1485</v>
      </c>
      <c r="G26" s="705">
        <f>ROUND(F26/9600,4)</f>
        <v>0.1547</v>
      </c>
      <c r="H26" s="706"/>
      <c r="J26" s="133" t="s">
        <v>162</v>
      </c>
      <c r="L26" s="1483" t="s">
        <v>204</v>
      </c>
      <c r="M26" s="1484"/>
      <c r="N26" s="721">
        <f>'6.2.1.2.'!F39</f>
        <v>1.1172908036454017</v>
      </c>
      <c r="O26" s="701" t="s">
        <v>202</v>
      </c>
      <c r="P26" s="701"/>
    </row>
    <row r="27" spans="1:19" x14ac:dyDescent="0.25">
      <c r="D27" s="702" t="s">
        <v>163</v>
      </c>
      <c r="E27" s="703"/>
      <c r="F27" s="704">
        <v>891</v>
      </c>
      <c r="G27" s="705">
        <f>ROUND(F27/9600,4)</f>
        <v>9.2799999999999994E-2</v>
      </c>
      <c r="H27" s="706"/>
      <c r="I27" s="133" t="s">
        <v>164</v>
      </c>
      <c r="J27" s="681">
        <f>J25*10</f>
        <v>3650</v>
      </c>
      <c r="L27" s="1481" t="s">
        <v>205</v>
      </c>
      <c r="M27" s="1482"/>
      <c r="N27" s="723">
        <f>'6.2.1.2.'!F49</f>
        <v>0.20374482187241091</v>
      </c>
      <c r="O27" s="701" t="s">
        <v>202</v>
      </c>
      <c r="P27" s="701"/>
    </row>
    <row r="28" spans="1:19" x14ac:dyDescent="0.25">
      <c r="D28" s="702" t="s">
        <v>165</v>
      </c>
      <c r="E28" s="703"/>
      <c r="F28" s="704">
        <v>594</v>
      </c>
      <c r="G28" s="705">
        <f>ROUND(F28/9600,4)</f>
        <v>6.1899999999999997E-2</v>
      </c>
      <c r="H28" s="706"/>
      <c r="I28" s="133" t="s">
        <v>166</v>
      </c>
      <c r="J28" s="681">
        <f>8*J25</f>
        <v>2920</v>
      </c>
      <c r="L28" s="1485" t="s">
        <v>207</v>
      </c>
      <c r="M28" s="1486"/>
      <c r="N28" s="722">
        <f>O28/$E$21</f>
        <v>0.67948717948717952</v>
      </c>
      <c r="O28" s="169">
        <v>5.3</v>
      </c>
      <c r="P28" s="169" t="s">
        <v>208</v>
      </c>
      <c r="Q28" s="169"/>
      <c r="R28" s="169"/>
      <c r="S28" s="169"/>
    </row>
    <row r="29" spans="1:19" x14ac:dyDescent="0.25">
      <c r="D29" s="702"/>
      <c r="E29" s="707" t="s">
        <v>167</v>
      </c>
      <c r="F29" s="708">
        <v>4.5</v>
      </c>
      <c r="G29" s="709" t="s">
        <v>168</v>
      </c>
      <c r="H29" s="706"/>
      <c r="I29" s="133" t="s">
        <v>169</v>
      </c>
      <c r="J29" s="681">
        <f>6*J25</f>
        <v>2190</v>
      </c>
      <c r="L29" s="1485" t="s">
        <v>210</v>
      </c>
      <c r="M29" s="1486"/>
      <c r="N29" s="722">
        <f>O29/$E$21</f>
        <v>1.5871794871794873</v>
      </c>
      <c r="O29" s="169">
        <v>12.38</v>
      </c>
      <c r="P29" s="169" t="s">
        <v>208</v>
      </c>
      <c r="Q29" s="169"/>
      <c r="R29" s="169"/>
      <c r="S29" s="169"/>
    </row>
    <row r="30" spans="1:19" x14ac:dyDescent="0.25">
      <c r="D30" s="702"/>
      <c r="E30" s="707" t="s">
        <v>170</v>
      </c>
      <c r="F30" s="710">
        <v>0.25</v>
      </c>
      <c r="G30" s="709" t="s">
        <v>168</v>
      </c>
      <c r="H30" s="706"/>
      <c r="I30" s="133" t="s">
        <v>171</v>
      </c>
      <c r="J30" s="681">
        <f>5*J25</f>
        <v>1825</v>
      </c>
      <c r="L30" s="1485" t="s">
        <v>211</v>
      </c>
      <c r="M30" s="1486"/>
      <c r="N30" s="722">
        <f t="shared" ref="N30" si="8">O30/$E$21</f>
        <v>1.6141025641025641</v>
      </c>
      <c r="O30" s="169">
        <v>12.59</v>
      </c>
      <c r="P30" s="169" t="s">
        <v>208</v>
      </c>
      <c r="Q30" s="169"/>
      <c r="R30" s="169"/>
      <c r="S30" s="169"/>
    </row>
    <row r="31" spans="1:19" x14ac:dyDescent="0.25">
      <c r="E31" s="674" t="s">
        <v>172</v>
      </c>
      <c r="F31" s="711">
        <f>F29+F30</f>
        <v>4.75</v>
      </c>
      <c r="G31" s="706">
        <f>F30/F31</f>
        <v>5.2631578947368418E-2</v>
      </c>
      <c r="H31" s="706"/>
      <c r="J31" s="681"/>
      <c r="L31" s="719"/>
      <c r="M31" s="720" t="s">
        <v>213</v>
      </c>
      <c r="N31" s="721">
        <f>'6.2.1.2.'!F78</f>
        <v>0.11398508699254351</v>
      </c>
      <c r="O31" s="701" t="s">
        <v>202</v>
      </c>
      <c r="P31" s="701"/>
    </row>
    <row r="32" spans="1:19" x14ac:dyDescent="0.25">
      <c r="L32" s="1479" t="s">
        <v>214</v>
      </c>
      <c r="M32" s="1480"/>
      <c r="N32" s="145">
        <f>'6.2.1.3.'!E19</f>
        <v>2.1726166666666664</v>
      </c>
    </row>
    <row r="33" spans="12:18" x14ac:dyDescent="0.25">
      <c r="L33" s="1479" t="s">
        <v>216</v>
      </c>
      <c r="M33" s="1480"/>
      <c r="N33" s="145">
        <f>'6.2.1.4.'!G24</f>
        <v>3.1919629682390767</v>
      </c>
    </row>
    <row r="34" spans="12:18" x14ac:dyDescent="0.25">
      <c r="L34" s="1479" t="s">
        <v>217</v>
      </c>
      <c r="M34" s="1480"/>
      <c r="N34" s="145">
        <f>Q34</f>
        <v>1.433007513531616</v>
      </c>
      <c r="O34" s="133" t="s">
        <v>1167</v>
      </c>
      <c r="Q34" s="712">
        <f>$N$22*R34</f>
        <v>1.433007513531616</v>
      </c>
      <c r="R34" s="713">
        <v>3.15E-2</v>
      </c>
    </row>
    <row r="35" spans="12:18" x14ac:dyDescent="0.25">
      <c r="L35" s="1479" t="s">
        <v>19</v>
      </c>
      <c r="M35" s="1480"/>
      <c r="N35" s="145">
        <f>Q35</f>
        <v>2.2837135612472106</v>
      </c>
      <c r="O35" s="133" t="s">
        <v>1167</v>
      </c>
      <c r="Q35" s="714">
        <f t="shared" ref="Q35:Q36" si="9">$N$22*R35</f>
        <v>2.2837135612472106</v>
      </c>
      <c r="R35" s="715">
        <v>5.0200000000000002E-2</v>
      </c>
    </row>
    <row r="36" spans="12:18" x14ac:dyDescent="0.25">
      <c r="L36" s="1479" t="s">
        <v>218</v>
      </c>
      <c r="M36" s="1480"/>
      <c r="N36" s="145">
        <f>Q36</f>
        <v>13.183669124490867</v>
      </c>
      <c r="O36" s="133" t="s">
        <v>1167</v>
      </c>
      <c r="Q36" s="716">
        <f t="shared" si="9"/>
        <v>13.183669124490867</v>
      </c>
      <c r="R36" s="717">
        <v>0.2898</v>
      </c>
    </row>
    <row r="37" spans="12:18" x14ac:dyDescent="0.25">
      <c r="M37" s="674" t="s">
        <v>219</v>
      </c>
      <c r="N37" s="718">
        <f>ROUND(SUM(N22:N36),2)</f>
        <v>79.33</v>
      </c>
    </row>
    <row r="40" spans="12:18" x14ac:dyDescent="0.25">
      <c r="L40" s="168"/>
      <c r="M40" s="724"/>
      <c r="N40" s="725"/>
      <c r="O40" s="168"/>
      <c r="P40" s="168"/>
      <c r="Q40" s="168"/>
    </row>
    <row r="41" spans="12:18" x14ac:dyDescent="0.25">
      <c r="L41" s="168"/>
      <c r="M41" s="168"/>
      <c r="N41" s="168"/>
      <c r="O41" s="168"/>
      <c r="P41" s="168"/>
      <c r="Q41" s="168"/>
    </row>
    <row r="42" spans="12:18" x14ac:dyDescent="0.25">
      <c r="L42" s="168"/>
      <c r="M42" s="168"/>
      <c r="N42" s="168"/>
      <c r="O42" s="168"/>
      <c r="P42" s="168"/>
      <c r="Q42" s="168"/>
    </row>
  </sheetData>
  <mergeCells count="21">
    <mergeCell ref="J1:M1"/>
    <mergeCell ref="H2:M2"/>
    <mergeCell ref="F24:G24"/>
    <mergeCell ref="L24:M24"/>
    <mergeCell ref="C17:C18"/>
    <mergeCell ref="G6:I6"/>
    <mergeCell ref="J6:K6"/>
    <mergeCell ref="L6:N6"/>
    <mergeCell ref="C8:C11"/>
    <mergeCell ref="C12:C13"/>
    <mergeCell ref="C14:C16"/>
    <mergeCell ref="L26:M26"/>
    <mergeCell ref="L28:M28"/>
    <mergeCell ref="L29:M29"/>
    <mergeCell ref="L30:M30"/>
    <mergeCell ref="L32:M32"/>
    <mergeCell ref="L33:M33"/>
    <mergeCell ref="L34:M34"/>
    <mergeCell ref="L35:M35"/>
    <mergeCell ref="L36:M36"/>
    <mergeCell ref="L27:M27"/>
  </mergeCells>
  <pageMargins left="0.70866141732283472" right="0.70866141732283472" top="0.74803149606299213" bottom="0.74803149606299213" header="0.31496062992125984" footer="0.31496062992125984"/>
  <pageSetup paperSize="9" scale="60" orientation="landscape" r:id="rId1"/>
  <colBreaks count="1" manualBreakCount="1">
    <brk id="14"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X109"/>
  <sheetViews>
    <sheetView showGridLines="0" zoomScale="90" zoomScaleNormal="90" workbookViewId="0">
      <selection activeCell="AY16" sqref="AY16"/>
    </sheetView>
  </sheetViews>
  <sheetFormatPr defaultRowHeight="15" x14ac:dyDescent="0.25"/>
  <cols>
    <col min="1" max="1" width="1.7109375" style="207" customWidth="1"/>
    <col min="2" max="2" width="9.7109375" style="207" customWidth="1"/>
    <col min="3" max="3" width="76" style="207" customWidth="1"/>
    <col min="4" max="4" width="12.5703125" style="208" customWidth="1"/>
    <col min="5" max="5" width="12.42578125" style="208" customWidth="1"/>
    <col min="6" max="6" width="15.7109375" style="208" customWidth="1"/>
    <col min="7" max="7" width="5.42578125" style="209" customWidth="1"/>
    <col min="8" max="8" width="10.85546875" style="209" hidden="1" customWidth="1"/>
    <col min="9" max="9" width="0" style="207" hidden="1" customWidth="1"/>
    <col min="10" max="10" width="0" style="281" hidden="1" customWidth="1"/>
    <col min="11" max="11" width="10.42578125" style="209" hidden="1" customWidth="1"/>
    <col min="12" max="12" width="10.42578125" style="207" hidden="1" customWidth="1"/>
    <col min="13" max="17" width="0" style="207" hidden="1" customWidth="1"/>
    <col min="18" max="18" width="10.42578125" style="207" hidden="1" customWidth="1"/>
    <col min="19" max="22" width="0" style="210" hidden="1" customWidth="1"/>
    <col min="23" max="23" width="11.85546875" style="210" hidden="1" customWidth="1"/>
    <col min="24" max="38" width="0" style="210" hidden="1" customWidth="1"/>
    <col min="39" max="50" width="9.140625" style="210"/>
    <col min="51" max="16384" width="9.140625" style="207"/>
  </cols>
  <sheetData>
    <row r="1" spans="1:50" s="1000" customFormat="1" ht="15.75" x14ac:dyDescent="0.25">
      <c r="D1" s="901"/>
      <c r="E1" s="998"/>
      <c r="F1" s="1137" t="s">
        <v>1452</v>
      </c>
      <c r="G1" s="1137"/>
      <c r="H1" s="1137"/>
      <c r="I1" s="1137"/>
      <c r="J1" s="281"/>
      <c r="K1" s="209"/>
      <c r="S1" s="949"/>
      <c r="T1" s="949"/>
      <c r="U1" s="949"/>
      <c r="V1" s="949"/>
      <c r="W1" s="949"/>
      <c r="X1" s="949"/>
      <c r="Y1" s="949"/>
      <c r="Z1" s="949"/>
      <c r="AA1" s="949"/>
      <c r="AB1" s="949"/>
      <c r="AC1" s="949"/>
      <c r="AD1" s="949"/>
      <c r="AE1" s="949"/>
      <c r="AF1" s="949"/>
      <c r="AG1" s="949"/>
      <c r="AH1" s="949"/>
      <c r="AI1" s="949"/>
      <c r="AJ1" s="949"/>
      <c r="AK1" s="949"/>
      <c r="AL1" s="949"/>
      <c r="AM1" s="949"/>
      <c r="AN1" s="949"/>
      <c r="AO1" s="949"/>
      <c r="AP1" s="949"/>
      <c r="AQ1" s="949"/>
      <c r="AR1" s="949"/>
      <c r="AS1" s="949"/>
      <c r="AT1" s="949"/>
      <c r="AU1" s="949"/>
      <c r="AV1" s="949"/>
      <c r="AW1" s="949"/>
      <c r="AX1" s="949"/>
    </row>
    <row r="2" spans="1:50" s="1000" customFormat="1" ht="42" customHeight="1" x14ac:dyDescent="0.25">
      <c r="D2" s="1161" t="s">
        <v>1342</v>
      </c>
      <c r="E2" s="1161"/>
      <c r="F2" s="1161"/>
      <c r="G2" s="1161"/>
      <c r="H2" s="1161"/>
      <c r="I2" s="1161"/>
      <c r="J2" s="281"/>
      <c r="K2" s="209"/>
      <c r="S2" s="949"/>
      <c r="T2" s="949"/>
      <c r="U2" s="949"/>
      <c r="V2" s="949"/>
      <c r="W2" s="949"/>
      <c r="X2" s="949"/>
      <c r="Y2" s="949"/>
      <c r="Z2" s="949"/>
      <c r="AA2" s="949"/>
      <c r="AB2" s="949"/>
      <c r="AC2" s="949"/>
      <c r="AD2" s="949"/>
      <c r="AE2" s="949"/>
      <c r="AF2" s="949"/>
      <c r="AG2" s="949"/>
      <c r="AH2" s="949"/>
      <c r="AI2" s="949"/>
      <c r="AJ2" s="949"/>
      <c r="AK2" s="949"/>
      <c r="AL2" s="949"/>
      <c r="AM2" s="949"/>
      <c r="AN2" s="949"/>
      <c r="AO2" s="949"/>
      <c r="AP2" s="949"/>
      <c r="AQ2" s="949"/>
      <c r="AR2" s="949"/>
      <c r="AS2" s="949"/>
      <c r="AT2" s="949"/>
      <c r="AU2" s="949"/>
      <c r="AV2" s="949"/>
      <c r="AW2" s="949"/>
      <c r="AX2" s="949"/>
    </row>
    <row r="4" spans="1:50" s="210" customFormat="1" ht="18.75" x14ac:dyDescent="0.3">
      <c r="A4" s="207"/>
      <c r="B4" s="458" t="s">
        <v>914</v>
      </c>
      <c r="C4" s="207"/>
      <c r="D4" s="208"/>
      <c r="E4" s="208"/>
      <c r="F4" s="208"/>
      <c r="G4" s="209"/>
      <c r="H4" s="209"/>
      <c r="J4" s="211"/>
      <c r="K4" s="212"/>
      <c r="L4" s="211"/>
      <c r="M4" s="211"/>
      <c r="N4" s="211"/>
      <c r="O4" s="211"/>
      <c r="P4" s="211"/>
      <c r="Q4" s="213"/>
      <c r="R4" s="213"/>
    </row>
    <row r="5" spans="1:50" s="210" customFormat="1" ht="15.75" x14ac:dyDescent="0.25">
      <c r="A5" s="207"/>
      <c r="B5" s="206"/>
      <c r="C5" s="207"/>
      <c r="D5" s="208"/>
      <c r="E5" s="208"/>
      <c r="F5" s="208"/>
      <c r="G5" s="209"/>
      <c r="H5" s="209"/>
      <c r="J5" s="211"/>
      <c r="K5" s="212"/>
      <c r="L5" s="211"/>
      <c r="M5" s="211"/>
      <c r="N5" s="211"/>
      <c r="O5" s="211"/>
      <c r="P5" s="211"/>
      <c r="Q5" s="213"/>
      <c r="R5" s="213"/>
    </row>
    <row r="6" spans="1:50" s="210" customFormat="1" x14ac:dyDescent="0.25">
      <c r="A6" s="207"/>
      <c r="B6" s="214" t="s">
        <v>220</v>
      </c>
      <c r="C6" s="207"/>
      <c r="D6" s="208"/>
      <c r="E6" s="208"/>
      <c r="F6" s="208"/>
      <c r="G6" s="209"/>
      <c r="H6" s="209"/>
      <c r="I6" s="1488" t="s">
        <v>432</v>
      </c>
      <c r="J6" s="1488"/>
      <c r="K6" s="1488"/>
      <c r="L6" s="1488"/>
      <c r="M6" s="1488"/>
      <c r="N6" s="1488"/>
      <c r="O6" s="1488"/>
      <c r="P6" s="1488"/>
      <c r="Q6" s="1488"/>
      <c r="R6" s="1498" t="s">
        <v>222</v>
      </c>
      <c r="S6" s="1498"/>
      <c r="T6" s="1498"/>
      <c r="U6" s="1503" t="s">
        <v>223</v>
      </c>
      <c r="V6" s="1503"/>
      <c r="W6" s="1488" t="s">
        <v>433</v>
      </c>
      <c r="X6" s="1488"/>
      <c r="Y6" s="1488"/>
      <c r="Z6" s="1488"/>
    </row>
    <row r="7" spans="1:50" s="210" customFormat="1" ht="76.5" x14ac:dyDescent="0.25">
      <c r="A7" s="207"/>
      <c r="B7" s="1489" t="s">
        <v>224</v>
      </c>
      <c r="C7" s="1490" t="s">
        <v>225</v>
      </c>
      <c r="D7" s="1491" t="s">
        <v>226</v>
      </c>
      <c r="E7" s="1492" t="s">
        <v>227</v>
      </c>
      <c r="F7" s="1493" t="s">
        <v>221</v>
      </c>
      <c r="G7" s="215"/>
      <c r="H7" s="216" t="s">
        <v>228</v>
      </c>
      <c r="I7" s="217" t="s">
        <v>229</v>
      </c>
      <c r="J7" s="218" t="s">
        <v>184</v>
      </c>
      <c r="K7" s="219" t="s">
        <v>230</v>
      </c>
      <c r="L7" s="162" t="s">
        <v>232</v>
      </c>
      <c r="M7" s="220" t="s">
        <v>231</v>
      </c>
      <c r="N7" s="217" t="s">
        <v>233</v>
      </c>
      <c r="O7" s="217" t="s">
        <v>234</v>
      </c>
      <c r="P7" s="217" t="s">
        <v>19</v>
      </c>
      <c r="Q7" s="221"/>
      <c r="R7" s="222" t="s">
        <v>90</v>
      </c>
      <c r="S7" s="222" t="s">
        <v>91</v>
      </c>
      <c r="T7" s="222" t="s">
        <v>93</v>
      </c>
      <c r="U7" s="1494" t="s">
        <v>236</v>
      </c>
      <c r="V7" s="1494" t="s">
        <v>237</v>
      </c>
      <c r="W7" s="223" t="s">
        <v>229</v>
      </c>
      <c r="X7" s="217" t="s">
        <v>230</v>
      </c>
      <c r="Y7" s="1496" t="s">
        <v>238</v>
      </c>
      <c r="Z7" s="1497" t="s">
        <v>196</v>
      </c>
    </row>
    <row r="8" spans="1:50" s="210" customFormat="1" x14ac:dyDescent="0.25">
      <c r="A8" s="207"/>
      <c r="B8" s="1489"/>
      <c r="C8" s="1490"/>
      <c r="D8" s="1491"/>
      <c r="E8" s="1492"/>
      <c r="F8" s="1493"/>
      <c r="G8" s="215"/>
      <c r="H8" s="224"/>
      <c r="I8" s="225" t="s">
        <v>239</v>
      </c>
      <c r="J8" s="226" t="s">
        <v>240</v>
      </c>
      <c r="K8" s="227" t="s">
        <v>241</v>
      </c>
      <c r="L8" s="228"/>
      <c r="M8" s="228" t="s">
        <v>2</v>
      </c>
      <c r="N8" s="225" t="s">
        <v>242</v>
      </c>
      <c r="O8" s="225" t="s">
        <v>0</v>
      </c>
      <c r="P8" s="225" t="s">
        <v>243</v>
      </c>
      <c r="Q8" s="229" t="s">
        <v>196</v>
      </c>
      <c r="R8" s="1498" t="s">
        <v>219</v>
      </c>
      <c r="S8" s="1498"/>
      <c r="T8" s="1498"/>
      <c r="U8" s="1495"/>
      <c r="V8" s="1494"/>
      <c r="W8" s="230" t="s">
        <v>244</v>
      </c>
      <c r="X8" s="231" t="s">
        <v>241</v>
      </c>
      <c r="Y8" s="1496"/>
      <c r="Z8" s="1497"/>
    </row>
    <row r="9" spans="1:50" s="210" customFormat="1" x14ac:dyDescent="0.25">
      <c r="B9" s="232" t="s">
        <v>434</v>
      </c>
      <c r="C9" s="165" t="s">
        <v>435</v>
      </c>
      <c r="D9" s="163">
        <v>12.209999999999999</v>
      </c>
      <c r="E9" s="233">
        <v>1</v>
      </c>
      <c r="F9" s="233">
        <f>D9*E9</f>
        <v>12.209999999999999</v>
      </c>
      <c r="G9" s="209"/>
      <c r="H9" s="234">
        <f>I9+J9</f>
        <v>4.5999999999999996</v>
      </c>
      <c r="I9" s="235">
        <v>3.71</v>
      </c>
      <c r="J9" s="236">
        <v>0.89</v>
      </c>
      <c r="K9" s="212">
        <v>6.08</v>
      </c>
      <c r="L9" s="237">
        <f>N9+O9+P9</f>
        <v>1.5300000000000002</v>
      </c>
      <c r="M9" s="236">
        <v>0</v>
      </c>
      <c r="N9" s="236">
        <v>1.08</v>
      </c>
      <c r="O9" s="236">
        <v>0.12</v>
      </c>
      <c r="P9" s="236">
        <v>0.33</v>
      </c>
      <c r="Q9" s="236">
        <v>12.209999999999999</v>
      </c>
      <c r="R9" s="238">
        <v>15</v>
      </c>
      <c r="S9" s="238">
        <v>15</v>
      </c>
      <c r="T9" s="239">
        <v>0</v>
      </c>
      <c r="U9" s="240"/>
      <c r="V9" s="240"/>
      <c r="W9" s="241"/>
      <c r="X9" s="241"/>
      <c r="Y9" s="241"/>
      <c r="Z9" s="241"/>
      <c r="AD9" s="210" t="s">
        <v>434</v>
      </c>
      <c r="AE9" s="210">
        <v>1</v>
      </c>
    </row>
    <row r="10" spans="1:50" s="210" customFormat="1" ht="25.5" x14ac:dyDescent="0.25">
      <c r="B10" s="232" t="s">
        <v>436</v>
      </c>
      <c r="C10" s="165" t="s">
        <v>437</v>
      </c>
      <c r="D10" s="163">
        <v>33.42</v>
      </c>
      <c r="E10" s="233">
        <v>1</v>
      </c>
      <c r="F10" s="233">
        <f t="shared" ref="F10:F23" si="0">D10*E10</f>
        <v>33.42</v>
      </c>
      <c r="G10" s="209"/>
      <c r="H10" s="234">
        <f t="shared" ref="H10:H77" si="1">I10+J10</f>
        <v>9.2100000000000009</v>
      </c>
      <c r="I10" s="235">
        <v>7.42</v>
      </c>
      <c r="J10" s="236">
        <v>1.79</v>
      </c>
      <c r="K10" s="212">
        <v>19.010000000000002</v>
      </c>
      <c r="L10" s="237">
        <f t="shared" ref="L10:L77" si="2">N10+O10+P10</f>
        <v>5.1999999999999993</v>
      </c>
      <c r="M10" s="236">
        <v>0</v>
      </c>
      <c r="N10" s="236">
        <v>2.15</v>
      </c>
      <c r="O10" s="236">
        <v>0.23</v>
      </c>
      <c r="P10" s="236">
        <v>2.82</v>
      </c>
      <c r="Q10" s="236">
        <v>33.42</v>
      </c>
      <c r="R10" s="238">
        <v>30</v>
      </c>
      <c r="S10" s="238">
        <v>30</v>
      </c>
      <c r="T10" s="239">
        <v>0</v>
      </c>
      <c r="U10" s="240"/>
      <c r="V10" s="240"/>
      <c r="W10" s="241"/>
      <c r="X10" s="241"/>
      <c r="Y10" s="241"/>
      <c r="Z10" s="241"/>
      <c r="AD10" s="210" t="s">
        <v>436</v>
      </c>
      <c r="AE10" s="210">
        <v>1</v>
      </c>
    </row>
    <row r="11" spans="1:50" s="210" customFormat="1" x14ac:dyDescent="0.25">
      <c r="B11" s="232" t="s">
        <v>438</v>
      </c>
      <c r="C11" s="165" t="s">
        <v>439</v>
      </c>
      <c r="D11" s="163">
        <v>23.62</v>
      </c>
      <c r="E11" s="233">
        <v>1</v>
      </c>
      <c r="F11" s="233">
        <f t="shared" si="0"/>
        <v>23.62</v>
      </c>
      <c r="G11" s="209"/>
      <c r="H11" s="234">
        <f t="shared" si="1"/>
        <v>0</v>
      </c>
      <c r="I11" s="235">
        <v>0</v>
      </c>
      <c r="J11" s="236">
        <v>0</v>
      </c>
      <c r="K11" s="212">
        <v>23.62</v>
      </c>
      <c r="L11" s="237">
        <f t="shared" si="2"/>
        <v>0</v>
      </c>
      <c r="M11" s="236">
        <v>0</v>
      </c>
      <c r="N11" s="236">
        <v>0</v>
      </c>
      <c r="O11" s="236">
        <v>0</v>
      </c>
      <c r="P11" s="236">
        <v>0</v>
      </c>
      <c r="Q11" s="236">
        <v>23.62</v>
      </c>
      <c r="R11" s="238">
        <v>0</v>
      </c>
      <c r="S11" s="238">
        <v>0</v>
      </c>
      <c r="T11" s="239">
        <v>0</v>
      </c>
      <c r="U11" s="240"/>
      <c r="V11" s="240"/>
      <c r="W11" s="241"/>
      <c r="X11" s="241"/>
      <c r="Y11" s="241"/>
      <c r="Z11" s="241"/>
      <c r="AD11" s="210" t="s">
        <v>438</v>
      </c>
      <c r="AE11" s="210">
        <v>1</v>
      </c>
    </row>
    <row r="12" spans="1:50" s="210" customFormat="1" ht="25.5" x14ac:dyDescent="0.25">
      <c r="B12" s="232" t="s">
        <v>252</v>
      </c>
      <c r="C12" s="165" t="s">
        <v>440</v>
      </c>
      <c r="D12" s="163">
        <v>32.99</v>
      </c>
      <c r="E12" s="233">
        <v>2</v>
      </c>
      <c r="F12" s="233">
        <f t="shared" si="0"/>
        <v>65.98</v>
      </c>
      <c r="G12" s="209"/>
      <c r="H12" s="234">
        <f t="shared" si="1"/>
        <v>18.420000000000002</v>
      </c>
      <c r="I12" s="235">
        <v>14.84</v>
      </c>
      <c r="J12" s="236">
        <v>3.58</v>
      </c>
      <c r="K12" s="212">
        <v>35.24</v>
      </c>
      <c r="L12" s="237">
        <f t="shared" si="2"/>
        <v>12.32</v>
      </c>
      <c r="M12" s="236">
        <v>0</v>
      </c>
      <c r="N12" s="236">
        <v>4.3</v>
      </c>
      <c r="O12" s="236">
        <v>0.46</v>
      </c>
      <c r="P12" s="236">
        <v>7.56</v>
      </c>
      <c r="Q12" s="236">
        <v>65.98</v>
      </c>
      <c r="R12" s="238">
        <v>60</v>
      </c>
      <c r="S12" s="238">
        <v>60</v>
      </c>
      <c r="T12" s="239">
        <v>0</v>
      </c>
      <c r="U12" s="240"/>
      <c r="V12" s="240"/>
      <c r="W12" s="241"/>
      <c r="X12" s="241"/>
      <c r="Y12" s="241"/>
      <c r="Z12" s="241"/>
      <c r="AD12" s="210" t="s">
        <v>252</v>
      </c>
      <c r="AE12" s="210">
        <v>2</v>
      </c>
    </row>
    <row r="13" spans="1:50" s="210" customFormat="1" x14ac:dyDescent="0.25">
      <c r="B13" s="232" t="s">
        <v>253</v>
      </c>
      <c r="C13" s="165" t="s">
        <v>441</v>
      </c>
      <c r="D13" s="163">
        <v>83.24</v>
      </c>
      <c r="E13" s="233">
        <v>2</v>
      </c>
      <c r="F13" s="233">
        <f t="shared" si="0"/>
        <v>166.48</v>
      </c>
      <c r="G13" s="209"/>
      <c r="H13" s="234">
        <f t="shared" si="1"/>
        <v>36.86</v>
      </c>
      <c r="I13" s="235">
        <v>29.7</v>
      </c>
      <c r="J13" s="236">
        <v>7.16</v>
      </c>
      <c r="K13" s="212">
        <v>99.28</v>
      </c>
      <c r="L13" s="237">
        <f t="shared" si="2"/>
        <v>30.34</v>
      </c>
      <c r="M13" s="236">
        <v>0</v>
      </c>
      <c r="N13" s="236">
        <v>8.6</v>
      </c>
      <c r="O13" s="236">
        <v>0.94</v>
      </c>
      <c r="P13" s="236">
        <v>20.8</v>
      </c>
      <c r="Q13" s="236">
        <v>166.48</v>
      </c>
      <c r="R13" s="238">
        <v>120</v>
      </c>
      <c r="S13" s="238">
        <v>120</v>
      </c>
      <c r="T13" s="239">
        <v>0</v>
      </c>
      <c r="U13" s="240"/>
      <c r="V13" s="240"/>
      <c r="W13" s="241"/>
      <c r="X13" s="241"/>
      <c r="Y13" s="241"/>
      <c r="Z13" s="241"/>
      <c r="AD13" s="210" t="s">
        <v>253</v>
      </c>
      <c r="AE13" s="210">
        <v>2</v>
      </c>
    </row>
    <row r="14" spans="1:50" s="210" customFormat="1" ht="25.5" x14ac:dyDescent="0.25">
      <c r="B14" s="232" t="s">
        <v>254</v>
      </c>
      <c r="C14" s="165" t="s">
        <v>442</v>
      </c>
      <c r="D14" s="163">
        <v>39.919999999999995</v>
      </c>
      <c r="E14" s="233">
        <v>3</v>
      </c>
      <c r="F14" s="233">
        <f t="shared" si="0"/>
        <v>119.75999999999999</v>
      </c>
      <c r="G14" s="209"/>
      <c r="H14" s="234">
        <f t="shared" si="1"/>
        <v>50.67</v>
      </c>
      <c r="I14" s="235">
        <v>40.83</v>
      </c>
      <c r="J14" s="236">
        <v>9.84</v>
      </c>
      <c r="K14" s="212">
        <v>37.11</v>
      </c>
      <c r="L14" s="237">
        <f t="shared" si="2"/>
        <v>31.98</v>
      </c>
      <c r="M14" s="236">
        <v>0</v>
      </c>
      <c r="N14" s="236">
        <v>11.82</v>
      </c>
      <c r="O14" s="236">
        <v>1.29</v>
      </c>
      <c r="P14" s="236">
        <v>18.87</v>
      </c>
      <c r="Q14" s="236">
        <v>119.75999999999999</v>
      </c>
      <c r="R14" s="238">
        <v>165</v>
      </c>
      <c r="S14" s="238">
        <v>165</v>
      </c>
      <c r="T14" s="239">
        <v>0</v>
      </c>
      <c r="U14" s="240"/>
      <c r="V14" s="240"/>
      <c r="W14" s="241"/>
      <c r="X14" s="241"/>
      <c r="Y14" s="241"/>
      <c r="Z14" s="241"/>
      <c r="AD14" s="210" t="s">
        <v>254</v>
      </c>
      <c r="AE14" s="210">
        <v>3</v>
      </c>
    </row>
    <row r="15" spans="1:50" s="210" customFormat="1" x14ac:dyDescent="0.25">
      <c r="B15" s="232" t="s">
        <v>256</v>
      </c>
      <c r="C15" s="165" t="s">
        <v>443</v>
      </c>
      <c r="D15" s="163">
        <v>15.99</v>
      </c>
      <c r="E15" s="233">
        <v>3</v>
      </c>
      <c r="F15" s="233">
        <f t="shared" si="0"/>
        <v>47.97</v>
      </c>
      <c r="G15" s="209"/>
      <c r="H15" s="234">
        <f t="shared" si="1"/>
        <v>0</v>
      </c>
      <c r="I15" s="235">
        <v>0</v>
      </c>
      <c r="J15" s="236">
        <v>0</v>
      </c>
      <c r="K15" s="212">
        <v>47.97</v>
      </c>
      <c r="L15" s="237">
        <f t="shared" si="2"/>
        <v>0</v>
      </c>
      <c r="M15" s="236">
        <v>0</v>
      </c>
      <c r="N15" s="236">
        <v>0</v>
      </c>
      <c r="O15" s="236">
        <v>0</v>
      </c>
      <c r="P15" s="236">
        <v>0</v>
      </c>
      <c r="Q15" s="236">
        <v>47.97</v>
      </c>
      <c r="R15" s="238">
        <v>0</v>
      </c>
      <c r="S15" s="238">
        <v>0</v>
      </c>
      <c r="T15" s="239">
        <v>0</v>
      </c>
      <c r="U15" s="240"/>
      <c r="V15" s="240"/>
      <c r="W15" s="241"/>
      <c r="X15" s="241"/>
      <c r="Y15" s="241"/>
      <c r="Z15" s="241"/>
      <c r="AD15" s="210" t="s">
        <v>256</v>
      </c>
      <c r="AE15" s="210">
        <v>3</v>
      </c>
    </row>
    <row r="16" spans="1:50" s="210" customFormat="1" ht="25.5" x14ac:dyDescent="0.25">
      <c r="B16" s="232" t="s">
        <v>257</v>
      </c>
      <c r="C16" s="165" t="s">
        <v>444</v>
      </c>
      <c r="D16" s="163">
        <v>9.82</v>
      </c>
      <c r="E16" s="233">
        <v>4</v>
      </c>
      <c r="F16" s="233">
        <f t="shared" si="0"/>
        <v>39.28</v>
      </c>
      <c r="G16" s="209"/>
      <c r="H16" s="234">
        <f t="shared" si="1"/>
        <v>0</v>
      </c>
      <c r="I16" s="235">
        <v>0</v>
      </c>
      <c r="J16" s="236">
        <v>0</v>
      </c>
      <c r="K16" s="212">
        <v>39.28</v>
      </c>
      <c r="L16" s="237">
        <f t="shared" si="2"/>
        <v>0</v>
      </c>
      <c r="M16" s="236">
        <v>0</v>
      </c>
      <c r="N16" s="236">
        <v>0</v>
      </c>
      <c r="O16" s="236">
        <v>0</v>
      </c>
      <c r="P16" s="236">
        <v>0</v>
      </c>
      <c r="Q16" s="236">
        <v>39.28</v>
      </c>
      <c r="R16" s="238">
        <v>0</v>
      </c>
      <c r="S16" s="238">
        <v>0</v>
      </c>
      <c r="T16" s="239">
        <v>0</v>
      </c>
      <c r="U16" s="240"/>
      <c r="V16" s="240"/>
      <c r="W16" s="241"/>
      <c r="X16" s="241"/>
      <c r="Y16" s="241"/>
      <c r="Z16" s="241"/>
      <c r="AD16" s="210" t="s">
        <v>257</v>
      </c>
      <c r="AE16" s="210">
        <v>4</v>
      </c>
    </row>
    <row r="17" spans="2:31" s="210" customFormat="1" x14ac:dyDescent="0.25">
      <c r="B17" s="232" t="s">
        <v>445</v>
      </c>
      <c r="C17" s="165" t="s">
        <v>446</v>
      </c>
      <c r="D17" s="163">
        <v>10.66</v>
      </c>
      <c r="E17" s="233">
        <v>3</v>
      </c>
      <c r="F17" s="233">
        <f t="shared" si="0"/>
        <v>31.98</v>
      </c>
      <c r="G17" s="209"/>
      <c r="H17" s="234">
        <f t="shared" si="1"/>
        <v>0</v>
      </c>
      <c r="I17" s="235">
        <v>0</v>
      </c>
      <c r="J17" s="236">
        <v>0</v>
      </c>
      <c r="K17" s="212">
        <v>31.98</v>
      </c>
      <c r="L17" s="237">
        <f t="shared" si="2"/>
        <v>0</v>
      </c>
      <c r="M17" s="236">
        <v>0</v>
      </c>
      <c r="N17" s="236">
        <v>0</v>
      </c>
      <c r="O17" s="236">
        <v>0</v>
      </c>
      <c r="P17" s="236">
        <v>0</v>
      </c>
      <c r="Q17" s="236">
        <v>31.98</v>
      </c>
      <c r="R17" s="238">
        <v>0</v>
      </c>
      <c r="S17" s="238">
        <v>0</v>
      </c>
      <c r="T17" s="239">
        <v>0</v>
      </c>
      <c r="U17" s="240"/>
      <c r="V17" s="240"/>
      <c r="W17" s="241"/>
      <c r="X17" s="241"/>
      <c r="Y17" s="241"/>
      <c r="Z17" s="241"/>
      <c r="AD17" s="210" t="s">
        <v>445</v>
      </c>
      <c r="AE17" s="210">
        <v>3</v>
      </c>
    </row>
    <row r="18" spans="2:31" s="210" customFormat="1" x14ac:dyDescent="0.25">
      <c r="B18" s="232" t="s">
        <v>259</v>
      </c>
      <c r="C18" s="165" t="s">
        <v>447</v>
      </c>
      <c r="D18" s="163">
        <v>21.18</v>
      </c>
      <c r="E18" s="233">
        <v>2</v>
      </c>
      <c r="F18" s="233">
        <f t="shared" si="0"/>
        <v>42.36</v>
      </c>
      <c r="G18" s="209"/>
      <c r="H18" s="234">
        <f t="shared" si="1"/>
        <v>18.420000000000002</v>
      </c>
      <c r="I18" s="235">
        <v>14.84</v>
      </c>
      <c r="J18" s="236">
        <v>3.58</v>
      </c>
      <c r="K18" s="212">
        <v>15.16</v>
      </c>
      <c r="L18" s="237">
        <f t="shared" si="2"/>
        <v>8.7799999999999994</v>
      </c>
      <c r="M18" s="236">
        <v>0</v>
      </c>
      <c r="N18" s="236">
        <v>4.3</v>
      </c>
      <c r="O18" s="236">
        <v>0.46</v>
      </c>
      <c r="P18" s="236">
        <v>4.0199999999999996</v>
      </c>
      <c r="Q18" s="236">
        <v>42.36</v>
      </c>
      <c r="R18" s="238">
        <v>60</v>
      </c>
      <c r="S18" s="238">
        <v>60</v>
      </c>
      <c r="T18" s="239">
        <v>0</v>
      </c>
      <c r="U18" s="240"/>
      <c r="V18" s="240"/>
      <c r="W18" s="241"/>
      <c r="X18" s="241"/>
      <c r="Y18" s="241"/>
      <c r="Z18" s="241"/>
      <c r="AD18" s="210" t="s">
        <v>259</v>
      </c>
      <c r="AE18" s="210">
        <v>2</v>
      </c>
    </row>
    <row r="19" spans="2:31" s="210" customFormat="1" x14ac:dyDescent="0.25">
      <c r="B19" s="232" t="s">
        <v>260</v>
      </c>
      <c r="C19" s="165" t="s">
        <v>448</v>
      </c>
      <c r="D19" s="163">
        <v>10.76</v>
      </c>
      <c r="E19" s="233">
        <v>1</v>
      </c>
      <c r="F19" s="233">
        <f t="shared" si="0"/>
        <v>10.76</v>
      </c>
      <c r="G19" s="209"/>
      <c r="H19" s="234">
        <f t="shared" si="1"/>
        <v>0</v>
      </c>
      <c r="I19" s="235">
        <v>0</v>
      </c>
      <c r="J19" s="236">
        <v>0</v>
      </c>
      <c r="K19" s="212">
        <v>10.76</v>
      </c>
      <c r="L19" s="237">
        <f t="shared" si="2"/>
        <v>0</v>
      </c>
      <c r="M19" s="236">
        <v>0</v>
      </c>
      <c r="N19" s="236">
        <v>0</v>
      </c>
      <c r="O19" s="236">
        <v>0</v>
      </c>
      <c r="P19" s="236">
        <v>0</v>
      </c>
      <c r="Q19" s="236">
        <v>10.76</v>
      </c>
      <c r="R19" s="238">
        <v>0</v>
      </c>
      <c r="S19" s="238">
        <v>0</v>
      </c>
      <c r="T19" s="239">
        <v>0</v>
      </c>
      <c r="U19" s="240"/>
      <c r="V19" s="240"/>
      <c r="W19" s="241"/>
      <c r="X19" s="241"/>
      <c r="Y19" s="241"/>
      <c r="Z19" s="241"/>
      <c r="AD19" s="210" t="s">
        <v>260</v>
      </c>
      <c r="AE19" s="210">
        <v>1</v>
      </c>
    </row>
    <row r="20" spans="2:31" s="210" customFormat="1" x14ac:dyDescent="0.25">
      <c r="B20" s="232" t="s">
        <v>261</v>
      </c>
      <c r="C20" s="165" t="s">
        <v>449</v>
      </c>
      <c r="D20" s="163">
        <v>16.41</v>
      </c>
      <c r="E20" s="233">
        <v>1</v>
      </c>
      <c r="F20" s="233">
        <f t="shared" si="0"/>
        <v>16.41</v>
      </c>
      <c r="G20" s="209"/>
      <c r="H20" s="234">
        <f t="shared" si="1"/>
        <v>0</v>
      </c>
      <c r="I20" s="235">
        <v>0</v>
      </c>
      <c r="J20" s="236">
        <v>0</v>
      </c>
      <c r="K20" s="212">
        <v>16.41</v>
      </c>
      <c r="L20" s="237">
        <f t="shared" si="2"/>
        <v>0</v>
      </c>
      <c r="M20" s="236">
        <v>0</v>
      </c>
      <c r="N20" s="236">
        <v>0</v>
      </c>
      <c r="O20" s="236">
        <v>0</v>
      </c>
      <c r="P20" s="236">
        <v>0</v>
      </c>
      <c r="Q20" s="236">
        <v>16.41</v>
      </c>
      <c r="R20" s="238">
        <v>0</v>
      </c>
      <c r="S20" s="238">
        <v>0</v>
      </c>
      <c r="T20" s="239">
        <v>0</v>
      </c>
      <c r="U20" s="240"/>
      <c r="V20" s="240"/>
      <c r="W20" s="241"/>
      <c r="X20" s="241"/>
      <c r="Y20" s="241"/>
      <c r="Z20" s="241"/>
      <c r="AD20" s="210" t="s">
        <v>261</v>
      </c>
      <c r="AE20" s="210">
        <v>1</v>
      </c>
    </row>
    <row r="21" spans="2:31" s="210" customFormat="1" x14ac:dyDescent="0.25">
      <c r="B21" s="232" t="s">
        <v>450</v>
      </c>
      <c r="C21" s="165" t="s">
        <v>451</v>
      </c>
      <c r="D21" s="163">
        <v>47.07</v>
      </c>
      <c r="E21" s="233">
        <v>1</v>
      </c>
      <c r="F21" s="233">
        <f t="shared" si="0"/>
        <v>47.07</v>
      </c>
      <c r="G21" s="209"/>
      <c r="H21" s="234">
        <f t="shared" si="1"/>
        <v>0</v>
      </c>
      <c r="I21" s="235">
        <v>0</v>
      </c>
      <c r="J21" s="236">
        <v>0</v>
      </c>
      <c r="K21" s="212">
        <v>47.07</v>
      </c>
      <c r="L21" s="237">
        <f t="shared" si="2"/>
        <v>0</v>
      </c>
      <c r="M21" s="236">
        <v>0</v>
      </c>
      <c r="N21" s="236">
        <v>0</v>
      </c>
      <c r="O21" s="236">
        <v>0</v>
      </c>
      <c r="P21" s="236">
        <v>0</v>
      </c>
      <c r="Q21" s="236">
        <v>47.07</v>
      </c>
      <c r="R21" s="238">
        <v>0</v>
      </c>
      <c r="S21" s="238">
        <v>0</v>
      </c>
      <c r="T21" s="239">
        <v>0</v>
      </c>
      <c r="U21" s="240"/>
      <c r="V21" s="240"/>
      <c r="W21" s="241"/>
      <c r="X21" s="241"/>
      <c r="Y21" s="241"/>
      <c r="Z21" s="241"/>
      <c r="AD21" s="210" t="s">
        <v>450</v>
      </c>
      <c r="AE21" s="210">
        <v>1</v>
      </c>
    </row>
    <row r="22" spans="2:31" s="213" customFormat="1" ht="25.5" x14ac:dyDescent="0.25">
      <c r="B22" s="242" t="s">
        <v>263</v>
      </c>
      <c r="C22" s="165" t="s">
        <v>452</v>
      </c>
      <c r="D22" s="163">
        <v>76.22</v>
      </c>
      <c r="E22" s="243">
        <v>8</v>
      </c>
      <c r="F22" s="243">
        <f t="shared" si="0"/>
        <v>609.76</v>
      </c>
      <c r="G22" s="209"/>
      <c r="H22" s="234">
        <f t="shared" si="1"/>
        <v>0</v>
      </c>
      <c r="I22" s="235">
        <v>0</v>
      </c>
      <c r="J22" s="236">
        <v>0</v>
      </c>
      <c r="K22" s="212">
        <v>609.76</v>
      </c>
      <c r="L22" s="237">
        <f t="shared" si="2"/>
        <v>0</v>
      </c>
      <c r="M22" s="236">
        <v>0</v>
      </c>
      <c r="N22" s="236">
        <v>0</v>
      </c>
      <c r="O22" s="236">
        <v>0</v>
      </c>
      <c r="P22" s="236">
        <v>0</v>
      </c>
      <c r="Q22" s="236">
        <v>609.76</v>
      </c>
      <c r="R22" s="238">
        <v>0</v>
      </c>
      <c r="S22" s="238">
        <v>0</v>
      </c>
      <c r="T22" s="239">
        <v>0</v>
      </c>
      <c r="U22" s="240"/>
      <c r="V22" s="240"/>
      <c r="W22" s="244"/>
      <c r="X22" s="244"/>
      <c r="Y22" s="244"/>
      <c r="Z22" s="244"/>
      <c r="AD22" s="213" t="s">
        <v>263</v>
      </c>
      <c r="AE22" s="213">
        <v>8</v>
      </c>
    </row>
    <row r="23" spans="2:31" s="213" customFormat="1" ht="25.5" x14ac:dyDescent="0.25">
      <c r="B23" s="242" t="s">
        <v>264</v>
      </c>
      <c r="C23" s="165" t="s">
        <v>453</v>
      </c>
      <c r="D23" s="163">
        <v>22.75</v>
      </c>
      <c r="E23" s="243">
        <v>11</v>
      </c>
      <c r="F23" s="243">
        <f t="shared" si="0"/>
        <v>250.25</v>
      </c>
      <c r="G23" s="209"/>
      <c r="H23" s="234">
        <f t="shared" si="1"/>
        <v>0</v>
      </c>
      <c r="I23" s="235">
        <v>0</v>
      </c>
      <c r="J23" s="236">
        <v>0</v>
      </c>
      <c r="K23" s="212">
        <v>250.25</v>
      </c>
      <c r="L23" s="237">
        <f t="shared" si="2"/>
        <v>0</v>
      </c>
      <c r="M23" s="236">
        <v>0</v>
      </c>
      <c r="N23" s="236">
        <v>0</v>
      </c>
      <c r="O23" s="236">
        <v>0</v>
      </c>
      <c r="P23" s="236">
        <v>0</v>
      </c>
      <c r="Q23" s="236">
        <v>250.25</v>
      </c>
      <c r="R23" s="238">
        <v>0</v>
      </c>
      <c r="S23" s="238">
        <v>0</v>
      </c>
      <c r="T23" s="239">
        <v>0</v>
      </c>
      <c r="U23" s="240"/>
      <c r="V23" s="240"/>
      <c r="W23" s="244"/>
      <c r="X23" s="244"/>
      <c r="Y23" s="244"/>
      <c r="Z23" s="244"/>
      <c r="AD23" s="213" t="s">
        <v>264</v>
      </c>
      <c r="AE23" s="213">
        <v>11</v>
      </c>
    </row>
    <row r="24" spans="2:31" s="210" customFormat="1" x14ac:dyDescent="0.25">
      <c r="B24" s="245"/>
      <c r="C24" s="246" t="s">
        <v>265</v>
      </c>
      <c r="D24" s="247"/>
      <c r="E24" s="248">
        <f>SUM(E9:E23)</f>
        <v>44</v>
      </c>
      <c r="F24" s="248">
        <f t="shared" ref="F24:T24" si="3">SUM(F9:F23)</f>
        <v>1517.31</v>
      </c>
      <c r="G24" s="209"/>
      <c r="H24" s="234">
        <f t="shared" si="1"/>
        <v>138.18</v>
      </c>
      <c r="I24" s="249">
        <f t="shared" si="3"/>
        <v>111.34</v>
      </c>
      <c r="J24" s="250">
        <f t="shared" si="3"/>
        <v>26.839999999999996</v>
      </c>
      <c r="K24" s="209">
        <f t="shared" si="3"/>
        <v>1288.98</v>
      </c>
      <c r="L24" s="237">
        <f t="shared" si="2"/>
        <v>90.149999999999991</v>
      </c>
      <c r="M24" s="251">
        <f t="shared" si="3"/>
        <v>0</v>
      </c>
      <c r="N24" s="249">
        <f t="shared" si="3"/>
        <v>32.25</v>
      </c>
      <c r="O24" s="249">
        <f t="shared" si="3"/>
        <v>3.5</v>
      </c>
      <c r="P24" s="249">
        <f t="shared" si="3"/>
        <v>54.399999999999991</v>
      </c>
      <c r="Q24" s="249">
        <f t="shared" si="3"/>
        <v>1517.31</v>
      </c>
      <c r="R24" s="249">
        <f t="shared" si="3"/>
        <v>450</v>
      </c>
      <c r="S24" s="249">
        <f t="shared" si="3"/>
        <v>450</v>
      </c>
      <c r="T24" s="249">
        <f t="shared" si="3"/>
        <v>0</v>
      </c>
      <c r="U24" s="252"/>
      <c r="V24" s="241"/>
      <c r="W24" s="241"/>
      <c r="X24" s="241"/>
      <c r="Y24" s="241"/>
      <c r="Z24" s="241"/>
    </row>
    <row r="25" spans="2:31" s="210" customFormat="1" x14ac:dyDescent="0.25">
      <c r="B25" s="245"/>
      <c r="C25" s="253" t="s">
        <v>247</v>
      </c>
      <c r="D25" s="254"/>
      <c r="E25" s="255">
        <f>E24/$F$83</f>
        <v>0.35483870967741937</v>
      </c>
      <c r="F25" s="254">
        <f t="shared" ref="F25:T25" si="4">F24/$F$83</f>
        <v>12.236370967741935</v>
      </c>
      <c r="G25" s="256"/>
      <c r="H25" s="234">
        <f t="shared" si="1"/>
        <v>1.1143548387096773</v>
      </c>
      <c r="I25" s="257">
        <f t="shared" si="4"/>
        <v>0.89790322580645165</v>
      </c>
      <c r="J25" s="258">
        <f t="shared" si="4"/>
        <v>0.21645161290322579</v>
      </c>
      <c r="K25" s="256">
        <f t="shared" si="4"/>
        <v>10.395</v>
      </c>
      <c r="L25" s="237">
        <f t="shared" si="2"/>
        <v>0.72701612903225799</v>
      </c>
      <c r="M25" s="259">
        <f t="shared" si="4"/>
        <v>0</v>
      </c>
      <c r="N25" s="257">
        <f t="shared" si="4"/>
        <v>0.26008064516129031</v>
      </c>
      <c r="O25" s="257">
        <f t="shared" si="4"/>
        <v>2.8225806451612902E-2</v>
      </c>
      <c r="P25" s="257">
        <f t="shared" si="4"/>
        <v>0.43870967741935479</v>
      </c>
      <c r="Q25" s="257">
        <f t="shared" si="4"/>
        <v>12.236370967741935</v>
      </c>
      <c r="R25" s="257">
        <f t="shared" si="4"/>
        <v>3.629032258064516</v>
      </c>
      <c r="S25" s="257">
        <f t="shared" si="4"/>
        <v>3.629032258064516</v>
      </c>
      <c r="T25" s="260">
        <f t="shared" si="4"/>
        <v>0</v>
      </c>
      <c r="U25" s="261">
        <f>R25/9600</f>
        <v>3.7802419354838709E-4</v>
      </c>
      <c r="V25" s="262">
        <f>S25/9600</f>
        <v>3.7802419354838709E-4</v>
      </c>
      <c r="W25" s="263">
        <f>I25+J25</f>
        <v>1.1143548387096773</v>
      </c>
      <c r="X25" s="263">
        <f>K25</f>
        <v>10.395</v>
      </c>
      <c r="Y25" s="263">
        <f>Q25-(W25+X25)</f>
        <v>0.72701612903225943</v>
      </c>
      <c r="Z25" s="263">
        <f>W25+X25+Y25</f>
        <v>12.236370967741935</v>
      </c>
    </row>
    <row r="26" spans="2:31" s="210" customFormat="1" x14ac:dyDescent="0.25">
      <c r="B26" s="245"/>
      <c r="C26" s="167" t="s">
        <v>248</v>
      </c>
      <c r="D26" s="254"/>
      <c r="E26" s="255"/>
      <c r="F26" s="264">
        <f>F24/$F$84</f>
        <v>1.2570919635459816</v>
      </c>
      <c r="G26" s="256"/>
      <c r="H26" s="234"/>
      <c r="I26" s="265"/>
      <c r="J26" s="266"/>
      <c r="K26" s="256"/>
      <c r="L26" s="237"/>
      <c r="M26" s="266"/>
      <c r="N26" s="266"/>
      <c r="O26" s="266"/>
      <c r="P26" s="266"/>
      <c r="Q26" s="266"/>
      <c r="R26" s="266"/>
      <c r="S26" s="266"/>
      <c r="T26" s="267"/>
      <c r="U26" s="268"/>
      <c r="V26" s="268"/>
      <c r="W26" s="269"/>
      <c r="X26" s="269"/>
      <c r="Y26" s="269"/>
      <c r="Z26" s="269"/>
    </row>
    <row r="27" spans="2:31" s="210" customFormat="1" x14ac:dyDescent="0.25">
      <c r="B27" s="232" t="s">
        <v>266</v>
      </c>
      <c r="C27" s="165" t="s">
        <v>454</v>
      </c>
      <c r="D27" s="163">
        <v>37</v>
      </c>
      <c r="E27" s="270">
        <v>9</v>
      </c>
      <c r="F27" s="270">
        <f t="shared" ref="F27:F70" si="5">D27*E27</f>
        <v>333</v>
      </c>
      <c r="G27" s="209"/>
      <c r="H27" s="234">
        <f t="shared" si="1"/>
        <v>191.78999999999996</v>
      </c>
      <c r="I27" s="235">
        <v>154.52999999999997</v>
      </c>
      <c r="J27" s="236">
        <v>37.26</v>
      </c>
      <c r="K27" s="212">
        <v>7.38</v>
      </c>
      <c r="L27" s="237">
        <f t="shared" si="2"/>
        <v>133.82999999999998</v>
      </c>
      <c r="M27" s="236">
        <v>0</v>
      </c>
      <c r="N27" s="236">
        <v>44.820000000000007</v>
      </c>
      <c r="O27" s="236">
        <v>4.8600000000000003</v>
      </c>
      <c r="P27" s="236">
        <v>84.149999999999991</v>
      </c>
      <c r="Q27" s="236">
        <v>333</v>
      </c>
      <c r="R27" s="238">
        <v>729</v>
      </c>
      <c r="S27" s="238">
        <v>450</v>
      </c>
      <c r="T27" s="239">
        <v>0</v>
      </c>
      <c r="U27" s="240"/>
      <c r="V27" s="240"/>
      <c r="W27" s="241"/>
      <c r="X27" s="241"/>
      <c r="Y27" s="241"/>
      <c r="Z27" s="241"/>
    </row>
    <row r="28" spans="2:31" s="210" customFormat="1" ht="25.5" x14ac:dyDescent="0.25">
      <c r="B28" s="232" t="s">
        <v>267</v>
      </c>
      <c r="C28" s="165" t="s">
        <v>455</v>
      </c>
      <c r="D28" s="163">
        <v>39.06</v>
      </c>
      <c r="E28" s="270">
        <v>8</v>
      </c>
      <c r="F28" s="270">
        <f t="shared" si="5"/>
        <v>312.48</v>
      </c>
      <c r="G28" s="209"/>
      <c r="H28" s="234">
        <f t="shared" si="1"/>
        <v>147.44</v>
      </c>
      <c r="I28" s="235">
        <v>118.8</v>
      </c>
      <c r="J28" s="236">
        <v>28.64</v>
      </c>
      <c r="K28" s="212">
        <v>94.72</v>
      </c>
      <c r="L28" s="237">
        <f t="shared" si="2"/>
        <v>70.319999999999993</v>
      </c>
      <c r="M28" s="236">
        <v>0</v>
      </c>
      <c r="N28" s="236">
        <v>34.4</v>
      </c>
      <c r="O28" s="236">
        <v>3.76</v>
      </c>
      <c r="P28" s="236">
        <v>32.159999999999997</v>
      </c>
      <c r="Q28" s="236">
        <v>312.48</v>
      </c>
      <c r="R28" s="238">
        <v>480</v>
      </c>
      <c r="S28" s="238">
        <v>480</v>
      </c>
      <c r="T28" s="239">
        <v>0</v>
      </c>
      <c r="U28" s="240"/>
      <c r="V28" s="240"/>
      <c r="W28" s="241"/>
      <c r="X28" s="241"/>
      <c r="Y28" s="241"/>
      <c r="Z28" s="241"/>
    </row>
    <row r="29" spans="2:31" s="210" customFormat="1" ht="25.5" x14ac:dyDescent="0.25">
      <c r="B29" s="232" t="s">
        <v>270</v>
      </c>
      <c r="C29" s="165" t="s">
        <v>456</v>
      </c>
      <c r="D29" s="163">
        <v>71.8</v>
      </c>
      <c r="E29" s="270">
        <v>1</v>
      </c>
      <c r="F29" s="270">
        <f t="shared" si="5"/>
        <v>71.8</v>
      </c>
      <c r="G29" s="209"/>
      <c r="H29" s="234">
        <f t="shared" si="1"/>
        <v>36.85</v>
      </c>
      <c r="I29" s="235">
        <v>29.7</v>
      </c>
      <c r="J29" s="236">
        <v>7.15</v>
      </c>
      <c r="K29" s="212">
        <v>13.48</v>
      </c>
      <c r="L29" s="237">
        <f t="shared" si="2"/>
        <v>21.47</v>
      </c>
      <c r="M29" s="236">
        <v>0</v>
      </c>
      <c r="N29" s="236">
        <v>8.61</v>
      </c>
      <c r="O29" s="236">
        <v>0.94</v>
      </c>
      <c r="P29" s="236">
        <v>11.92</v>
      </c>
      <c r="Q29" s="236">
        <v>71.8</v>
      </c>
      <c r="R29" s="238">
        <v>120</v>
      </c>
      <c r="S29" s="238">
        <v>120</v>
      </c>
      <c r="T29" s="239">
        <v>0</v>
      </c>
      <c r="U29" s="240"/>
      <c r="V29" s="240"/>
      <c r="W29" s="241"/>
      <c r="X29" s="241"/>
      <c r="Y29" s="241"/>
      <c r="Z29" s="241"/>
    </row>
    <row r="30" spans="2:31" s="210" customFormat="1" ht="25.5" x14ac:dyDescent="0.25">
      <c r="B30" s="232" t="s">
        <v>272</v>
      </c>
      <c r="C30" s="165" t="s">
        <v>457</v>
      </c>
      <c r="D30" s="163">
        <v>8.07</v>
      </c>
      <c r="E30" s="270">
        <v>10</v>
      </c>
      <c r="F30" s="270">
        <f t="shared" si="5"/>
        <v>80.7</v>
      </c>
      <c r="G30" s="209"/>
      <c r="H30" s="234">
        <f t="shared" si="1"/>
        <v>0</v>
      </c>
      <c r="I30" s="235">
        <v>0</v>
      </c>
      <c r="J30" s="236">
        <v>0</v>
      </c>
      <c r="K30" s="212">
        <v>6.7</v>
      </c>
      <c r="L30" s="237">
        <f t="shared" si="2"/>
        <v>74</v>
      </c>
      <c r="M30" s="236">
        <v>0</v>
      </c>
      <c r="N30" s="236">
        <v>0</v>
      </c>
      <c r="O30" s="236">
        <v>0</v>
      </c>
      <c r="P30" s="236">
        <v>74</v>
      </c>
      <c r="Q30" s="236">
        <v>80.7</v>
      </c>
      <c r="R30" s="238">
        <v>0</v>
      </c>
      <c r="S30" s="238">
        <v>0</v>
      </c>
      <c r="T30" s="239">
        <v>0</v>
      </c>
      <c r="U30" s="240"/>
      <c r="V30" s="240"/>
      <c r="W30" s="241"/>
      <c r="X30" s="241"/>
      <c r="Y30" s="241"/>
      <c r="Z30" s="241"/>
    </row>
    <row r="31" spans="2:31" s="210" customFormat="1" x14ac:dyDescent="0.25">
      <c r="B31" s="232" t="s">
        <v>273</v>
      </c>
      <c r="C31" s="165" t="s">
        <v>458</v>
      </c>
      <c r="D31" s="163">
        <v>5.35</v>
      </c>
      <c r="E31" s="270">
        <v>9</v>
      </c>
      <c r="F31" s="270">
        <f t="shared" si="5"/>
        <v>48.15</v>
      </c>
      <c r="G31" s="209"/>
      <c r="H31" s="234">
        <f t="shared" si="1"/>
        <v>0</v>
      </c>
      <c r="I31" s="235">
        <v>0</v>
      </c>
      <c r="J31" s="236">
        <v>0</v>
      </c>
      <c r="K31" s="212">
        <v>48.15</v>
      </c>
      <c r="L31" s="237">
        <f t="shared" si="2"/>
        <v>0</v>
      </c>
      <c r="M31" s="236">
        <v>0</v>
      </c>
      <c r="N31" s="236">
        <v>0</v>
      </c>
      <c r="O31" s="236">
        <v>0</v>
      </c>
      <c r="P31" s="236">
        <v>0</v>
      </c>
      <c r="Q31" s="236">
        <v>48.15</v>
      </c>
      <c r="R31" s="238">
        <v>0</v>
      </c>
      <c r="S31" s="238">
        <v>0</v>
      </c>
      <c r="T31" s="239">
        <v>0</v>
      </c>
      <c r="U31" s="240"/>
      <c r="V31" s="240"/>
      <c r="W31" s="241"/>
      <c r="X31" s="241"/>
      <c r="Y31" s="241"/>
      <c r="Z31" s="241"/>
    </row>
    <row r="32" spans="2:31" s="210" customFormat="1" x14ac:dyDescent="0.25">
      <c r="B32" s="232" t="s">
        <v>459</v>
      </c>
      <c r="C32" s="165" t="s">
        <v>460</v>
      </c>
      <c r="D32" s="163">
        <v>18.59</v>
      </c>
      <c r="E32" s="270">
        <v>1</v>
      </c>
      <c r="F32" s="270">
        <f t="shared" si="5"/>
        <v>18.59</v>
      </c>
      <c r="G32" s="209"/>
      <c r="H32" s="234">
        <f t="shared" si="1"/>
        <v>9.2100000000000009</v>
      </c>
      <c r="I32" s="235">
        <v>7.42</v>
      </c>
      <c r="J32" s="236">
        <v>1.79</v>
      </c>
      <c r="K32" s="212">
        <v>6.63</v>
      </c>
      <c r="L32" s="237">
        <f t="shared" si="2"/>
        <v>2.75</v>
      </c>
      <c r="M32" s="236">
        <v>0</v>
      </c>
      <c r="N32" s="236">
        <v>2.15</v>
      </c>
      <c r="O32" s="236">
        <v>0.23</v>
      </c>
      <c r="P32" s="236">
        <v>0.37</v>
      </c>
      <c r="Q32" s="236">
        <v>18.59</v>
      </c>
      <c r="R32" s="238">
        <v>30</v>
      </c>
      <c r="S32" s="238">
        <v>30</v>
      </c>
      <c r="T32" s="239">
        <v>0</v>
      </c>
      <c r="U32" s="240"/>
      <c r="V32" s="240"/>
      <c r="W32" s="241"/>
      <c r="X32" s="241"/>
      <c r="Y32" s="241"/>
      <c r="Z32" s="241"/>
    </row>
    <row r="33" spans="2:50" s="210" customFormat="1" x14ac:dyDescent="0.25">
      <c r="B33" s="232" t="s">
        <v>461</v>
      </c>
      <c r="C33" s="165" t="s">
        <v>462</v>
      </c>
      <c r="D33" s="163">
        <v>264.25</v>
      </c>
      <c r="E33" s="270">
        <v>1</v>
      </c>
      <c r="F33" s="270">
        <f t="shared" si="5"/>
        <v>264.25</v>
      </c>
      <c r="G33" s="209"/>
      <c r="H33" s="234">
        <f t="shared" si="1"/>
        <v>104.82</v>
      </c>
      <c r="I33" s="235">
        <v>84.47</v>
      </c>
      <c r="J33" s="236">
        <v>20.350000000000001</v>
      </c>
      <c r="K33" s="212">
        <v>101.76</v>
      </c>
      <c r="L33" s="237">
        <f t="shared" si="2"/>
        <v>57.67</v>
      </c>
      <c r="M33" s="236">
        <v>0</v>
      </c>
      <c r="N33" s="236">
        <v>24.48</v>
      </c>
      <c r="O33" s="236">
        <v>2.66</v>
      </c>
      <c r="P33" s="236">
        <v>30.53</v>
      </c>
      <c r="Q33" s="236">
        <v>264.25</v>
      </c>
      <c r="R33" s="238">
        <v>450</v>
      </c>
      <c r="S33" s="238">
        <v>160</v>
      </c>
      <c r="T33" s="239">
        <v>0</v>
      </c>
      <c r="U33" s="240"/>
      <c r="V33" s="240"/>
      <c r="W33" s="241"/>
      <c r="X33" s="241"/>
      <c r="Y33" s="241"/>
      <c r="Z33" s="241"/>
    </row>
    <row r="34" spans="2:50" s="210" customFormat="1" x14ac:dyDescent="0.25">
      <c r="B34" s="232" t="s">
        <v>463</v>
      </c>
      <c r="C34" s="165" t="s">
        <v>464</v>
      </c>
      <c r="D34" s="163">
        <v>94.12</v>
      </c>
      <c r="E34" s="270">
        <v>1</v>
      </c>
      <c r="F34" s="270">
        <f t="shared" si="5"/>
        <v>94.12</v>
      </c>
      <c r="G34" s="209"/>
      <c r="H34" s="234">
        <f t="shared" si="1"/>
        <v>0</v>
      </c>
      <c r="I34" s="235">
        <v>0</v>
      </c>
      <c r="J34" s="236">
        <v>0</v>
      </c>
      <c r="K34" s="212">
        <v>94.12</v>
      </c>
      <c r="L34" s="237">
        <f t="shared" si="2"/>
        <v>0</v>
      </c>
      <c r="M34" s="236">
        <v>0</v>
      </c>
      <c r="N34" s="236">
        <v>0</v>
      </c>
      <c r="O34" s="236">
        <v>0</v>
      </c>
      <c r="P34" s="236">
        <v>0</v>
      </c>
      <c r="Q34" s="236">
        <v>94.12</v>
      </c>
      <c r="R34" s="238">
        <v>0</v>
      </c>
      <c r="S34" s="238">
        <v>0</v>
      </c>
      <c r="T34" s="239">
        <v>0</v>
      </c>
      <c r="U34" s="240"/>
      <c r="V34" s="240"/>
      <c r="W34" s="241"/>
      <c r="X34" s="241"/>
      <c r="Y34" s="241"/>
      <c r="Z34" s="241"/>
    </row>
    <row r="35" spans="2:50" s="210" customFormat="1" x14ac:dyDescent="0.25">
      <c r="B35" s="232" t="s">
        <v>465</v>
      </c>
      <c r="C35" s="165" t="s">
        <v>466</v>
      </c>
      <c r="D35" s="163">
        <v>94.12</v>
      </c>
      <c r="E35" s="270">
        <v>1</v>
      </c>
      <c r="F35" s="270">
        <f t="shared" si="5"/>
        <v>94.12</v>
      </c>
      <c r="G35" s="209"/>
      <c r="H35" s="234">
        <f t="shared" si="1"/>
        <v>0</v>
      </c>
      <c r="I35" s="235">
        <v>0</v>
      </c>
      <c r="J35" s="236">
        <v>0</v>
      </c>
      <c r="K35" s="212">
        <v>94.12</v>
      </c>
      <c r="L35" s="237">
        <f t="shared" si="2"/>
        <v>0</v>
      </c>
      <c r="M35" s="236">
        <v>0</v>
      </c>
      <c r="N35" s="236">
        <v>0</v>
      </c>
      <c r="O35" s="236">
        <v>0</v>
      </c>
      <c r="P35" s="236">
        <v>0</v>
      </c>
      <c r="Q35" s="236">
        <v>94.12</v>
      </c>
      <c r="R35" s="238">
        <v>0</v>
      </c>
      <c r="S35" s="238">
        <v>0</v>
      </c>
      <c r="T35" s="239">
        <v>0</v>
      </c>
      <c r="U35" s="240"/>
      <c r="V35" s="240"/>
      <c r="W35" s="241"/>
      <c r="X35" s="241"/>
      <c r="Y35" s="241"/>
      <c r="Z35" s="241"/>
    </row>
    <row r="36" spans="2:50" s="210" customFormat="1" x14ac:dyDescent="0.25">
      <c r="B36" s="232" t="s">
        <v>276</v>
      </c>
      <c r="C36" s="165" t="s">
        <v>467</v>
      </c>
      <c r="D36" s="163">
        <v>15.68</v>
      </c>
      <c r="E36" s="270">
        <v>2</v>
      </c>
      <c r="F36" s="270">
        <f t="shared" si="5"/>
        <v>31.36</v>
      </c>
      <c r="G36" s="209"/>
      <c r="H36" s="234">
        <f t="shared" si="1"/>
        <v>0</v>
      </c>
      <c r="I36" s="235">
        <v>0</v>
      </c>
      <c r="J36" s="236">
        <v>0</v>
      </c>
      <c r="K36" s="212">
        <v>0</v>
      </c>
      <c r="L36" s="237">
        <f t="shared" si="2"/>
        <v>31.36</v>
      </c>
      <c r="M36" s="236">
        <v>0</v>
      </c>
      <c r="N36" s="236">
        <v>0</v>
      </c>
      <c r="O36" s="236">
        <v>0</v>
      </c>
      <c r="P36" s="236">
        <v>31.36</v>
      </c>
      <c r="Q36" s="236">
        <v>31.36</v>
      </c>
      <c r="R36" s="238">
        <v>0</v>
      </c>
      <c r="S36" s="238">
        <v>0</v>
      </c>
      <c r="T36" s="239">
        <v>0</v>
      </c>
      <c r="U36" s="240"/>
      <c r="V36" s="240"/>
      <c r="W36" s="241"/>
      <c r="X36" s="241"/>
      <c r="Y36" s="241"/>
      <c r="Z36" s="241"/>
    </row>
    <row r="37" spans="2:50" x14ac:dyDescent="0.25">
      <c r="B37" s="245"/>
      <c r="C37" s="271" t="s">
        <v>204</v>
      </c>
      <c r="D37" s="272"/>
      <c r="E37" s="273">
        <f t="shared" ref="E37:R37" si="6">SUM(E27:E36)</f>
        <v>43</v>
      </c>
      <c r="F37" s="273">
        <f t="shared" si="6"/>
        <v>1348.57</v>
      </c>
      <c r="H37" s="234">
        <f t="shared" si="1"/>
        <v>490.11</v>
      </c>
      <c r="I37" s="274">
        <f t="shared" si="6"/>
        <v>394.91999999999996</v>
      </c>
      <c r="J37" s="275">
        <f t="shared" si="6"/>
        <v>95.190000000000026</v>
      </c>
      <c r="K37" s="209">
        <f t="shared" si="6"/>
        <v>467.06</v>
      </c>
      <c r="L37" s="237">
        <f t="shared" si="2"/>
        <v>391.40000000000003</v>
      </c>
      <c r="M37" s="276">
        <f t="shared" si="6"/>
        <v>0</v>
      </c>
      <c r="N37" s="274">
        <f t="shared" si="6"/>
        <v>114.46000000000001</v>
      </c>
      <c r="O37" s="274">
        <f t="shared" si="6"/>
        <v>12.450000000000001</v>
      </c>
      <c r="P37" s="274">
        <f t="shared" si="6"/>
        <v>264.49</v>
      </c>
      <c r="Q37" s="274">
        <f t="shared" si="6"/>
        <v>1348.57</v>
      </c>
      <c r="R37" s="275">
        <f t="shared" si="6"/>
        <v>1809</v>
      </c>
      <c r="S37" s="275">
        <f t="shared" ref="S37:T37" si="7">SUM(S27:S36)</f>
        <v>1240</v>
      </c>
      <c r="T37" s="274">
        <f t="shared" si="7"/>
        <v>0</v>
      </c>
      <c r="U37" s="252"/>
      <c r="V37" s="241"/>
      <c r="W37" s="241"/>
      <c r="X37" s="241"/>
      <c r="Y37" s="241"/>
      <c r="Z37" s="241"/>
    </row>
    <row r="38" spans="2:50" x14ac:dyDescent="0.25">
      <c r="B38" s="245"/>
      <c r="C38" s="277" t="s">
        <v>247</v>
      </c>
      <c r="D38" s="254"/>
      <c r="E38" s="255">
        <f>E37/$F$83</f>
        <v>0.34677419354838712</v>
      </c>
      <c r="F38" s="254">
        <f t="shared" ref="F38:T38" si="8">F37/$F$83</f>
        <v>10.875564516129032</v>
      </c>
      <c r="G38" s="256"/>
      <c r="H38" s="234">
        <f t="shared" si="1"/>
        <v>3.9525000000000001</v>
      </c>
      <c r="I38" s="257">
        <f t="shared" si="8"/>
        <v>3.1848387096774191</v>
      </c>
      <c r="J38" s="258">
        <f t="shared" si="8"/>
        <v>0.7676612903225809</v>
      </c>
      <c r="K38" s="256">
        <f t="shared" si="8"/>
        <v>3.7666129032258064</v>
      </c>
      <c r="L38" s="237">
        <f t="shared" si="2"/>
        <v>3.1564516129032261</v>
      </c>
      <c r="M38" s="259">
        <f t="shared" si="8"/>
        <v>0</v>
      </c>
      <c r="N38" s="257">
        <f t="shared" si="8"/>
        <v>0.92306451612903229</v>
      </c>
      <c r="O38" s="257">
        <f t="shared" si="8"/>
        <v>0.10040322580645163</v>
      </c>
      <c r="P38" s="257">
        <f t="shared" si="8"/>
        <v>2.1329838709677422</v>
      </c>
      <c r="Q38" s="257">
        <f t="shared" si="8"/>
        <v>10.875564516129032</v>
      </c>
      <c r="R38" s="257">
        <f t="shared" si="8"/>
        <v>14.588709677419354</v>
      </c>
      <c r="S38" s="257">
        <f t="shared" si="8"/>
        <v>10</v>
      </c>
      <c r="T38" s="260">
        <f t="shared" si="8"/>
        <v>0</v>
      </c>
      <c r="U38" s="261">
        <f>R38/9600</f>
        <v>1.5196572580645161E-3</v>
      </c>
      <c r="V38" s="262">
        <f>S38/9600</f>
        <v>1.0416666666666667E-3</v>
      </c>
      <c r="W38" s="263">
        <f>I38+J38</f>
        <v>3.9525000000000001</v>
      </c>
      <c r="X38" s="263">
        <f>K38</f>
        <v>3.7666129032258064</v>
      </c>
      <c r="Y38" s="263">
        <f>Q38-(W38+X38)</f>
        <v>3.1564516129032256</v>
      </c>
      <c r="Z38" s="263">
        <f>W38+X38+Y38</f>
        <v>10.875564516129032</v>
      </c>
    </row>
    <row r="39" spans="2:50" x14ac:dyDescent="0.25">
      <c r="B39" s="245"/>
      <c r="C39" s="167" t="s">
        <v>248</v>
      </c>
      <c r="D39" s="254"/>
      <c r="E39" s="278"/>
      <c r="F39" s="264">
        <f>F37/$F$84</f>
        <v>1.1172908036454017</v>
      </c>
      <c r="G39" s="256"/>
      <c r="H39" s="234"/>
      <c r="I39" s="265"/>
      <c r="J39" s="266"/>
      <c r="K39" s="256"/>
      <c r="L39" s="237"/>
      <c r="M39" s="266"/>
      <c r="N39" s="266"/>
      <c r="O39" s="266"/>
      <c r="P39" s="266"/>
      <c r="Q39" s="266"/>
      <c r="R39" s="266"/>
      <c r="S39" s="266"/>
      <c r="T39" s="267"/>
      <c r="U39" s="268"/>
      <c r="V39" s="268"/>
      <c r="W39" s="269"/>
      <c r="X39" s="269"/>
      <c r="Y39" s="269"/>
      <c r="Z39" s="269"/>
    </row>
    <row r="40" spans="2:50" s="281" customFormat="1" x14ac:dyDescent="0.25">
      <c r="B40" s="242" t="s">
        <v>282</v>
      </c>
      <c r="C40" s="165" t="s">
        <v>468</v>
      </c>
      <c r="D40" s="163">
        <v>10.510000000000002</v>
      </c>
      <c r="E40" s="279">
        <v>1</v>
      </c>
      <c r="F40" s="270">
        <f t="shared" si="5"/>
        <v>10.510000000000002</v>
      </c>
      <c r="G40" s="209"/>
      <c r="H40" s="234">
        <f t="shared" si="1"/>
        <v>3.1</v>
      </c>
      <c r="I40" s="235">
        <v>2.5</v>
      </c>
      <c r="J40" s="236">
        <v>0.6</v>
      </c>
      <c r="K40" s="212">
        <v>5.56</v>
      </c>
      <c r="L40" s="237">
        <f t="shared" si="2"/>
        <v>1.85</v>
      </c>
      <c r="M40" s="236">
        <v>0</v>
      </c>
      <c r="N40" s="236">
        <v>0.72</v>
      </c>
      <c r="O40" s="236">
        <v>0.08</v>
      </c>
      <c r="P40" s="236">
        <v>1.05</v>
      </c>
      <c r="Q40" s="236">
        <v>10.510000000000002</v>
      </c>
      <c r="R40" s="238">
        <v>9</v>
      </c>
      <c r="S40" s="238">
        <v>12</v>
      </c>
      <c r="T40" s="239">
        <v>0</v>
      </c>
      <c r="U40" s="240"/>
      <c r="V40" s="240"/>
      <c r="W40" s="280"/>
      <c r="X40" s="280"/>
      <c r="Y40" s="280"/>
      <c r="Z40" s="280"/>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row>
    <row r="41" spans="2:50" s="281" customFormat="1" x14ac:dyDescent="0.25">
      <c r="B41" s="242" t="s">
        <v>469</v>
      </c>
      <c r="C41" s="165" t="s">
        <v>470</v>
      </c>
      <c r="D41" s="163">
        <v>12.530000000000001</v>
      </c>
      <c r="E41" s="279">
        <v>1</v>
      </c>
      <c r="F41" s="270">
        <f t="shared" si="5"/>
        <v>12.530000000000001</v>
      </c>
      <c r="G41" s="209"/>
      <c r="H41" s="234">
        <f t="shared" si="1"/>
        <v>5.22</v>
      </c>
      <c r="I41" s="235">
        <v>4.21</v>
      </c>
      <c r="J41" s="236">
        <v>1.01</v>
      </c>
      <c r="K41" s="212">
        <v>5.39</v>
      </c>
      <c r="L41" s="237">
        <f t="shared" si="2"/>
        <v>1.92</v>
      </c>
      <c r="M41" s="236">
        <v>0</v>
      </c>
      <c r="N41" s="236">
        <v>1.22</v>
      </c>
      <c r="O41" s="236">
        <v>0.13</v>
      </c>
      <c r="P41" s="236">
        <v>0.56999999999999995</v>
      </c>
      <c r="Q41" s="236">
        <v>12.530000000000001</v>
      </c>
      <c r="R41" s="238">
        <v>14</v>
      </c>
      <c r="S41" s="238">
        <v>22</v>
      </c>
      <c r="T41" s="239">
        <v>0</v>
      </c>
      <c r="U41" s="240"/>
      <c r="V41" s="240"/>
      <c r="W41" s="280"/>
      <c r="X41" s="280"/>
      <c r="Y41" s="280"/>
      <c r="Z41" s="280"/>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row>
    <row r="42" spans="2:50" s="281" customFormat="1" x14ac:dyDescent="0.25">
      <c r="B42" s="242" t="s">
        <v>283</v>
      </c>
      <c r="C42" s="165" t="s">
        <v>471</v>
      </c>
      <c r="D42" s="163">
        <v>5.8500000000000005</v>
      </c>
      <c r="E42" s="279">
        <v>1</v>
      </c>
      <c r="F42" s="270">
        <f t="shared" si="5"/>
        <v>5.8500000000000005</v>
      </c>
      <c r="G42" s="209"/>
      <c r="H42" s="234">
        <f t="shared" si="1"/>
        <v>1.1200000000000001</v>
      </c>
      <c r="I42" s="235">
        <v>0.9</v>
      </c>
      <c r="J42" s="236">
        <v>0.22</v>
      </c>
      <c r="K42" s="212">
        <v>4.25</v>
      </c>
      <c r="L42" s="237">
        <f t="shared" si="2"/>
        <v>0.48000000000000004</v>
      </c>
      <c r="M42" s="236">
        <v>0</v>
      </c>
      <c r="N42" s="236">
        <v>0.26</v>
      </c>
      <c r="O42" s="236">
        <v>0.03</v>
      </c>
      <c r="P42" s="236">
        <v>0.19</v>
      </c>
      <c r="Q42" s="236">
        <v>5.8500000000000005</v>
      </c>
      <c r="R42" s="238">
        <v>4</v>
      </c>
      <c r="S42" s="238">
        <v>3</v>
      </c>
      <c r="T42" s="239">
        <v>0</v>
      </c>
      <c r="U42" s="240"/>
      <c r="V42" s="240"/>
      <c r="W42" s="280"/>
      <c r="X42" s="280"/>
      <c r="Y42" s="280"/>
      <c r="Z42" s="280"/>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row>
    <row r="43" spans="2:50" s="281" customFormat="1" x14ac:dyDescent="0.25">
      <c r="B43" s="242" t="s">
        <v>284</v>
      </c>
      <c r="C43" s="165" t="s">
        <v>472</v>
      </c>
      <c r="D43" s="163">
        <v>5.8500000000000005</v>
      </c>
      <c r="E43" s="279">
        <v>2</v>
      </c>
      <c r="F43" s="270">
        <f t="shared" si="5"/>
        <v>11.700000000000001</v>
      </c>
      <c r="G43" s="209"/>
      <c r="H43" s="234">
        <f t="shared" si="1"/>
        <v>2.2400000000000002</v>
      </c>
      <c r="I43" s="235">
        <v>1.8</v>
      </c>
      <c r="J43" s="236">
        <v>0.44</v>
      </c>
      <c r="K43" s="212">
        <v>8.5</v>
      </c>
      <c r="L43" s="237">
        <f t="shared" si="2"/>
        <v>0.96000000000000008</v>
      </c>
      <c r="M43" s="236">
        <v>0</v>
      </c>
      <c r="N43" s="236">
        <v>0.52</v>
      </c>
      <c r="O43" s="236">
        <v>0.06</v>
      </c>
      <c r="P43" s="236">
        <v>0.38</v>
      </c>
      <c r="Q43" s="236">
        <v>11.700000000000001</v>
      </c>
      <c r="R43" s="238">
        <v>8</v>
      </c>
      <c r="S43" s="238">
        <v>6</v>
      </c>
      <c r="T43" s="239">
        <v>0</v>
      </c>
      <c r="U43" s="240"/>
      <c r="V43" s="240"/>
      <c r="W43" s="280"/>
      <c r="X43" s="280"/>
      <c r="Y43" s="280"/>
      <c r="Z43" s="280"/>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row>
    <row r="44" spans="2:50" s="281" customFormat="1" x14ac:dyDescent="0.25">
      <c r="B44" s="242" t="s">
        <v>285</v>
      </c>
      <c r="C44" s="165" t="s">
        <v>473</v>
      </c>
      <c r="D44" s="163">
        <v>5.1999999999999993</v>
      </c>
      <c r="E44" s="279">
        <v>37</v>
      </c>
      <c r="F44" s="270">
        <f t="shared" si="5"/>
        <v>192.39999999999998</v>
      </c>
      <c r="G44" s="209"/>
      <c r="H44" s="234">
        <f t="shared" si="1"/>
        <v>22.939999999999998</v>
      </c>
      <c r="I44" s="235">
        <v>18.5</v>
      </c>
      <c r="J44" s="236">
        <v>4.4399999999999995</v>
      </c>
      <c r="K44" s="212">
        <v>157.25</v>
      </c>
      <c r="L44" s="237">
        <f t="shared" si="2"/>
        <v>12.21</v>
      </c>
      <c r="M44" s="236">
        <v>0</v>
      </c>
      <c r="N44" s="236">
        <v>5.1800000000000006</v>
      </c>
      <c r="O44" s="236">
        <v>0.74</v>
      </c>
      <c r="P44" s="236">
        <v>6.29</v>
      </c>
      <c r="Q44" s="236">
        <v>192.39999999999998</v>
      </c>
      <c r="R44" s="238">
        <v>74</v>
      </c>
      <c r="S44" s="238">
        <v>74</v>
      </c>
      <c r="T44" s="239">
        <v>0</v>
      </c>
      <c r="U44" s="240"/>
      <c r="V44" s="240"/>
      <c r="W44" s="280"/>
      <c r="X44" s="280"/>
      <c r="Y44" s="280"/>
      <c r="Z44" s="280"/>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row>
    <row r="45" spans="2:50" s="281" customFormat="1" x14ac:dyDescent="0.25">
      <c r="B45" s="242" t="s">
        <v>286</v>
      </c>
      <c r="C45" s="165" t="s">
        <v>474</v>
      </c>
      <c r="D45" s="163">
        <v>5.8500000000000005</v>
      </c>
      <c r="E45" s="279">
        <v>1</v>
      </c>
      <c r="F45" s="270">
        <f t="shared" si="5"/>
        <v>5.8500000000000005</v>
      </c>
      <c r="G45" s="209"/>
      <c r="H45" s="234">
        <f t="shared" si="1"/>
        <v>1.1200000000000001</v>
      </c>
      <c r="I45" s="235">
        <v>0.9</v>
      </c>
      <c r="J45" s="236">
        <v>0.22</v>
      </c>
      <c r="K45" s="212">
        <v>4.25</v>
      </c>
      <c r="L45" s="237">
        <f t="shared" si="2"/>
        <v>0.48000000000000004</v>
      </c>
      <c r="M45" s="236">
        <v>0</v>
      </c>
      <c r="N45" s="236">
        <v>0.26</v>
      </c>
      <c r="O45" s="236">
        <v>0.03</v>
      </c>
      <c r="P45" s="236">
        <v>0.19</v>
      </c>
      <c r="Q45" s="236">
        <v>5.8500000000000005</v>
      </c>
      <c r="R45" s="238">
        <v>4</v>
      </c>
      <c r="S45" s="238">
        <v>3</v>
      </c>
      <c r="T45" s="239">
        <v>0</v>
      </c>
      <c r="U45" s="240"/>
      <c r="V45" s="240"/>
      <c r="W45" s="280"/>
      <c r="X45" s="280"/>
      <c r="Y45" s="280"/>
      <c r="Z45" s="280"/>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row>
    <row r="46" spans="2:50" s="281" customFormat="1" x14ac:dyDescent="0.25">
      <c r="B46" s="242" t="s">
        <v>475</v>
      </c>
      <c r="C46" s="165" t="s">
        <v>476</v>
      </c>
      <c r="D46" s="163">
        <v>7.0799999999999992</v>
      </c>
      <c r="E46" s="279">
        <v>1</v>
      </c>
      <c r="F46" s="270">
        <f t="shared" si="5"/>
        <v>7.0799999999999992</v>
      </c>
      <c r="G46" s="209"/>
      <c r="H46" s="234">
        <f t="shared" si="1"/>
        <v>0.91999999999999993</v>
      </c>
      <c r="I46" s="235">
        <v>0.74</v>
      </c>
      <c r="J46" s="236">
        <v>0.18</v>
      </c>
      <c r="K46" s="212">
        <v>5.76</v>
      </c>
      <c r="L46" s="237">
        <f t="shared" si="2"/>
        <v>0.4</v>
      </c>
      <c r="M46" s="236">
        <v>0</v>
      </c>
      <c r="N46" s="236">
        <v>0.21</v>
      </c>
      <c r="O46" s="236">
        <v>0.02</v>
      </c>
      <c r="P46" s="236">
        <v>0.17</v>
      </c>
      <c r="Q46" s="236">
        <v>7.0799999999999992</v>
      </c>
      <c r="R46" s="238">
        <v>3</v>
      </c>
      <c r="S46" s="238">
        <v>3</v>
      </c>
      <c r="T46" s="239">
        <v>0</v>
      </c>
      <c r="U46" s="240"/>
      <c r="V46" s="240"/>
      <c r="W46" s="280"/>
      <c r="X46" s="280"/>
      <c r="Y46" s="280"/>
      <c r="Z46" s="280"/>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row>
    <row r="47" spans="2:50" s="210" customFormat="1" x14ac:dyDescent="0.25">
      <c r="B47" s="245"/>
      <c r="C47" s="282" t="s">
        <v>287</v>
      </c>
      <c r="D47" s="272"/>
      <c r="E47" s="273">
        <f>SUM(E40:E46)</f>
        <v>44</v>
      </c>
      <c r="F47" s="273">
        <f>SUM(F40:F46)</f>
        <v>245.92</v>
      </c>
      <c r="G47" s="209"/>
      <c r="H47" s="234">
        <f t="shared" si="1"/>
        <v>36.659999999999997</v>
      </c>
      <c r="I47" s="274">
        <f t="shared" ref="I47:T47" si="9">SUM(I40:I46)</f>
        <v>29.549999999999997</v>
      </c>
      <c r="J47" s="275">
        <f t="shared" si="9"/>
        <v>7.1099999999999985</v>
      </c>
      <c r="K47" s="209">
        <f t="shared" si="9"/>
        <v>190.95999999999998</v>
      </c>
      <c r="L47" s="237">
        <f t="shared" si="2"/>
        <v>18.3</v>
      </c>
      <c r="M47" s="276">
        <f t="shared" si="9"/>
        <v>0</v>
      </c>
      <c r="N47" s="274">
        <f t="shared" si="9"/>
        <v>8.370000000000001</v>
      </c>
      <c r="O47" s="274">
        <f t="shared" si="9"/>
        <v>1.0900000000000001</v>
      </c>
      <c r="P47" s="274">
        <f t="shared" si="9"/>
        <v>8.84</v>
      </c>
      <c r="Q47" s="274">
        <f t="shared" si="9"/>
        <v>245.92</v>
      </c>
      <c r="R47" s="274">
        <f t="shared" si="9"/>
        <v>116</v>
      </c>
      <c r="S47" s="274">
        <f t="shared" si="9"/>
        <v>123</v>
      </c>
      <c r="T47" s="274">
        <f t="shared" si="9"/>
        <v>0</v>
      </c>
      <c r="U47" s="252"/>
      <c r="V47" s="241"/>
      <c r="W47" s="241"/>
      <c r="X47" s="241"/>
      <c r="Y47" s="241"/>
      <c r="Z47" s="241"/>
    </row>
    <row r="48" spans="2:50" s="210" customFormat="1" x14ac:dyDescent="0.25">
      <c r="B48" s="245"/>
      <c r="C48" s="253" t="s">
        <v>247</v>
      </c>
      <c r="D48" s="254"/>
      <c r="E48" s="255">
        <f>E47/$F$83</f>
        <v>0.35483870967741937</v>
      </c>
      <c r="F48" s="254">
        <f t="shared" ref="F48:T48" si="10">F47/$F$83</f>
        <v>1.9832258064516128</v>
      </c>
      <c r="G48" s="256"/>
      <c r="H48" s="234">
        <f t="shared" si="1"/>
        <v>0.29564516129032253</v>
      </c>
      <c r="I48" s="257">
        <f t="shared" si="10"/>
        <v>0.2383064516129032</v>
      </c>
      <c r="J48" s="258">
        <f t="shared" si="10"/>
        <v>5.7338709677419344E-2</v>
      </c>
      <c r="K48" s="256">
        <f t="shared" si="10"/>
        <v>1.5399999999999998</v>
      </c>
      <c r="L48" s="237">
        <f t="shared" si="2"/>
        <v>0.14758064516129032</v>
      </c>
      <c r="M48" s="259">
        <f t="shared" si="10"/>
        <v>0</v>
      </c>
      <c r="N48" s="257">
        <f t="shared" si="10"/>
        <v>6.7500000000000004E-2</v>
      </c>
      <c r="O48" s="257">
        <f t="shared" si="10"/>
        <v>8.7903225806451619E-3</v>
      </c>
      <c r="P48" s="257">
        <f t="shared" si="10"/>
        <v>7.129032258064516E-2</v>
      </c>
      <c r="Q48" s="257">
        <f t="shared" si="10"/>
        <v>1.9832258064516128</v>
      </c>
      <c r="R48" s="257">
        <f t="shared" si="10"/>
        <v>0.93548387096774188</v>
      </c>
      <c r="S48" s="257">
        <f t="shared" si="10"/>
        <v>0.99193548387096775</v>
      </c>
      <c r="T48" s="260">
        <f t="shared" si="10"/>
        <v>0</v>
      </c>
      <c r="U48" s="261">
        <f>R48/9600</f>
        <v>9.7446236559139778E-5</v>
      </c>
      <c r="V48" s="262">
        <f>S48/9600</f>
        <v>1.033266129032258E-4</v>
      </c>
      <c r="W48" s="263">
        <f>I48+J48</f>
        <v>0.29564516129032253</v>
      </c>
      <c r="X48" s="263">
        <f>K48</f>
        <v>1.5399999999999998</v>
      </c>
      <c r="Y48" s="263">
        <f>Q48-(W48+X48)</f>
        <v>0.14758064516129044</v>
      </c>
      <c r="Z48" s="263">
        <f>W48+X48+Y48</f>
        <v>1.9832258064516128</v>
      </c>
    </row>
    <row r="49" spans="2:26" s="210" customFormat="1" x14ac:dyDescent="0.25">
      <c r="B49" s="245"/>
      <c r="C49" s="167" t="s">
        <v>248</v>
      </c>
      <c r="D49" s="254"/>
      <c r="E49" s="278"/>
      <c r="F49" s="264">
        <f>F47/$F$84</f>
        <v>0.20374482187241091</v>
      </c>
      <c r="G49" s="256"/>
      <c r="H49" s="234"/>
      <c r="I49" s="265"/>
      <c r="J49" s="266"/>
      <c r="K49" s="256"/>
      <c r="L49" s="237"/>
      <c r="M49" s="266"/>
      <c r="N49" s="266"/>
      <c r="O49" s="266"/>
      <c r="P49" s="266"/>
      <c r="Q49" s="266"/>
      <c r="R49" s="266"/>
      <c r="S49" s="266"/>
      <c r="T49" s="267"/>
      <c r="U49" s="268"/>
      <c r="V49" s="268"/>
      <c r="W49" s="269"/>
      <c r="X49" s="269"/>
      <c r="Y49" s="269"/>
      <c r="Z49" s="269"/>
    </row>
    <row r="50" spans="2:26" s="210" customFormat="1" x14ac:dyDescent="0.25">
      <c r="B50" s="232" t="s">
        <v>297</v>
      </c>
      <c r="C50" s="165" t="s">
        <v>477</v>
      </c>
      <c r="D50" s="163">
        <v>12.32</v>
      </c>
      <c r="E50" s="233">
        <v>33</v>
      </c>
      <c r="F50" s="233">
        <f t="shared" si="5"/>
        <v>406.56</v>
      </c>
      <c r="G50" s="209"/>
      <c r="H50" s="234">
        <f t="shared" si="1"/>
        <v>244.52999999999997</v>
      </c>
      <c r="I50" s="235">
        <v>197.01</v>
      </c>
      <c r="J50" s="236">
        <v>47.519999999999996</v>
      </c>
      <c r="K50" s="212">
        <v>88.77</v>
      </c>
      <c r="L50" s="237">
        <f t="shared" si="2"/>
        <v>73.260000000000005</v>
      </c>
      <c r="M50" s="236">
        <v>0</v>
      </c>
      <c r="N50" s="236">
        <v>57.089999999999996</v>
      </c>
      <c r="O50" s="236">
        <v>6.2700000000000005</v>
      </c>
      <c r="P50" s="236">
        <v>9.9</v>
      </c>
      <c r="Q50" s="236">
        <v>406.56</v>
      </c>
      <c r="R50" s="238">
        <v>561</v>
      </c>
      <c r="S50" s="238">
        <v>1188</v>
      </c>
      <c r="T50" s="239">
        <v>0</v>
      </c>
      <c r="U50" s="240"/>
      <c r="V50" s="240"/>
      <c r="W50" s="241"/>
      <c r="X50" s="241"/>
      <c r="Y50" s="241"/>
      <c r="Z50" s="241"/>
    </row>
    <row r="51" spans="2:26" s="210" customFormat="1" x14ac:dyDescent="0.25">
      <c r="B51" s="232" t="s">
        <v>298</v>
      </c>
      <c r="C51" s="165" t="s">
        <v>478</v>
      </c>
      <c r="D51" s="163">
        <v>25.530000000000005</v>
      </c>
      <c r="E51" s="233">
        <v>11</v>
      </c>
      <c r="F51" s="233">
        <f t="shared" si="5"/>
        <v>280.83000000000004</v>
      </c>
      <c r="G51" s="209"/>
      <c r="H51" s="234">
        <f t="shared" si="1"/>
        <v>145.20000000000002</v>
      </c>
      <c r="I51" s="235">
        <v>117.04</v>
      </c>
      <c r="J51" s="236">
        <v>28.16</v>
      </c>
      <c r="K51" s="212">
        <v>92.18</v>
      </c>
      <c r="L51" s="237">
        <f t="shared" si="2"/>
        <v>43.45</v>
      </c>
      <c r="M51" s="236">
        <v>0</v>
      </c>
      <c r="N51" s="236">
        <v>33.880000000000003</v>
      </c>
      <c r="O51" s="236">
        <v>3.74</v>
      </c>
      <c r="P51" s="236">
        <v>5.83</v>
      </c>
      <c r="Q51" s="236">
        <v>280.83000000000004</v>
      </c>
      <c r="R51" s="238">
        <v>407</v>
      </c>
      <c r="S51" s="238">
        <v>583</v>
      </c>
      <c r="T51" s="239">
        <v>0</v>
      </c>
      <c r="U51" s="240"/>
      <c r="V51" s="240"/>
      <c r="W51" s="241"/>
      <c r="X51" s="241"/>
      <c r="Y51" s="241"/>
      <c r="Z51" s="241"/>
    </row>
    <row r="52" spans="2:26" s="210" customFormat="1" x14ac:dyDescent="0.25">
      <c r="B52" s="232" t="s">
        <v>299</v>
      </c>
      <c r="C52" s="165" t="s">
        <v>479</v>
      </c>
      <c r="D52" s="163">
        <v>27.66</v>
      </c>
      <c r="E52" s="233">
        <v>7</v>
      </c>
      <c r="F52" s="233">
        <f t="shared" si="5"/>
        <v>193.62</v>
      </c>
      <c r="G52" s="209"/>
      <c r="H52" s="234">
        <f t="shared" si="1"/>
        <v>96.67</v>
      </c>
      <c r="I52" s="235">
        <v>77.91</v>
      </c>
      <c r="J52" s="236">
        <v>18.760000000000002</v>
      </c>
      <c r="K52" s="212">
        <v>67.97</v>
      </c>
      <c r="L52" s="237">
        <f t="shared" si="2"/>
        <v>28.98</v>
      </c>
      <c r="M52" s="236">
        <v>0</v>
      </c>
      <c r="N52" s="236">
        <v>22.61</v>
      </c>
      <c r="O52" s="236">
        <v>2.4499999999999997</v>
      </c>
      <c r="P52" s="236">
        <v>3.9200000000000004</v>
      </c>
      <c r="Q52" s="236">
        <v>193.62</v>
      </c>
      <c r="R52" s="238">
        <v>273</v>
      </c>
      <c r="S52" s="238">
        <v>385</v>
      </c>
      <c r="T52" s="239">
        <v>0</v>
      </c>
      <c r="U52" s="240"/>
      <c r="V52" s="240"/>
      <c r="W52" s="241"/>
      <c r="X52" s="241"/>
      <c r="Y52" s="241"/>
      <c r="Z52" s="241"/>
    </row>
    <row r="53" spans="2:26" s="210" customFormat="1" x14ac:dyDescent="0.25">
      <c r="B53" s="232" t="s">
        <v>300</v>
      </c>
      <c r="C53" s="165" t="s">
        <v>480</v>
      </c>
      <c r="D53" s="163">
        <v>20.67</v>
      </c>
      <c r="E53" s="233">
        <v>7</v>
      </c>
      <c r="F53" s="233">
        <f t="shared" si="5"/>
        <v>144.69</v>
      </c>
      <c r="G53" s="209"/>
      <c r="H53" s="234">
        <f t="shared" si="1"/>
        <v>95.9</v>
      </c>
      <c r="I53" s="235">
        <v>77.28</v>
      </c>
      <c r="J53" s="236">
        <v>18.62</v>
      </c>
      <c r="K53" s="212">
        <v>20.09</v>
      </c>
      <c r="L53" s="237">
        <f t="shared" si="2"/>
        <v>28.700000000000003</v>
      </c>
      <c r="M53" s="236">
        <v>0</v>
      </c>
      <c r="N53" s="236">
        <v>22.400000000000002</v>
      </c>
      <c r="O53" s="236">
        <v>2.4499999999999997</v>
      </c>
      <c r="P53" s="236">
        <v>3.8500000000000005</v>
      </c>
      <c r="Q53" s="236">
        <v>144.69</v>
      </c>
      <c r="R53" s="238">
        <v>210</v>
      </c>
      <c r="S53" s="238">
        <v>483</v>
      </c>
      <c r="T53" s="239">
        <v>0</v>
      </c>
      <c r="U53" s="240"/>
      <c r="V53" s="240"/>
      <c r="W53" s="241"/>
      <c r="X53" s="241"/>
      <c r="Y53" s="241"/>
      <c r="Z53" s="241"/>
    </row>
    <row r="54" spans="2:26" s="210" customFormat="1" x14ac:dyDescent="0.25">
      <c r="B54" s="232" t="s">
        <v>301</v>
      </c>
      <c r="C54" s="165" t="s">
        <v>481</v>
      </c>
      <c r="D54" s="163">
        <v>28.4</v>
      </c>
      <c r="E54" s="233">
        <v>3</v>
      </c>
      <c r="F54" s="233">
        <f t="shared" si="5"/>
        <v>85.199999999999989</v>
      </c>
      <c r="G54" s="209"/>
      <c r="H54" s="234">
        <f t="shared" si="1"/>
        <v>60.12</v>
      </c>
      <c r="I54" s="235">
        <v>48.449999999999996</v>
      </c>
      <c r="J54" s="236">
        <v>11.67</v>
      </c>
      <c r="K54" s="212">
        <v>7.08</v>
      </c>
      <c r="L54" s="237">
        <f t="shared" si="2"/>
        <v>18</v>
      </c>
      <c r="M54" s="236">
        <v>0</v>
      </c>
      <c r="N54" s="236">
        <v>14.04</v>
      </c>
      <c r="O54" s="236">
        <v>1.53</v>
      </c>
      <c r="P54" s="236">
        <v>2.4300000000000002</v>
      </c>
      <c r="Q54" s="236">
        <v>85.199999999999989</v>
      </c>
      <c r="R54" s="238">
        <v>171</v>
      </c>
      <c r="S54" s="238">
        <v>237</v>
      </c>
      <c r="T54" s="239">
        <v>0</v>
      </c>
      <c r="U54" s="240"/>
      <c r="V54" s="240"/>
      <c r="W54" s="241"/>
      <c r="X54" s="241"/>
      <c r="Y54" s="241"/>
      <c r="Z54" s="241"/>
    </row>
    <row r="55" spans="2:26" s="210" customFormat="1" x14ac:dyDescent="0.25">
      <c r="B55" s="232" t="s">
        <v>302</v>
      </c>
      <c r="C55" s="165" t="s">
        <v>482</v>
      </c>
      <c r="D55" s="163">
        <v>20.43</v>
      </c>
      <c r="E55" s="233">
        <v>7</v>
      </c>
      <c r="F55" s="233">
        <f t="shared" si="5"/>
        <v>143.01</v>
      </c>
      <c r="G55" s="209"/>
      <c r="H55" s="234">
        <f t="shared" si="1"/>
        <v>95.13</v>
      </c>
      <c r="I55" s="235">
        <v>76.649999999999991</v>
      </c>
      <c r="J55" s="236">
        <v>18.48</v>
      </c>
      <c r="K55" s="212">
        <v>19.459999999999997</v>
      </c>
      <c r="L55" s="237">
        <f t="shared" si="2"/>
        <v>28.419999999999998</v>
      </c>
      <c r="M55" s="236">
        <v>0</v>
      </c>
      <c r="N55" s="236">
        <v>22.189999999999998</v>
      </c>
      <c r="O55" s="236">
        <v>2.3800000000000003</v>
      </c>
      <c r="P55" s="236">
        <v>3.8500000000000005</v>
      </c>
      <c r="Q55" s="236">
        <v>143.01</v>
      </c>
      <c r="R55" s="238">
        <v>210</v>
      </c>
      <c r="S55" s="238">
        <v>476</v>
      </c>
      <c r="T55" s="239">
        <v>0</v>
      </c>
      <c r="U55" s="240"/>
      <c r="V55" s="240"/>
      <c r="W55" s="241"/>
      <c r="X55" s="241"/>
      <c r="Y55" s="241"/>
      <c r="Z55" s="241"/>
    </row>
    <row r="56" spans="2:26" s="210" customFormat="1" x14ac:dyDescent="0.25">
      <c r="B56" s="232" t="s">
        <v>303</v>
      </c>
      <c r="C56" s="165" t="s">
        <v>483</v>
      </c>
      <c r="D56" s="163">
        <v>71.570000000000007</v>
      </c>
      <c r="E56" s="233">
        <v>2</v>
      </c>
      <c r="F56" s="233">
        <f t="shared" si="5"/>
        <v>143.14000000000001</v>
      </c>
      <c r="G56" s="209"/>
      <c r="H56" s="234">
        <f t="shared" si="1"/>
        <v>59.120000000000005</v>
      </c>
      <c r="I56" s="235">
        <v>47.64</v>
      </c>
      <c r="J56" s="236">
        <v>11.48</v>
      </c>
      <c r="K56" s="212">
        <v>66.319999999999993</v>
      </c>
      <c r="L56" s="237">
        <f t="shared" si="2"/>
        <v>17.7</v>
      </c>
      <c r="M56" s="236">
        <v>0</v>
      </c>
      <c r="N56" s="236">
        <v>13.8</v>
      </c>
      <c r="O56" s="236">
        <v>1.5</v>
      </c>
      <c r="P56" s="236">
        <v>2.4</v>
      </c>
      <c r="Q56" s="236">
        <v>143.14000000000001</v>
      </c>
      <c r="R56" s="238">
        <v>188</v>
      </c>
      <c r="S56" s="238">
        <v>200</v>
      </c>
      <c r="T56" s="239">
        <v>0</v>
      </c>
      <c r="U56" s="240"/>
      <c r="V56" s="240"/>
      <c r="W56" s="241"/>
      <c r="X56" s="241"/>
      <c r="Y56" s="241"/>
      <c r="Z56" s="241"/>
    </row>
    <row r="57" spans="2:26" s="210" customFormat="1" x14ac:dyDescent="0.25">
      <c r="B57" s="232" t="s">
        <v>304</v>
      </c>
      <c r="C57" s="165" t="s">
        <v>484</v>
      </c>
      <c r="D57" s="163">
        <v>14.41</v>
      </c>
      <c r="E57" s="233">
        <v>6</v>
      </c>
      <c r="F57" s="233">
        <f t="shared" si="5"/>
        <v>86.460000000000008</v>
      </c>
      <c r="G57" s="209"/>
      <c r="H57" s="234">
        <f t="shared" si="1"/>
        <v>0</v>
      </c>
      <c r="I57" s="235">
        <v>0</v>
      </c>
      <c r="J57" s="236">
        <v>0</v>
      </c>
      <c r="K57" s="212">
        <v>80.699999999999989</v>
      </c>
      <c r="L57" s="237">
        <f t="shared" si="2"/>
        <v>5.76</v>
      </c>
      <c r="M57" s="236">
        <v>0</v>
      </c>
      <c r="N57" s="236">
        <v>0</v>
      </c>
      <c r="O57" s="236">
        <v>0</v>
      </c>
      <c r="P57" s="236">
        <v>5.76</v>
      </c>
      <c r="Q57" s="236">
        <v>86.460000000000008</v>
      </c>
      <c r="R57" s="238">
        <v>0</v>
      </c>
      <c r="S57" s="238">
        <v>0</v>
      </c>
      <c r="T57" s="239">
        <v>0</v>
      </c>
      <c r="U57" s="240"/>
      <c r="V57" s="240"/>
      <c r="W57" s="241"/>
      <c r="X57" s="241"/>
      <c r="Y57" s="241"/>
      <c r="Z57" s="241"/>
    </row>
    <row r="58" spans="2:26" s="210" customFormat="1" x14ac:dyDescent="0.25">
      <c r="B58" s="232" t="s">
        <v>305</v>
      </c>
      <c r="C58" s="165" t="s">
        <v>485</v>
      </c>
      <c r="D58" s="163">
        <v>18.489999999999998</v>
      </c>
      <c r="E58" s="233">
        <v>2</v>
      </c>
      <c r="F58" s="233">
        <f t="shared" si="5"/>
        <v>36.979999999999997</v>
      </c>
      <c r="G58" s="209"/>
      <c r="H58" s="234">
        <f t="shared" si="1"/>
        <v>0</v>
      </c>
      <c r="I58" s="235">
        <v>0</v>
      </c>
      <c r="J58" s="236">
        <v>0</v>
      </c>
      <c r="K58" s="212">
        <v>36.979999999999997</v>
      </c>
      <c r="L58" s="237">
        <f t="shared" si="2"/>
        <v>0</v>
      </c>
      <c r="M58" s="236">
        <v>0</v>
      </c>
      <c r="N58" s="236">
        <v>0</v>
      </c>
      <c r="O58" s="236">
        <v>0</v>
      </c>
      <c r="P58" s="236">
        <v>0</v>
      </c>
      <c r="Q58" s="236">
        <v>36.979999999999997</v>
      </c>
      <c r="R58" s="238">
        <v>0</v>
      </c>
      <c r="S58" s="238">
        <v>0</v>
      </c>
      <c r="T58" s="239">
        <v>0</v>
      </c>
      <c r="U58" s="240"/>
      <c r="V58" s="240"/>
      <c r="W58" s="241"/>
      <c r="X58" s="241"/>
      <c r="Y58" s="241"/>
      <c r="Z58" s="241"/>
    </row>
    <row r="59" spans="2:26" s="210" customFormat="1" x14ac:dyDescent="0.25">
      <c r="B59" s="232" t="s">
        <v>306</v>
      </c>
      <c r="C59" s="165" t="s">
        <v>486</v>
      </c>
      <c r="D59" s="163">
        <v>38.03</v>
      </c>
      <c r="E59" s="233">
        <v>2</v>
      </c>
      <c r="F59" s="233">
        <f t="shared" si="5"/>
        <v>76.06</v>
      </c>
      <c r="G59" s="209"/>
      <c r="H59" s="234">
        <f t="shared" si="1"/>
        <v>0</v>
      </c>
      <c r="I59" s="235">
        <v>0</v>
      </c>
      <c r="J59" s="236">
        <v>0</v>
      </c>
      <c r="K59" s="212">
        <v>76.06</v>
      </c>
      <c r="L59" s="237">
        <f t="shared" si="2"/>
        <v>0</v>
      </c>
      <c r="M59" s="236">
        <v>0</v>
      </c>
      <c r="N59" s="236">
        <v>0</v>
      </c>
      <c r="O59" s="236">
        <v>0</v>
      </c>
      <c r="P59" s="236">
        <v>0</v>
      </c>
      <c r="Q59" s="236">
        <v>76.06</v>
      </c>
      <c r="R59" s="238">
        <v>0</v>
      </c>
      <c r="S59" s="238">
        <v>0</v>
      </c>
      <c r="T59" s="239">
        <v>0</v>
      </c>
      <c r="U59" s="240"/>
      <c r="V59" s="240"/>
      <c r="W59" s="241"/>
      <c r="X59" s="241"/>
      <c r="Y59" s="241"/>
      <c r="Z59" s="241"/>
    </row>
    <row r="60" spans="2:26" s="210" customFormat="1" x14ac:dyDescent="0.25">
      <c r="B60" s="232" t="s">
        <v>312</v>
      </c>
      <c r="C60" s="165" t="s">
        <v>487</v>
      </c>
      <c r="D60" s="163">
        <v>54.89</v>
      </c>
      <c r="E60" s="233">
        <v>3</v>
      </c>
      <c r="F60" s="233">
        <f t="shared" si="5"/>
        <v>164.67000000000002</v>
      </c>
      <c r="G60" s="209"/>
      <c r="H60" s="234">
        <f t="shared" si="1"/>
        <v>0</v>
      </c>
      <c r="I60" s="235">
        <v>0</v>
      </c>
      <c r="J60" s="236">
        <v>0</v>
      </c>
      <c r="K60" s="212">
        <v>164.67000000000002</v>
      </c>
      <c r="L60" s="237">
        <f t="shared" si="2"/>
        <v>0</v>
      </c>
      <c r="M60" s="236">
        <v>0</v>
      </c>
      <c r="N60" s="236">
        <v>0</v>
      </c>
      <c r="O60" s="236">
        <v>0</v>
      </c>
      <c r="P60" s="236">
        <v>0</v>
      </c>
      <c r="Q60" s="236">
        <v>164.67000000000002</v>
      </c>
      <c r="R60" s="238">
        <v>0</v>
      </c>
      <c r="S60" s="238">
        <v>0</v>
      </c>
      <c r="T60" s="239">
        <v>0</v>
      </c>
      <c r="U60" s="240"/>
      <c r="V60" s="240"/>
      <c r="W60" s="241"/>
      <c r="X60" s="241"/>
      <c r="Y60" s="241"/>
      <c r="Z60" s="241"/>
    </row>
    <row r="61" spans="2:26" s="210" customFormat="1" ht="38.25" x14ac:dyDescent="0.25">
      <c r="B61" s="232" t="s">
        <v>314</v>
      </c>
      <c r="C61" s="165" t="s">
        <v>488</v>
      </c>
      <c r="D61" s="163">
        <v>11.9</v>
      </c>
      <c r="E61" s="233">
        <v>44</v>
      </c>
      <c r="F61" s="233">
        <f t="shared" si="5"/>
        <v>523.6</v>
      </c>
      <c r="G61" s="209"/>
      <c r="H61" s="234">
        <f t="shared" si="1"/>
        <v>0</v>
      </c>
      <c r="I61" s="235">
        <v>0</v>
      </c>
      <c r="J61" s="236">
        <v>0</v>
      </c>
      <c r="K61" s="212">
        <v>0</v>
      </c>
      <c r="L61" s="237">
        <f t="shared" si="2"/>
        <v>523.6</v>
      </c>
      <c r="M61" s="236">
        <v>0</v>
      </c>
      <c r="N61" s="236">
        <v>0</v>
      </c>
      <c r="O61" s="236">
        <v>0</v>
      </c>
      <c r="P61" s="236">
        <v>523.6</v>
      </c>
      <c r="Q61" s="236">
        <v>523.6</v>
      </c>
      <c r="R61" s="238">
        <v>0</v>
      </c>
      <c r="S61" s="238">
        <v>0</v>
      </c>
      <c r="T61" s="239">
        <v>0</v>
      </c>
      <c r="U61" s="240"/>
      <c r="V61" s="240"/>
      <c r="W61" s="241"/>
      <c r="X61" s="241"/>
      <c r="Y61" s="241"/>
      <c r="Z61" s="241"/>
    </row>
    <row r="62" spans="2:26" s="210" customFormat="1" ht="38.25" x14ac:dyDescent="0.25">
      <c r="B62" s="232" t="s">
        <v>315</v>
      </c>
      <c r="C62" s="165" t="s">
        <v>489</v>
      </c>
      <c r="D62" s="163">
        <v>20.74</v>
      </c>
      <c r="E62" s="233">
        <v>17</v>
      </c>
      <c r="F62" s="233">
        <f t="shared" si="5"/>
        <v>352.58</v>
      </c>
      <c r="G62" s="209"/>
      <c r="H62" s="234">
        <f t="shared" si="1"/>
        <v>0</v>
      </c>
      <c r="I62" s="235">
        <v>0</v>
      </c>
      <c r="J62" s="236">
        <v>0</v>
      </c>
      <c r="K62" s="212">
        <v>0</v>
      </c>
      <c r="L62" s="237">
        <f t="shared" si="2"/>
        <v>352.58</v>
      </c>
      <c r="M62" s="236">
        <v>0</v>
      </c>
      <c r="N62" s="236">
        <v>0</v>
      </c>
      <c r="O62" s="236">
        <v>0</v>
      </c>
      <c r="P62" s="236">
        <v>352.58</v>
      </c>
      <c r="Q62" s="236">
        <v>352.58</v>
      </c>
      <c r="R62" s="238">
        <v>0</v>
      </c>
      <c r="S62" s="238">
        <v>0</v>
      </c>
      <c r="T62" s="239">
        <v>0</v>
      </c>
      <c r="U62" s="240"/>
      <c r="V62" s="240"/>
      <c r="W62" s="241"/>
      <c r="X62" s="241"/>
      <c r="Y62" s="241"/>
      <c r="Z62" s="241"/>
    </row>
    <row r="63" spans="2:26" s="210" customFormat="1" x14ac:dyDescent="0.25">
      <c r="B63" s="232" t="s">
        <v>317</v>
      </c>
      <c r="C63" s="165" t="s">
        <v>490</v>
      </c>
      <c r="D63" s="163">
        <v>37.72</v>
      </c>
      <c r="E63" s="233">
        <v>4</v>
      </c>
      <c r="F63" s="233">
        <f t="shared" si="5"/>
        <v>150.88</v>
      </c>
      <c r="G63" s="209"/>
      <c r="H63" s="234">
        <f t="shared" si="1"/>
        <v>78.48</v>
      </c>
      <c r="I63" s="235">
        <v>63.24</v>
      </c>
      <c r="J63" s="236">
        <v>15.24</v>
      </c>
      <c r="K63" s="212">
        <v>48.92</v>
      </c>
      <c r="L63" s="237">
        <f t="shared" si="2"/>
        <v>23.48</v>
      </c>
      <c r="M63" s="236">
        <v>0</v>
      </c>
      <c r="N63" s="236">
        <v>18.32</v>
      </c>
      <c r="O63" s="236">
        <v>2</v>
      </c>
      <c r="P63" s="236">
        <v>3.16</v>
      </c>
      <c r="Q63" s="236">
        <v>150.88</v>
      </c>
      <c r="R63" s="238">
        <v>200</v>
      </c>
      <c r="S63" s="238">
        <v>348</v>
      </c>
      <c r="T63" s="239">
        <v>0</v>
      </c>
      <c r="U63" s="240"/>
      <c r="V63" s="240"/>
      <c r="W63" s="241"/>
      <c r="X63" s="241"/>
      <c r="Y63" s="241"/>
      <c r="Z63" s="241"/>
    </row>
    <row r="64" spans="2:26" s="210" customFormat="1" x14ac:dyDescent="0.25">
      <c r="B64" s="232" t="s">
        <v>318</v>
      </c>
      <c r="C64" s="165" t="s">
        <v>491</v>
      </c>
      <c r="D64" s="163">
        <v>44.440000000000005</v>
      </c>
      <c r="E64" s="233">
        <v>10</v>
      </c>
      <c r="F64" s="233">
        <f t="shared" si="5"/>
        <v>444.40000000000003</v>
      </c>
      <c r="G64" s="209"/>
      <c r="H64" s="234">
        <f t="shared" si="1"/>
        <v>255.6</v>
      </c>
      <c r="I64" s="235">
        <v>206</v>
      </c>
      <c r="J64" s="236">
        <v>49.6</v>
      </c>
      <c r="K64" s="212">
        <v>112.30000000000001</v>
      </c>
      <c r="L64" s="237">
        <f t="shared" si="2"/>
        <v>76.499999999999986</v>
      </c>
      <c r="M64" s="236">
        <v>0</v>
      </c>
      <c r="N64" s="236">
        <v>59.699999999999996</v>
      </c>
      <c r="O64" s="236">
        <v>6.5</v>
      </c>
      <c r="P64" s="236">
        <v>10.3</v>
      </c>
      <c r="Q64" s="236">
        <v>444.40000000000003</v>
      </c>
      <c r="R64" s="238">
        <v>810</v>
      </c>
      <c r="S64" s="238">
        <v>870</v>
      </c>
      <c r="T64" s="239">
        <v>0</v>
      </c>
      <c r="U64" s="240"/>
      <c r="V64" s="240"/>
      <c r="W64" s="241"/>
      <c r="X64" s="241"/>
      <c r="Y64" s="241"/>
      <c r="Z64" s="241"/>
    </row>
    <row r="65" spans="2:50" s="210" customFormat="1" ht="25.5" x14ac:dyDescent="0.25">
      <c r="B65" s="232" t="s">
        <v>319</v>
      </c>
      <c r="C65" s="165" t="s">
        <v>492</v>
      </c>
      <c r="D65" s="163">
        <v>11.9</v>
      </c>
      <c r="E65" s="233">
        <v>9</v>
      </c>
      <c r="F65" s="233">
        <f t="shared" si="5"/>
        <v>107.10000000000001</v>
      </c>
      <c r="G65" s="209"/>
      <c r="H65" s="234">
        <f t="shared" si="1"/>
        <v>0</v>
      </c>
      <c r="I65" s="235">
        <v>0</v>
      </c>
      <c r="J65" s="236">
        <v>0</v>
      </c>
      <c r="K65" s="212">
        <v>0</v>
      </c>
      <c r="L65" s="237">
        <f t="shared" si="2"/>
        <v>107.10000000000001</v>
      </c>
      <c r="M65" s="236">
        <v>0</v>
      </c>
      <c r="N65" s="236">
        <v>0</v>
      </c>
      <c r="O65" s="236">
        <v>0</v>
      </c>
      <c r="P65" s="236">
        <v>107.10000000000001</v>
      </c>
      <c r="Q65" s="236">
        <v>107.10000000000001</v>
      </c>
      <c r="R65" s="238">
        <v>0</v>
      </c>
      <c r="S65" s="238">
        <v>0</v>
      </c>
      <c r="T65" s="239">
        <v>0</v>
      </c>
      <c r="U65" s="240"/>
      <c r="V65" s="240"/>
      <c r="W65" s="241"/>
      <c r="X65" s="241"/>
      <c r="Y65" s="241"/>
      <c r="Z65" s="241"/>
    </row>
    <row r="66" spans="2:50" s="210" customFormat="1" ht="25.5" x14ac:dyDescent="0.25">
      <c r="B66" s="232" t="s">
        <v>320</v>
      </c>
      <c r="C66" s="165" t="s">
        <v>493</v>
      </c>
      <c r="D66" s="163">
        <v>20.74</v>
      </c>
      <c r="E66" s="233">
        <v>7</v>
      </c>
      <c r="F66" s="233">
        <f t="shared" si="5"/>
        <v>145.17999999999998</v>
      </c>
      <c r="G66" s="209"/>
      <c r="H66" s="234">
        <f t="shared" si="1"/>
        <v>0</v>
      </c>
      <c r="I66" s="235">
        <v>0</v>
      </c>
      <c r="J66" s="236">
        <v>0</v>
      </c>
      <c r="K66" s="212">
        <v>0</v>
      </c>
      <c r="L66" s="237">
        <f t="shared" si="2"/>
        <v>145.17999999999998</v>
      </c>
      <c r="M66" s="236">
        <v>0</v>
      </c>
      <c r="N66" s="236">
        <v>0</v>
      </c>
      <c r="O66" s="236">
        <v>0</v>
      </c>
      <c r="P66" s="236">
        <v>145.17999999999998</v>
      </c>
      <c r="Q66" s="236">
        <v>145.17999999999998</v>
      </c>
      <c r="R66" s="238">
        <v>0</v>
      </c>
      <c r="S66" s="238">
        <v>0</v>
      </c>
      <c r="T66" s="239">
        <v>0</v>
      </c>
      <c r="U66" s="240"/>
      <c r="V66" s="240"/>
      <c r="W66" s="241"/>
      <c r="X66" s="241"/>
      <c r="Y66" s="241"/>
      <c r="Z66" s="241"/>
    </row>
    <row r="67" spans="2:50" s="210" customFormat="1" ht="25.5" x14ac:dyDescent="0.25">
      <c r="B67" s="232" t="s">
        <v>325</v>
      </c>
      <c r="C67" s="165" t="s">
        <v>494</v>
      </c>
      <c r="D67" s="163">
        <v>64.25</v>
      </c>
      <c r="E67" s="233">
        <v>1</v>
      </c>
      <c r="F67" s="233">
        <f t="shared" si="5"/>
        <v>64.25</v>
      </c>
      <c r="G67" s="209"/>
      <c r="H67" s="234">
        <f t="shared" si="1"/>
        <v>13.09</v>
      </c>
      <c r="I67" s="235">
        <v>10.549999999999999</v>
      </c>
      <c r="J67" s="236">
        <v>2.54</v>
      </c>
      <c r="K67" s="212">
        <v>21.96</v>
      </c>
      <c r="L67" s="237">
        <f t="shared" si="2"/>
        <v>29.2</v>
      </c>
      <c r="M67" s="236">
        <v>0</v>
      </c>
      <c r="N67" s="236">
        <v>3.06</v>
      </c>
      <c r="O67" s="236">
        <v>0.33</v>
      </c>
      <c r="P67" s="236">
        <v>25.81</v>
      </c>
      <c r="Q67" s="236">
        <v>64.25</v>
      </c>
      <c r="R67" s="238">
        <v>52</v>
      </c>
      <c r="S67" s="238">
        <v>27</v>
      </c>
      <c r="T67" s="239">
        <v>0</v>
      </c>
      <c r="U67" s="240"/>
      <c r="V67" s="240"/>
      <c r="W67" s="241"/>
      <c r="X67" s="241"/>
      <c r="Y67" s="241"/>
      <c r="Z67" s="241"/>
    </row>
    <row r="68" spans="2:50" s="210" customFormat="1" ht="38.25" x14ac:dyDescent="0.25">
      <c r="B68" s="232" t="s">
        <v>326</v>
      </c>
      <c r="C68" s="165" t="s">
        <v>495</v>
      </c>
      <c r="D68" s="163">
        <v>86.31</v>
      </c>
      <c r="E68" s="233">
        <v>1</v>
      </c>
      <c r="F68" s="233">
        <f t="shared" si="5"/>
        <v>86.31</v>
      </c>
      <c r="G68" s="209"/>
      <c r="H68" s="234">
        <f t="shared" si="1"/>
        <v>16.47</v>
      </c>
      <c r="I68" s="235">
        <v>13.27</v>
      </c>
      <c r="J68" s="236">
        <v>3.2</v>
      </c>
      <c r="K68" s="212">
        <v>14.37</v>
      </c>
      <c r="L68" s="237">
        <f t="shared" si="2"/>
        <v>55.470000000000006</v>
      </c>
      <c r="M68" s="236">
        <v>0</v>
      </c>
      <c r="N68" s="236">
        <v>3.85</v>
      </c>
      <c r="O68" s="236">
        <v>0.42</v>
      </c>
      <c r="P68" s="236">
        <v>51.2</v>
      </c>
      <c r="Q68" s="236">
        <v>86.31</v>
      </c>
      <c r="R68" s="238">
        <v>45</v>
      </c>
      <c r="S68" s="238">
        <v>68</v>
      </c>
      <c r="T68" s="239">
        <v>0</v>
      </c>
      <c r="U68" s="240"/>
      <c r="V68" s="240"/>
      <c r="W68" s="241"/>
      <c r="X68" s="241"/>
      <c r="Y68" s="241"/>
      <c r="Z68" s="241"/>
    </row>
    <row r="69" spans="2:50" s="210" customFormat="1" x14ac:dyDescent="0.25">
      <c r="B69" s="232" t="s">
        <v>329</v>
      </c>
      <c r="C69" s="165" t="s">
        <v>496</v>
      </c>
      <c r="D69" s="163">
        <v>1.02</v>
      </c>
      <c r="E69" s="233">
        <v>1</v>
      </c>
      <c r="F69" s="233">
        <f t="shared" si="5"/>
        <v>1.02</v>
      </c>
      <c r="G69" s="209"/>
      <c r="H69" s="234">
        <f t="shared" si="1"/>
        <v>0</v>
      </c>
      <c r="I69" s="235">
        <v>0</v>
      </c>
      <c r="J69" s="236">
        <v>0</v>
      </c>
      <c r="K69" s="212">
        <v>1.02</v>
      </c>
      <c r="L69" s="237">
        <f t="shared" si="2"/>
        <v>0</v>
      </c>
      <c r="M69" s="236">
        <v>0</v>
      </c>
      <c r="N69" s="236">
        <v>0</v>
      </c>
      <c r="O69" s="236">
        <v>0</v>
      </c>
      <c r="P69" s="236">
        <v>0</v>
      </c>
      <c r="Q69" s="236">
        <v>1.02</v>
      </c>
      <c r="R69" s="238">
        <v>0</v>
      </c>
      <c r="S69" s="238">
        <v>0</v>
      </c>
      <c r="T69" s="239">
        <v>0</v>
      </c>
      <c r="U69" s="240"/>
      <c r="V69" s="240"/>
      <c r="W69" s="241"/>
      <c r="X69" s="241"/>
      <c r="Y69" s="241"/>
      <c r="Z69" s="241"/>
    </row>
    <row r="70" spans="2:50" s="210" customFormat="1" x14ac:dyDescent="0.25">
      <c r="B70" s="232" t="s">
        <v>330</v>
      </c>
      <c r="C70" s="165" t="s">
        <v>497</v>
      </c>
      <c r="D70" s="163">
        <v>67.88</v>
      </c>
      <c r="E70" s="233">
        <v>1</v>
      </c>
      <c r="F70" s="233">
        <f t="shared" si="5"/>
        <v>67.88</v>
      </c>
      <c r="G70" s="209"/>
      <c r="H70" s="234">
        <f t="shared" si="1"/>
        <v>0</v>
      </c>
      <c r="I70" s="235">
        <v>0</v>
      </c>
      <c r="J70" s="236">
        <v>0</v>
      </c>
      <c r="K70" s="212">
        <v>67.88</v>
      </c>
      <c r="L70" s="237">
        <f t="shared" si="2"/>
        <v>0</v>
      </c>
      <c r="M70" s="236">
        <v>0</v>
      </c>
      <c r="N70" s="236">
        <v>0</v>
      </c>
      <c r="O70" s="236">
        <v>0</v>
      </c>
      <c r="P70" s="236">
        <v>0</v>
      </c>
      <c r="Q70" s="236">
        <v>67.88</v>
      </c>
      <c r="R70" s="238">
        <v>0</v>
      </c>
      <c r="S70" s="238">
        <v>0</v>
      </c>
      <c r="T70" s="239">
        <v>0</v>
      </c>
      <c r="U70" s="240"/>
      <c r="V70" s="240"/>
      <c r="W70" s="241"/>
      <c r="X70" s="241"/>
      <c r="Y70" s="241"/>
      <c r="Z70" s="241"/>
    </row>
    <row r="71" spans="2:50" x14ac:dyDescent="0.25">
      <c r="B71" s="245"/>
      <c r="C71" s="271" t="s">
        <v>331</v>
      </c>
      <c r="D71" s="272"/>
      <c r="E71" s="273">
        <f>SUM(E50:E70)</f>
        <v>178</v>
      </c>
      <c r="F71" s="273">
        <f t="shared" ref="F71:T71" si="11">SUM(F50:F70)</f>
        <v>3704.42</v>
      </c>
      <c r="H71" s="234">
        <f t="shared" si="1"/>
        <v>1160.31</v>
      </c>
      <c r="I71" s="274">
        <f t="shared" si="11"/>
        <v>935.04</v>
      </c>
      <c r="J71" s="275">
        <f t="shared" si="11"/>
        <v>225.26999999999998</v>
      </c>
      <c r="K71" s="209">
        <f t="shared" si="11"/>
        <v>986.73</v>
      </c>
      <c r="L71" s="237">
        <f t="shared" si="2"/>
        <v>1557.38</v>
      </c>
      <c r="M71" s="276">
        <f t="shared" si="11"/>
        <v>0</v>
      </c>
      <c r="N71" s="274">
        <f t="shared" si="11"/>
        <v>270.94</v>
      </c>
      <c r="O71" s="274">
        <f t="shared" si="11"/>
        <v>29.57</v>
      </c>
      <c r="P71" s="274">
        <f t="shared" si="11"/>
        <v>1256.8700000000001</v>
      </c>
      <c r="Q71" s="274">
        <f t="shared" si="11"/>
        <v>3704.42</v>
      </c>
      <c r="R71" s="274">
        <f t="shared" si="11"/>
        <v>3127</v>
      </c>
      <c r="S71" s="274">
        <f t="shared" si="11"/>
        <v>4865</v>
      </c>
      <c r="T71" s="274">
        <f t="shared" si="11"/>
        <v>0</v>
      </c>
      <c r="U71" s="252"/>
      <c r="V71" s="241"/>
      <c r="W71" s="241"/>
      <c r="X71" s="241"/>
      <c r="Y71" s="241"/>
      <c r="Z71" s="241"/>
    </row>
    <row r="72" spans="2:50" x14ac:dyDescent="0.25">
      <c r="B72" s="245"/>
      <c r="C72" s="277" t="s">
        <v>247</v>
      </c>
      <c r="D72" s="254"/>
      <c r="E72" s="255">
        <f>E71/$F$83</f>
        <v>1.435483870967742</v>
      </c>
      <c r="F72" s="254">
        <f t="shared" ref="F72:T72" si="12">F71/$F$83</f>
        <v>29.874354838709678</v>
      </c>
      <c r="G72" s="256"/>
      <c r="H72" s="234">
        <f t="shared" si="1"/>
        <v>9.3573387096774194</v>
      </c>
      <c r="I72" s="257">
        <f t="shared" si="12"/>
        <v>7.540645161290322</v>
      </c>
      <c r="J72" s="258">
        <f t="shared" si="12"/>
        <v>1.8166935483870967</v>
      </c>
      <c r="K72" s="256">
        <f t="shared" si="12"/>
        <v>7.9575000000000005</v>
      </c>
      <c r="L72" s="237">
        <f t="shared" si="2"/>
        <v>12.559516129032259</v>
      </c>
      <c r="M72" s="259">
        <f t="shared" si="12"/>
        <v>0</v>
      </c>
      <c r="N72" s="257">
        <f t="shared" si="12"/>
        <v>2.1850000000000001</v>
      </c>
      <c r="O72" s="257">
        <f t="shared" si="12"/>
        <v>0.23846774193548387</v>
      </c>
      <c r="P72" s="257">
        <f t="shared" si="12"/>
        <v>10.136048387096775</v>
      </c>
      <c r="Q72" s="257">
        <f t="shared" si="12"/>
        <v>29.874354838709678</v>
      </c>
      <c r="R72" s="257">
        <f t="shared" si="12"/>
        <v>25.217741935483872</v>
      </c>
      <c r="S72" s="257">
        <f t="shared" si="12"/>
        <v>39.233870967741936</v>
      </c>
      <c r="T72" s="260">
        <f t="shared" si="12"/>
        <v>0</v>
      </c>
      <c r="U72" s="261">
        <f>R72/9600</f>
        <v>2.6268481182795699E-3</v>
      </c>
      <c r="V72" s="262">
        <f>S72/9600</f>
        <v>4.0868615591397846E-3</v>
      </c>
      <c r="W72" s="263">
        <f>I72+J72</f>
        <v>9.3573387096774194</v>
      </c>
      <c r="X72" s="263">
        <f>K72</f>
        <v>7.9575000000000005</v>
      </c>
      <c r="Y72" s="263">
        <f>Q72-(W72+X72)</f>
        <v>12.559516129032257</v>
      </c>
      <c r="Z72" s="263">
        <f>W72+X72+Y72</f>
        <v>29.874354838709678</v>
      </c>
    </row>
    <row r="73" spans="2:50" x14ac:dyDescent="0.25">
      <c r="B73" s="245"/>
      <c r="C73" s="167" t="s">
        <v>248</v>
      </c>
      <c r="D73" s="254"/>
      <c r="E73" s="278"/>
      <c r="F73" s="264">
        <f>F71/$F$84</f>
        <v>3.0691135045567521</v>
      </c>
      <c r="G73" s="256"/>
      <c r="H73" s="234"/>
      <c r="I73" s="265"/>
      <c r="J73" s="266"/>
      <c r="K73" s="256"/>
      <c r="L73" s="237"/>
      <c r="M73" s="266"/>
      <c r="N73" s="266"/>
      <c r="O73" s="266"/>
      <c r="P73" s="266"/>
      <c r="Q73" s="266"/>
      <c r="R73" s="266"/>
      <c r="S73" s="266"/>
      <c r="T73" s="267"/>
      <c r="U73" s="268"/>
      <c r="V73" s="268"/>
      <c r="W73" s="269"/>
      <c r="X73" s="269"/>
      <c r="Y73" s="269"/>
      <c r="Z73" s="269"/>
    </row>
    <row r="74" spans="2:50" s="281" customFormat="1" ht="127.5" x14ac:dyDescent="0.25">
      <c r="B74" s="242" t="s">
        <v>335</v>
      </c>
      <c r="C74" s="165" t="s">
        <v>498</v>
      </c>
      <c r="D74" s="163">
        <v>33.32</v>
      </c>
      <c r="E74" s="243">
        <v>4</v>
      </c>
      <c r="F74" s="233">
        <f t="shared" ref="F74:F75" si="13">D74*E74</f>
        <v>133.28</v>
      </c>
      <c r="G74" s="209"/>
      <c r="H74" s="234">
        <f t="shared" si="1"/>
        <v>53.76</v>
      </c>
      <c r="I74" s="235">
        <v>43.32</v>
      </c>
      <c r="J74" s="236">
        <v>10.44</v>
      </c>
      <c r="K74" s="212">
        <v>58.64</v>
      </c>
      <c r="L74" s="237">
        <f t="shared" si="2"/>
        <v>20.88</v>
      </c>
      <c r="M74" s="236">
        <v>0</v>
      </c>
      <c r="N74" s="236">
        <v>12.56</v>
      </c>
      <c r="O74" s="236">
        <v>1.36</v>
      </c>
      <c r="P74" s="236">
        <v>6.96</v>
      </c>
      <c r="Q74" s="236">
        <v>133.28</v>
      </c>
      <c r="R74" s="238">
        <v>160</v>
      </c>
      <c r="S74" s="238">
        <v>200</v>
      </c>
      <c r="T74" s="239">
        <v>0</v>
      </c>
      <c r="U74" s="240"/>
      <c r="V74" s="240"/>
      <c r="W74" s="280"/>
      <c r="X74" s="280"/>
      <c r="Y74" s="280"/>
      <c r="Z74" s="280"/>
      <c r="AA74" s="213"/>
      <c r="AB74" s="213"/>
      <c r="AC74" s="213"/>
      <c r="AD74" s="213"/>
      <c r="AE74" s="213"/>
      <c r="AF74" s="213"/>
      <c r="AG74" s="213"/>
      <c r="AH74" s="213"/>
      <c r="AI74" s="213"/>
      <c r="AJ74" s="213"/>
      <c r="AK74" s="213"/>
      <c r="AL74" s="213"/>
      <c r="AM74" s="213"/>
      <c r="AN74" s="213"/>
      <c r="AO74" s="213"/>
      <c r="AP74" s="213"/>
      <c r="AQ74" s="213"/>
      <c r="AR74" s="213"/>
      <c r="AS74" s="213"/>
      <c r="AT74" s="213"/>
      <c r="AU74" s="213"/>
      <c r="AV74" s="213"/>
      <c r="AW74" s="213"/>
      <c r="AX74" s="213"/>
    </row>
    <row r="75" spans="2:50" s="281" customFormat="1" x14ac:dyDescent="0.25">
      <c r="B75" s="242" t="s">
        <v>499</v>
      </c>
      <c r="C75" s="165" t="s">
        <v>500</v>
      </c>
      <c r="D75" s="163">
        <v>4.3</v>
      </c>
      <c r="E75" s="243">
        <v>1</v>
      </c>
      <c r="F75" s="233">
        <f t="shared" si="13"/>
        <v>4.3</v>
      </c>
      <c r="G75" s="209"/>
      <c r="H75" s="234">
        <f t="shared" si="1"/>
        <v>1.92</v>
      </c>
      <c r="I75" s="235">
        <v>1.55</v>
      </c>
      <c r="J75" s="236">
        <v>0.37</v>
      </c>
      <c r="K75" s="212">
        <v>1.7</v>
      </c>
      <c r="L75" s="237">
        <f t="shared" si="2"/>
        <v>0.67999999999999994</v>
      </c>
      <c r="M75" s="236">
        <v>0</v>
      </c>
      <c r="N75" s="236">
        <v>0.45</v>
      </c>
      <c r="O75" s="236">
        <v>0.05</v>
      </c>
      <c r="P75" s="236">
        <v>0.18</v>
      </c>
      <c r="Q75" s="236">
        <v>4.3</v>
      </c>
      <c r="R75" s="238">
        <v>10</v>
      </c>
      <c r="S75" s="238">
        <v>0</v>
      </c>
      <c r="T75" s="239">
        <v>0</v>
      </c>
      <c r="U75" s="240"/>
      <c r="V75" s="240"/>
      <c r="W75" s="280"/>
      <c r="X75" s="280"/>
      <c r="Y75" s="280"/>
      <c r="Z75" s="280"/>
      <c r="AA75" s="213"/>
      <c r="AB75" s="213"/>
      <c r="AC75" s="213"/>
      <c r="AD75" s="213"/>
      <c r="AE75" s="213"/>
      <c r="AF75" s="213"/>
      <c r="AG75" s="213"/>
      <c r="AH75" s="213"/>
      <c r="AI75" s="213"/>
      <c r="AJ75" s="213"/>
      <c r="AK75" s="213"/>
      <c r="AL75" s="213"/>
      <c r="AM75" s="213"/>
      <c r="AN75" s="213"/>
      <c r="AO75" s="213"/>
      <c r="AP75" s="213"/>
      <c r="AQ75" s="213"/>
      <c r="AR75" s="213"/>
      <c r="AS75" s="213"/>
      <c r="AT75" s="213"/>
      <c r="AU75" s="213"/>
      <c r="AV75" s="213"/>
      <c r="AW75" s="213"/>
      <c r="AX75" s="213"/>
    </row>
    <row r="76" spans="2:50" x14ac:dyDescent="0.25">
      <c r="B76" s="245"/>
      <c r="C76" s="283" t="s">
        <v>338</v>
      </c>
      <c r="D76" s="272"/>
      <c r="E76" s="273">
        <f>SUM(E74:E75)</f>
        <v>5</v>
      </c>
      <c r="F76" s="273">
        <f t="shared" ref="F76:T76" si="14">SUM(F74:F75)</f>
        <v>137.58000000000001</v>
      </c>
      <c r="H76" s="234">
        <f t="shared" si="1"/>
        <v>55.679999999999993</v>
      </c>
      <c r="I76" s="274">
        <f t="shared" si="14"/>
        <v>44.87</v>
      </c>
      <c r="J76" s="275">
        <f t="shared" si="14"/>
        <v>10.809999999999999</v>
      </c>
      <c r="K76" s="209">
        <f t="shared" si="14"/>
        <v>60.34</v>
      </c>
      <c r="L76" s="237">
        <f t="shared" si="2"/>
        <v>21.56</v>
      </c>
      <c r="M76" s="276">
        <f t="shared" si="14"/>
        <v>0</v>
      </c>
      <c r="N76" s="274">
        <f t="shared" si="14"/>
        <v>13.01</v>
      </c>
      <c r="O76" s="274">
        <f t="shared" si="14"/>
        <v>1.4100000000000001</v>
      </c>
      <c r="P76" s="274">
        <f t="shared" si="14"/>
        <v>7.14</v>
      </c>
      <c r="Q76" s="274">
        <f t="shared" si="14"/>
        <v>137.58000000000001</v>
      </c>
      <c r="R76" s="274">
        <f t="shared" si="14"/>
        <v>170</v>
      </c>
      <c r="S76" s="274">
        <f t="shared" si="14"/>
        <v>200</v>
      </c>
      <c r="T76" s="274">
        <f t="shared" si="14"/>
        <v>0</v>
      </c>
      <c r="U76" s="252"/>
      <c r="V76" s="241"/>
      <c r="W76" s="241"/>
      <c r="X76" s="241"/>
      <c r="Y76" s="241"/>
      <c r="Z76" s="241"/>
    </row>
    <row r="77" spans="2:50" x14ac:dyDescent="0.25">
      <c r="B77" s="245"/>
      <c r="C77" s="277" t="s">
        <v>247</v>
      </c>
      <c r="D77" s="284"/>
      <c r="E77" s="255">
        <f>E76/$F$83</f>
        <v>4.0322580645161289E-2</v>
      </c>
      <c r="F77" s="254">
        <f t="shared" ref="F77:T77" si="15">F76/$F$83</f>
        <v>1.1095161290322582</v>
      </c>
      <c r="G77" s="256"/>
      <c r="H77" s="234">
        <f t="shared" si="1"/>
        <v>0.44903225806451608</v>
      </c>
      <c r="I77" s="257">
        <f t="shared" si="15"/>
        <v>0.36185483870967738</v>
      </c>
      <c r="J77" s="258">
        <f t="shared" si="15"/>
        <v>8.7177419354838706E-2</v>
      </c>
      <c r="K77" s="256">
        <f t="shared" si="15"/>
        <v>0.48661290322580647</v>
      </c>
      <c r="L77" s="237">
        <f t="shared" si="2"/>
        <v>0.17387096774193547</v>
      </c>
      <c r="M77" s="259">
        <f t="shared" si="15"/>
        <v>0</v>
      </c>
      <c r="N77" s="257">
        <f t="shared" si="15"/>
        <v>0.10491935483870968</v>
      </c>
      <c r="O77" s="257">
        <f t="shared" si="15"/>
        <v>1.1370967741935484E-2</v>
      </c>
      <c r="P77" s="257">
        <f t="shared" si="15"/>
        <v>5.7580645161290321E-2</v>
      </c>
      <c r="Q77" s="257">
        <f t="shared" si="15"/>
        <v>1.1095161290322582</v>
      </c>
      <c r="R77" s="257">
        <f t="shared" si="15"/>
        <v>1.3709677419354838</v>
      </c>
      <c r="S77" s="257">
        <f t="shared" si="15"/>
        <v>1.6129032258064515</v>
      </c>
      <c r="T77" s="260">
        <f t="shared" si="15"/>
        <v>0</v>
      </c>
      <c r="U77" s="261">
        <f>R77/9600</f>
        <v>1.4280913978494621E-4</v>
      </c>
      <c r="V77" s="262">
        <f>S77/9600</f>
        <v>1.6801075268817203E-4</v>
      </c>
      <c r="W77" s="263">
        <f>I77+J77</f>
        <v>0.44903225806451608</v>
      </c>
      <c r="X77" s="263">
        <f>K77</f>
        <v>0.48661290322580647</v>
      </c>
      <c r="Y77" s="263">
        <f>Q77-(W77+X77)</f>
        <v>0.17387096774193567</v>
      </c>
      <c r="Z77" s="263">
        <f>W77+X77+Y77</f>
        <v>1.1095161290322582</v>
      </c>
    </row>
    <row r="78" spans="2:50" x14ac:dyDescent="0.25">
      <c r="B78" s="245"/>
      <c r="C78" s="167" t="s">
        <v>248</v>
      </c>
      <c r="D78" s="285"/>
      <c r="E78" s="278"/>
      <c r="F78" s="264">
        <f>F76/$F$84</f>
        <v>0.11398508699254351</v>
      </c>
      <c r="G78" s="256"/>
      <c r="H78" s="234"/>
      <c r="I78" s="286"/>
      <c r="J78" s="287"/>
      <c r="K78" s="256"/>
      <c r="L78" s="237"/>
      <c r="M78" s="288"/>
      <c r="N78" s="286"/>
      <c r="O78" s="286"/>
      <c r="P78" s="286"/>
      <c r="Q78" s="286"/>
      <c r="R78" s="286"/>
      <c r="S78" s="286"/>
      <c r="T78" s="289"/>
      <c r="U78" s="290"/>
      <c r="V78" s="291"/>
      <c r="W78" s="269"/>
      <c r="X78" s="269"/>
      <c r="Y78" s="269"/>
      <c r="Z78" s="269"/>
    </row>
    <row r="79" spans="2:50" x14ac:dyDescent="0.25">
      <c r="B79" s="232"/>
      <c r="C79" s="292" t="s">
        <v>501</v>
      </c>
      <c r="D79" s="293"/>
      <c r="E79" s="294">
        <f>E24+E37+E47+E71+E76</f>
        <v>314</v>
      </c>
      <c r="F79" s="294">
        <f t="shared" ref="F79:T79" si="16">F24+F37+F47+F71+F76</f>
        <v>6953.8</v>
      </c>
      <c r="G79" s="256"/>
      <c r="H79" s="234">
        <f t="shared" ref="H79:H80" si="17">I79+J79</f>
        <v>1880.9399999999998</v>
      </c>
      <c r="I79" s="295">
        <f t="shared" si="16"/>
        <v>1515.7199999999998</v>
      </c>
      <c r="J79" s="296">
        <f t="shared" si="16"/>
        <v>365.21999999999997</v>
      </c>
      <c r="K79" s="256">
        <f t="shared" si="16"/>
        <v>2994.07</v>
      </c>
      <c r="L79" s="237">
        <f t="shared" ref="L79:L80" si="18">N79+O79+P79</f>
        <v>2078.79</v>
      </c>
      <c r="M79" s="297">
        <f t="shared" si="16"/>
        <v>0</v>
      </c>
      <c r="N79" s="295">
        <f t="shared" si="16"/>
        <v>439.03</v>
      </c>
      <c r="O79" s="295">
        <f t="shared" si="16"/>
        <v>48.019999999999996</v>
      </c>
      <c r="P79" s="295">
        <f t="shared" si="16"/>
        <v>1591.7400000000002</v>
      </c>
      <c r="Q79" s="295">
        <f t="shared" si="16"/>
        <v>6953.8</v>
      </c>
      <c r="R79" s="295">
        <f t="shared" si="16"/>
        <v>5672</v>
      </c>
      <c r="S79" s="295">
        <f t="shared" si="16"/>
        <v>6878</v>
      </c>
      <c r="T79" s="295">
        <f t="shared" si="16"/>
        <v>0</v>
      </c>
      <c r="U79" s="252"/>
      <c r="V79" s="241"/>
      <c r="W79" s="241"/>
      <c r="X79" s="241"/>
      <c r="Y79" s="241"/>
      <c r="Z79" s="241"/>
    </row>
    <row r="80" spans="2:50" x14ac:dyDescent="0.25">
      <c r="C80" s="298" t="s">
        <v>247</v>
      </c>
      <c r="D80" s="299"/>
      <c r="E80" s="300">
        <f>E79/$F$83</f>
        <v>2.532258064516129</v>
      </c>
      <c r="F80" s="301">
        <f t="shared" ref="F80:T80" si="19">F79/$F$83</f>
        <v>56.079032258064515</v>
      </c>
      <c r="G80" s="302"/>
      <c r="H80" s="303">
        <f t="shared" si="17"/>
        <v>15.168870967741935</v>
      </c>
      <c r="I80" s="304">
        <f t="shared" si="19"/>
        <v>12.223548387096773</v>
      </c>
      <c r="J80" s="305">
        <f t="shared" si="19"/>
        <v>2.9453225806451608</v>
      </c>
      <c r="K80" s="306">
        <f t="shared" si="19"/>
        <v>24.145725806451615</v>
      </c>
      <c r="L80" s="307">
        <f t="shared" si="18"/>
        <v>16.764435483870969</v>
      </c>
      <c r="M80" s="308">
        <f t="shared" si="19"/>
        <v>0</v>
      </c>
      <c r="N80" s="304">
        <f t="shared" si="19"/>
        <v>3.5405645161290322</v>
      </c>
      <c r="O80" s="304">
        <f t="shared" si="19"/>
        <v>0.38725806451612899</v>
      </c>
      <c r="P80" s="304">
        <f t="shared" si="19"/>
        <v>12.836612903225808</v>
      </c>
      <c r="Q80" s="304">
        <f t="shared" si="19"/>
        <v>56.079032258064515</v>
      </c>
      <c r="R80" s="304">
        <f t="shared" si="19"/>
        <v>45.741935483870968</v>
      </c>
      <c r="S80" s="304">
        <f t="shared" si="19"/>
        <v>55.467741935483872</v>
      </c>
      <c r="T80" s="309">
        <f t="shared" si="19"/>
        <v>0</v>
      </c>
      <c r="U80" s="310">
        <f>R80/9600</f>
        <v>4.7647849462365589E-3</v>
      </c>
      <c r="V80" s="311">
        <f>S80/9600</f>
        <v>5.7778897849462369E-3</v>
      </c>
      <c r="W80" s="312">
        <f>I80+J80</f>
        <v>15.168870967741935</v>
      </c>
      <c r="X80" s="312">
        <f>K80</f>
        <v>24.145725806451615</v>
      </c>
      <c r="Y80" s="312">
        <f>Q80-(W80+X80)</f>
        <v>16.764435483870969</v>
      </c>
      <c r="Z80" s="312">
        <f>W80+X80+Y80</f>
        <v>56.079032258064515</v>
      </c>
    </row>
    <row r="81" spans="1:28" x14ac:dyDescent="0.25">
      <c r="F81" s="313"/>
      <c r="G81" s="314"/>
      <c r="H81" s="314"/>
      <c r="Q81" s="315"/>
      <c r="R81" s="315"/>
      <c r="S81" s="316"/>
      <c r="T81" s="316"/>
      <c r="U81" s="316"/>
      <c r="V81" s="316"/>
      <c r="W81" s="316"/>
      <c r="X81" s="316"/>
      <c r="Y81" s="316"/>
      <c r="Z81" s="316"/>
      <c r="AB81" s="207"/>
    </row>
    <row r="82" spans="1:28" x14ac:dyDescent="0.25">
      <c r="F82" s="317"/>
      <c r="I82" s="318"/>
      <c r="Q82" s="319"/>
      <c r="R82" s="319"/>
      <c r="S82" s="320"/>
      <c r="T82" s="320"/>
      <c r="U82" s="320"/>
      <c r="V82" s="320"/>
      <c r="W82" s="320"/>
      <c r="X82" s="320"/>
      <c r="Y82" s="320"/>
      <c r="Z82" s="320"/>
    </row>
    <row r="83" spans="1:28" ht="15.75" x14ac:dyDescent="0.25">
      <c r="B83" s="1500" t="s">
        <v>339</v>
      </c>
      <c r="C83" s="1500"/>
      <c r="D83" s="1500"/>
      <c r="E83" s="321"/>
      <c r="F83" s="322">
        <v>124</v>
      </c>
      <c r="G83" s="323"/>
      <c r="H83" s="323"/>
      <c r="J83" s="324"/>
      <c r="Q83" s="319"/>
      <c r="R83" s="319"/>
      <c r="S83" s="320"/>
      <c r="T83" s="320"/>
      <c r="U83" s="320"/>
      <c r="V83" s="320"/>
      <c r="W83" s="320"/>
      <c r="X83" s="320"/>
      <c r="Y83" s="320"/>
      <c r="Z83" s="320"/>
    </row>
    <row r="84" spans="1:28" s="210" customFormat="1" x14ac:dyDescent="0.25">
      <c r="A84" s="207"/>
      <c r="B84" s="325"/>
      <c r="C84" s="1501" t="s">
        <v>340</v>
      </c>
      <c r="D84" s="1501"/>
      <c r="E84" s="321"/>
      <c r="F84" s="326">
        <v>1207</v>
      </c>
      <c r="G84" s="327"/>
      <c r="H84" s="327"/>
      <c r="I84" s="281"/>
      <c r="J84" s="324"/>
      <c r="K84" s="209"/>
      <c r="L84" s="207"/>
      <c r="M84" s="207"/>
      <c r="N84" s="207"/>
      <c r="O84" s="207"/>
      <c r="P84" s="207"/>
      <c r="Q84" s="319"/>
      <c r="R84" s="319"/>
      <c r="S84" s="320"/>
      <c r="T84" s="320"/>
      <c r="U84" s="320"/>
      <c r="V84" s="320"/>
      <c r="W84" s="320"/>
      <c r="X84" s="320"/>
      <c r="Y84" s="320"/>
      <c r="Z84" s="320"/>
    </row>
    <row r="85" spans="1:28" s="210" customFormat="1" x14ac:dyDescent="0.25">
      <c r="A85" s="207"/>
      <c r="B85" s="325"/>
      <c r="C85" s="328"/>
      <c r="D85" s="208"/>
      <c r="E85" s="321"/>
      <c r="F85" s="329"/>
      <c r="G85" s="330"/>
      <c r="H85" s="330"/>
      <c r="I85" s="207"/>
      <c r="J85" s="281"/>
      <c r="K85" s="209"/>
      <c r="L85" s="207"/>
      <c r="M85" s="207"/>
      <c r="N85" s="207"/>
      <c r="O85" s="207"/>
      <c r="P85" s="207"/>
      <c r="Q85" s="319"/>
      <c r="R85" s="319"/>
      <c r="S85" s="320"/>
      <c r="T85" s="320"/>
      <c r="U85" s="320"/>
      <c r="V85" s="320"/>
      <c r="W85" s="320"/>
      <c r="X85" s="320"/>
      <c r="Y85" s="320"/>
      <c r="Z85" s="320"/>
    </row>
    <row r="86" spans="1:28" s="210" customFormat="1" ht="15.75" x14ac:dyDescent="0.25">
      <c r="A86" s="207"/>
      <c r="B86" s="331"/>
      <c r="C86" s="1502" t="s">
        <v>114</v>
      </c>
      <c r="D86" s="1502"/>
      <c r="E86" s="332"/>
      <c r="F86" s="333">
        <f>ROUND(F84/F83,1)</f>
        <v>9.6999999999999993</v>
      </c>
      <c r="G86" s="334"/>
      <c r="H86" s="334"/>
      <c r="I86" s="207"/>
      <c r="J86" s="281"/>
      <c r="K86" s="256"/>
      <c r="L86" s="318"/>
      <c r="M86" s="207"/>
      <c r="N86" s="207"/>
      <c r="O86" s="207"/>
      <c r="P86" s="207"/>
      <c r="Q86" s="319"/>
      <c r="R86" s="319"/>
      <c r="S86" s="320"/>
      <c r="T86" s="320"/>
      <c r="U86" s="320"/>
      <c r="V86" s="320"/>
      <c r="W86" s="320"/>
      <c r="X86" s="320"/>
      <c r="Y86" s="320"/>
      <c r="Z86" s="320"/>
    </row>
    <row r="87" spans="1:28" s="210" customFormat="1" x14ac:dyDescent="0.25">
      <c r="A87" s="207"/>
      <c r="B87" s="207"/>
      <c r="C87" s="207"/>
      <c r="D87" s="208"/>
      <c r="E87" s="208"/>
      <c r="F87" s="317"/>
      <c r="G87" s="209"/>
      <c r="H87" s="209"/>
      <c r="I87" s="207"/>
      <c r="J87" s="281"/>
      <c r="K87" s="209"/>
      <c r="L87" s="207"/>
      <c r="M87" s="207"/>
      <c r="N87" s="207"/>
      <c r="O87" s="207"/>
      <c r="P87" s="207"/>
      <c r="Q87" s="319"/>
      <c r="R87" s="319"/>
      <c r="S87" s="320"/>
      <c r="T87" s="320"/>
      <c r="U87" s="320"/>
      <c r="V87" s="320"/>
      <c r="W87" s="320"/>
      <c r="X87" s="320"/>
      <c r="Y87" s="320"/>
      <c r="Z87" s="320"/>
    </row>
    <row r="88" spans="1:28" s="210" customFormat="1" x14ac:dyDescent="0.25">
      <c r="A88" s="207"/>
      <c r="B88" s="207"/>
      <c r="C88" s="207"/>
      <c r="D88" s="208"/>
      <c r="E88" s="208"/>
      <c r="F88" s="208"/>
      <c r="G88" s="209"/>
      <c r="H88" s="209"/>
      <c r="I88" s="207"/>
      <c r="J88" s="281"/>
      <c r="K88" s="209"/>
      <c r="L88" s="207"/>
      <c r="M88" s="207"/>
      <c r="N88" s="207"/>
      <c r="O88" s="207"/>
      <c r="P88" s="207"/>
      <c r="Q88" s="319"/>
      <c r="R88" s="319"/>
      <c r="S88" s="320"/>
      <c r="T88" s="320"/>
      <c r="U88" s="320"/>
      <c r="V88" s="320"/>
      <c r="W88" s="320"/>
      <c r="X88" s="320"/>
      <c r="Y88" s="320"/>
      <c r="Z88" s="320"/>
    </row>
    <row r="89" spans="1:28" s="210" customFormat="1" x14ac:dyDescent="0.25">
      <c r="A89" s="207"/>
      <c r="B89" s="207"/>
      <c r="C89" s="207"/>
      <c r="D89" s="208"/>
      <c r="E89" s="208"/>
      <c r="F89" s="208"/>
      <c r="G89" s="209"/>
      <c r="H89" s="209"/>
      <c r="I89" s="207"/>
      <c r="J89" s="281"/>
      <c r="K89" s="209"/>
      <c r="L89" s="207"/>
      <c r="M89" s="207"/>
      <c r="N89" s="207"/>
      <c r="O89" s="207"/>
      <c r="P89" s="207"/>
      <c r="Q89" s="319"/>
      <c r="R89" s="319"/>
      <c r="S89" s="320"/>
      <c r="T89" s="320"/>
      <c r="U89" s="320"/>
      <c r="V89" s="320"/>
      <c r="W89" s="320"/>
      <c r="X89" s="320"/>
      <c r="Y89" s="320"/>
      <c r="Z89" s="320"/>
    </row>
    <row r="90" spans="1:28" s="210" customFormat="1" x14ac:dyDescent="0.25">
      <c r="A90" s="207"/>
      <c r="B90" s="335"/>
      <c r="C90" s="335" t="s">
        <v>502</v>
      </c>
      <c r="D90" s="336"/>
      <c r="E90" s="336"/>
      <c r="F90" s="336"/>
      <c r="G90" s="337"/>
      <c r="H90" s="337"/>
      <c r="I90" s="338"/>
      <c r="J90" s="338"/>
      <c r="K90" s="337"/>
      <c r="L90" s="338"/>
      <c r="M90" s="338"/>
      <c r="N90" s="338"/>
      <c r="O90" s="338"/>
      <c r="P90" s="338"/>
      <c r="Q90" s="339"/>
      <c r="R90" s="339"/>
      <c r="S90" s="340"/>
      <c r="T90" s="340"/>
      <c r="U90" s="340"/>
      <c r="V90" s="340"/>
      <c r="W90" s="340"/>
      <c r="X90" s="340"/>
      <c r="Y90" s="340"/>
      <c r="Z90" s="341"/>
    </row>
    <row r="91" spans="1:28" s="210" customFormat="1" x14ac:dyDescent="0.25">
      <c r="B91" s="342" t="s">
        <v>343</v>
      </c>
      <c r="C91" s="343" t="s">
        <v>344</v>
      </c>
      <c r="D91" s="344">
        <v>3.9799999999999995</v>
      </c>
      <c r="E91" s="345">
        <v>64</v>
      </c>
      <c r="F91" s="346">
        <f>D91*E91</f>
        <v>254.71999999999997</v>
      </c>
      <c r="G91" s="337"/>
      <c r="H91" s="337"/>
      <c r="I91" s="347">
        <v>148.47999999999999</v>
      </c>
      <c r="J91" s="348">
        <v>35.840000000000003</v>
      </c>
      <c r="K91" s="212">
        <v>0</v>
      </c>
      <c r="L91" s="347"/>
      <c r="M91" s="349">
        <v>0</v>
      </c>
      <c r="N91" s="349">
        <v>42.88</v>
      </c>
      <c r="O91" s="349">
        <v>4.4800000000000004</v>
      </c>
      <c r="P91" s="349">
        <v>23.04</v>
      </c>
      <c r="Q91" s="349">
        <v>254.71999999999997</v>
      </c>
      <c r="R91" s="349">
        <v>960</v>
      </c>
      <c r="S91" s="350"/>
      <c r="T91" s="350"/>
      <c r="U91" s="350"/>
      <c r="V91" s="350"/>
      <c r="W91" s="350"/>
      <c r="X91" s="350"/>
      <c r="Y91" s="350"/>
      <c r="Z91" s="350"/>
    </row>
    <row r="92" spans="1:28" s="210" customFormat="1" ht="25.5" x14ac:dyDescent="0.25">
      <c r="B92" s="342" t="s">
        <v>345</v>
      </c>
      <c r="C92" s="343" t="s">
        <v>346</v>
      </c>
      <c r="D92" s="344">
        <v>3.7399999999999998</v>
      </c>
      <c r="E92" s="345">
        <v>13</v>
      </c>
      <c r="F92" s="351">
        <f>D92*E92</f>
        <v>48.62</v>
      </c>
      <c r="G92" s="337"/>
      <c r="H92" s="337"/>
      <c r="I92" s="307">
        <v>30.159999999999997</v>
      </c>
      <c r="J92" s="352">
        <v>7.2800000000000011</v>
      </c>
      <c r="K92" s="212">
        <v>0</v>
      </c>
      <c r="L92" s="307"/>
      <c r="M92" s="353">
        <v>0</v>
      </c>
      <c r="N92" s="353">
        <v>8.7100000000000009</v>
      </c>
      <c r="O92" s="353">
        <v>0.91000000000000014</v>
      </c>
      <c r="P92" s="353">
        <v>1.56</v>
      </c>
      <c r="Q92" s="353">
        <v>48.62</v>
      </c>
      <c r="R92" s="353">
        <v>195</v>
      </c>
      <c r="S92" s="350"/>
      <c r="T92" s="350"/>
      <c r="U92" s="350"/>
      <c r="V92" s="350"/>
      <c r="W92" s="350"/>
      <c r="X92" s="350"/>
      <c r="Y92" s="350"/>
      <c r="Z92" s="350"/>
    </row>
    <row r="93" spans="1:28" s="210" customFormat="1" x14ac:dyDescent="0.25">
      <c r="B93" s="338"/>
      <c r="C93" s="354" t="s">
        <v>347</v>
      </c>
      <c r="D93" s="355"/>
      <c r="E93" s="355">
        <f t="shared" ref="E93:R93" si="20">SUM(E91:E92)</f>
        <v>77</v>
      </c>
      <c r="F93" s="356">
        <f t="shared" si="20"/>
        <v>303.33999999999997</v>
      </c>
      <c r="G93" s="357"/>
      <c r="H93" s="357"/>
      <c r="I93" s="358">
        <f t="shared" si="20"/>
        <v>178.64</v>
      </c>
      <c r="J93" s="359">
        <f t="shared" si="20"/>
        <v>43.120000000000005</v>
      </c>
      <c r="K93" s="360">
        <f t="shared" si="20"/>
        <v>0</v>
      </c>
      <c r="L93" s="358"/>
      <c r="M93" s="361">
        <f t="shared" si="20"/>
        <v>0</v>
      </c>
      <c r="N93" s="361">
        <f t="shared" si="20"/>
        <v>51.59</v>
      </c>
      <c r="O93" s="361">
        <f t="shared" si="20"/>
        <v>5.3900000000000006</v>
      </c>
      <c r="P93" s="361">
        <f t="shared" si="20"/>
        <v>24.599999999999998</v>
      </c>
      <c r="Q93" s="361">
        <f t="shared" si="20"/>
        <v>303.33999999999997</v>
      </c>
      <c r="R93" s="362">
        <f t="shared" si="20"/>
        <v>1155</v>
      </c>
      <c r="S93" s="350"/>
      <c r="T93" s="350"/>
      <c r="U93" s="350"/>
      <c r="V93" s="350"/>
      <c r="W93" s="350"/>
      <c r="X93" s="350"/>
      <c r="Y93" s="350"/>
      <c r="Z93" s="350"/>
    </row>
    <row r="94" spans="1:28" s="210" customFormat="1" x14ac:dyDescent="0.25">
      <c r="B94" s="338"/>
      <c r="C94" s="277" t="s">
        <v>247</v>
      </c>
      <c r="D94" s="363"/>
      <c r="E94" s="364">
        <f>E93/$F$98</f>
        <v>0.81914893617021278</v>
      </c>
      <c r="F94" s="365">
        <f>F93/$F$98</f>
        <v>3.2270212765957442</v>
      </c>
      <c r="G94" s="366"/>
      <c r="H94" s="366"/>
      <c r="I94" s="367">
        <f t="shared" ref="I94:R94" si="21">I93/$F$98</f>
        <v>1.9004255319148935</v>
      </c>
      <c r="J94" s="368">
        <f t="shared" si="21"/>
        <v>0.45872340425531921</v>
      </c>
      <c r="K94" s="366">
        <f t="shared" si="21"/>
        <v>0</v>
      </c>
      <c r="L94" s="367"/>
      <c r="M94" s="369">
        <f t="shared" si="21"/>
        <v>0</v>
      </c>
      <c r="N94" s="369">
        <f t="shared" si="21"/>
        <v>0.54882978723404263</v>
      </c>
      <c r="O94" s="369">
        <f t="shared" si="21"/>
        <v>5.7340425531914901E-2</v>
      </c>
      <c r="P94" s="369">
        <f t="shared" si="21"/>
        <v>0.26170212765957446</v>
      </c>
      <c r="Q94" s="369">
        <f t="shared" si="21"/>
        <v>3.2270212765957442</v>
      </c>
      <c r="R94" s="368">
        <f t="shared" si="21"/>
        <v>12.287234042553191</v>
      </c>
      <c r="S94" s="304">
        <f t="shared" ref="S94:T94" si="22">S93/$F$83</f>
        <v>0</v>
      </c>
      <c r="T94" s="309">
        <f t="shared" si="22"/>
        <v>0</v>
      </c>
      <c r="U94" s="311">
        <f>R94/9600</f>
        <v>1.2799202127659573E-3</v>
      </c>
      <c r="V94" s="311">
        <f>S94/9600</f>
        <v>0</v>
      </c>
      <c r="W94" s="312">
        <f>I94+J94</f>
        <v>2.3591489361702127</v>
      </c>
      <c r="X94" s="312">
        <f>K94</f>
        <v>0</v>
      </c>
      <c r="Y94" s="312">
        <f>Q94-(W94+X94)</f>
        <v>0.86787234042553152</v>
      </c>
      <c r="Z94" s="312">
        <f>W94+X94+Y94</f>
        <v>3.2270212765957442</v>
      </c>
    </row>
    <row r="95" spans="1:28" s="210" customFormat="1" x14ac:dyDescent="0.25">
      <c r="B95" s="338"/>
      <c r="C95" s="167" t="s">
        <v>248</v>
      </c>
      <c r="D95" s="336"/>
      <c r="E95" s="336"/>
      <c r="F95" s="264">
        <f>F93/$F$99</f>
        <v>0.33817168338907466</v>
      </c>
      <c r="G95" s="337"/>
      <c r="H95" s="337"/>
      <c r="I95" s="338"/>
      <c r="J95" s="338"/>
      <c r="K95" s="337"/>
      <c r="L95" s="338"/>
      <c r="M95" s="338"/>
      <c r="N95" s="338"/>
      <c r="O95" s="338"/>
      <c r="P95" s="338"/>
      <c r="Q95" s="338"/>
      <c r="R95" s="338"/>
      <c r="S95" s="338"/>
      <c r="T95" s="338"/>
      <c r="U95" s="338"/>
      <c r="V95" s="338"/>
      <c r="W95" s="338"/>
      <c r="X95" s="338"/>
      <c r="Y95" s="338"/>
    </row>
    <row r="96" spans="1:28" s="210" customFormat="1" x14ac:dyDescent="0.25">
      <c r="B96" s="338"/>
      <c r="C96" s="338"/>
      <c r="D96" s="336"/>
      <c r="E96" s="336"/>
      <c r="F96" s="336"/>
      <c r="G96" s="337"/>
      <c r="H96" s="337"/>
      <c r="I96" s="338"/>
      <c r="J96" s="338"/>
      <c r="K96" s="337"/>
      <c r="L96" s="338"/>
      <c r="M96" s="338"/>
      <c r="N96" s="338"/>
      <c r="O96" s="338"/>
      <c r="P96" s="338"/>
      <c r="Q96" s="338"/>
      <c r="R96" s="338"/>
      <c r="S96" s="338"/>
      <c r="T96" s="338"/>
      <c r="U96" s="338"/>
      <c r="V96" s="338"/>
      <c r="W96" s="338"/>
      <c r="X96" s="338"/>
      <c r="Y96" s="338"/>
    </row>
    <row r="97" spans="1:25" s="210" customFormat="1" x14ac:dyDescent="0.25">
      <c r="B97" s="338"/>
      <c r="C97" s="338"/>
      <c r="D97" s="336"/>
      <c r="E97" s="336"/>
      <c r="F97" s="336"/>
      <c r="G97" s="337"/>
      <c r="H97" s="337"/>
      <c r="I97" s="338"/>
      <c r="J97" s="338"/>
      <c r="K97" s="337"/>
      <c r="L97" s="338"/>
      <c r="M97" s="338"/>
      <c r="N97" s="338"/>
      <c r="O97" s="338"/>
      <c r="P97" s="338"/>
      <c r="Q97" s="338"/>
      <c r="R97" s="338"/>
      <c r="S97" s="338"/>
      <c r="T97" s="338"/>
      <c r="U97" s="338"/>
      <c r="V97" s="338"/>
      <c r="W97" s="338"/>
      <c r="X97" s="338"/>
      <c r="Y97" s="338"/>
    </row>
    <row r="98" spans="1:25" s="210" customFormat="1" ht="15.75" x14ac:dyDescent="0.25">
      <c r="B98" s="1500" t="s">
        <v>339</v>
      </c>
      <c r="C98" s="1500"/>
      <c r="D98" s="1500"/>
      <c r="E98" s="370"/>
      <c r="F98" s="371">
        <v>94</v>
      </c>
      <c r="G98" s="323"/>
      <c r="H98" s="323"/>
      <c r="I98" s="338"/>
      <c r="J98" s="338"/>
      <c r="K98" s="337"/>
      <c r="L98" s="338"/>
      <c r="M98" s="338"/>
      <c r="N98" s="338"/>
      <c r="O98" s="338"/>
      <c r="P98" s="338"/>
      <c r="Q98" s="338"/>
      <c r="R98" s="338"/>
      <c r="S98" s="338"/>
      <c r="T98" s="338"/>
      <c r="U98" s="338"/>
      <c r="V98" s="338"/>
      <c r="W98" s="338"/>
      <c r="X98" s="338"/>
      <c r="Y98" s="338"/>
    </row>
    <row r="99" spans="1:25" s="210" customFormat="1" x14ac:dyDescent="0.25">
      <c r="B99" s="325"/>
      <c r="C99" s="1501" t="s">
        <v>340</v>
      </c>
      <c r="D99" s="1501"/>
      <c r="E99" s="370"/>
      <c r="F99" s="326">
        <v>897</v>
      </c>
      <c r="G99" s="327"/>
      <c r="H99" s="327"/>
      <c r="I99" s="338"/>
      <c r="J99" s="338"/>
      <c r="K99" s="337"/>
      <c r="L99" s="338"/>
      <c r="M99" s="338"/>
      <c r="N99" s="338"/>
      <c r="O99" s="338"/>
      <c r="P99" s="338"/>
      <c r="Q99" s="338"/>
      <c r="R99" s="338"/>
      <c r="S99" s="338"/>
      <c r="T99" s="338"/>
      <c r="U99" s="338"/>
      <c r="V99" s="338"/>
      <c r="W99" s="338"/>
      <c r="X99" s="338"/>
      <c r="Y99" s="338"/>
    </row>
    <row r="100" spans="1:25" s="210" customFormat="1" x14ac:dyDescent="0.25">
      <c r="B100" s="325"/>
      <c r="C100" s="328"/>
      <c r="D100" s="208"/>
      <c r="E100" s="370"/>
      <c r="F100" s="208"/>
      <c r="G100" s="209"/>
      <c r="H100" s="209"/>
      <c r="I100" s="338"/>
      <c r="J100" s="338"/>
      <c r="K100" s="337"/>
      <c r="L100" s="338"/>
      <c r="M100" s="338"/>
      <c r="N100" s="338"/>
      <c r="O100" s="338"/>
      <c r="P100" s="338"/>
      <c r="Q100" s="338"/>
      <c r="R100" s="338"/>
      <c r="S100" s="338"/>
      <c r="T100" s="338"/>
      <c r="U100" s="338"/>
      <c r="V100" s="338"/>
      <c r="W100" s="338"/>
      <c r="X100" s="338"/>
      <c r="Y100" s="338"/>
    </row>
    <row r="101" spans="1:25" s="210" customFormat="1" ht="15.75" x14ac:dyDescent="0.25">
      <c r="B101" s="331"/>
      <c r="C101" s="1499" t="s">
        <v>114</v>
      </c>
      <c r="D101" s="1499"/>
      <c r="E101" s="370"/>
      <c r="F101" s="372">
        <f>ROUND(F99/F98,1)</f>
        <v>9.5</v>
      </c>
      <c r="G101" s="373"/>
      <c r="H101" s="373"/>
      <c r="I101" s="338"/>
      <c r="J101" s="338"/>
      <c r="K101" s="337"/>
      <c r="L101" s="338"/>
      <c r="M101" s="338"/>
      <c r="N101" s="338"/>
      <c r="O101" s="338"/>
      <c r="P101" s="338"/>
      <c r="Q101" s="338"/>
      <c r="R101" s="338"/>
      <c r="S101" s="338"/>
      <c r="T101" s="338"/>
      <c r="U101" s="338"/>
      <c r="V101" s="338"/>
      <c r="W101" s="338"/>
      <c r="X101" s="338"/>
      <c r="Y101" s="338"/>
    </row>
    <row r="105" spans="1:25" s="210" customFormat="1" x14ac:dyDescent="0.25">
      <c r="A105" s="207"/>
      <c r="B105" s="207"/>
      <c r="C105" s="207"/>
      <c r="D105" s="208"/>
      <c r="E105" s="208"/>
      <c r="F105" s="208"/>
      <c r="G105" s="209"/>
      <c r="H105" s="209"/>
      <c r="I105" s="207"/>
      <c r="J105" s="374"/>
      <c r="K105" s="209"/>
      <c r="L105" s="207"/>
      <c r="M105" s="318"/>
      <c r="N105" s="207"/>
      <c r="O105" s="318"/>
      <c r="P105" s="318"/>
      <c r="Q105" s="318"/>
      <c r="R105" s="375"/>
      <c r="T105" s="207"/>
    </row>
    <row r="106" spans="1:25" s="210" customFormat="1" x14ac:dyDescent="0.25">
      <c r="A106" s="207"/>
      <c r="B106" s="207"/>
      <c r="C106" s="207"/>
      <c r="D106" s="208"/>
      <c r="E106" s="208"/>
      <c r="F106" s="208"/>
      <c r="G106" s="209"/>
      <c r="H106" s="209"/>
      <c r="I106" s="207"/>
      <c r="J106" s="374"/>
      <c r="K106" s="209"/>
      <c r="L106" s="207"/>
      <c r="M106" s="318"/>
      <c r="N106" s="207"/>
      <c r="O106" s="318"/>
      <c r="P106" s="318"/>
      <c r="Q106" s="318"/>
      <c r="R106" s="375"/>
      <c r="T106" s="207"/>
    </row>
    <row r="107" spans="1:25" s="210" customFormat="1" x14ac:dyDescent="0.25">
      <c r="B107" s="207"/>
      <c r="C107" s="207"/>
      <c r="D107" s="208"/>
      <c r="E107" s="208"/>
      <c r="F107" s="208"/>
      <c r="G107" s="209"/>
      <c r="H107" s="209"/>
      <c r="K107" s="376"/>
    </row>
    <row r="108" spans="1:25" s="210" customFormat="1" x14ac:dyDescent="0.25">
      <c r="B108" s="207"/>
      <c r="C108" s="207"/>
      <c r="D108" s="208"/>
      <c r="E108" s="208"/>
      <c r="F108" s="208"/>
      <c r="G108" s="209"/>
      <c r="H108" s="209"/>
      <c r="I108" s="207"/>
      <c r="J108" s="281"/>
      <c r="K108" s="209"/>
      <c r="L108" s="207"/>
      <c r="M108" s="318"/>
      <c r="N108" s="207"/>
      <c r="O108" s="318"/>
      <c r="P108" s="318"/>
      <c r="Q108" s="318"/>
      <c r="R108" s="318"/>
      <c r="S108" s="375"/>
    </row>
    <row r="109" spans="1:25" s="210" customFormat="1" x14ac:dyDescent="0.25">
      <c r="B109" s="207"/>
      <c r="C109" s="207"/>
      <c r="D109" s="208"/>
      <c r="E109" s="208"/>
      <c r="F109" s="208"/>
      <c r="G109" s="209"/>
      <c r="H109" s="209"/>
      <c r="I109" s="207"/>
      <c r="J109" s="281"/>
      <c r="K109" s="209"/>
      <c r="L109" s="207"/>
      <c r="M109" s="318"/>
      <c r="N109" s="207"/>
      <c r="O109" s="318"/>
      <c r="P109" s="318"/>
      <c r="Q109" s="318"/>
      <c r="R109" s="318"/>
      <c r="S109" s="375"/>
    </row>
  </sheetData>
  <mergeCells count="22">
    <mergeCell ref="F1:I1"/>
    <mergeCell ref="D2:I2"/>
    <mergeCell ref="C101:D101"/>
    <mergeCell ref="V7:V8"/>
    <mergeCell ref="B83:D83"/>
    <mergeCell ref="C84:D84"/>
    <mergeCell ref="C86:D86"/>
    <mergeCell ref="B98:D98"/>
    <mergeCell ref="C99:D99"/>
    <mergeCell ref="I6:Q6"/>
    <mergeCell ref="R6:T6"/>
    <mergeCell ref="U6:V6"/>
    <mergeCell ref="W6:Z6"/>
    <mergeCell ref="B7:B8"/>
    <mergeCell ref="C7:C8"/>
    <mergeCell ref="D7:D8"/>
    <mergeCell ref="E7:E8"/>
    <mergeCell ref="F7:F8"/>
    <mergeCell ref="U7:U8"/>
    <mergeCell ref="Y7:Y8"/>
    <mergeCell ref="Z7:Z8"/>
    <mergeCell ref="R8:T8"/>
  </mergeCells>
  <pageMargins left="0.70866141732283472" right="0.70866141732283472" top="0.74803149606299213" bottom="0.74803149606299213" header="0.31496062992125984" footer="0.31496062992125984"/>
  <pageSetup paperSize="9" scale="9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W19"/>
  <sheetViews>
    <sheetView showGridLines="0" zoomScale="90" zoomScaleNormal="90" workbookViewId="0">
      <selection activeCell="K28" sqref="K28"/>
    </sheetView>
  </sheetViews>
  <sheetFormatPr defaultRowHeight="15.75" x14ac:dyDescent="0.25"/>
  <cols>
    <col min="1" max="1" width="4.42578125" style="100" customWidth="1"/>
    <col min="2" max="2" width="28.28515625" style="100" bestFit="1" customWidth="1"/>
    <col min="3" max="3" width="10.7109375" style="100" bestFit="1" customWidth="1"/>
    <col min="4" max="4" width="21.7109375" style="100" bestFit="1" customWidth="1"/>
    <col min="5" max="5" width="30.7109375" style="100" customWidth="1"/>
    <col min="6" max="16384" width="9.140625" style="100"/>
  </cols>
  <sheetData>
    <row r="1" spans="2:23" x14ac:dyDescent="0.25">
      <c r="D1" s="901"/>
      <c r="E1" s="998"/>
      <c r="F1" s="1137" t="s">
        <v>1453</v>
      </c>
      <c r="G1" s="1137"/>
      <c r="H1" s="1137"/>
      <c r="I1" s="1137"/>
    </row>
    <row r="2" spans="2:23" ht="36.75" customHeight="1" x14ac:dyDescent="0.25">
      <c r="D2" s="1161" t="s">
        <v>1342</v>
      </c>
      <c r="E2" s="1161"/>
      <c r="F2" s="1161"/>
      <c r="G2" s="1161"/>
      <c r="H2" s="1161"/>
      <c r="I2" s="1161"/>
    </row>
    <row r="4" spans="2:23" s="133" customFormat="1" ht="18.75" x14ac:dyDescent="0.25">
      <c r="B4" s="457" t="s">
        <v>915</v>
      </c>
      <c r="D4" s="155"/>
      <c r="E4" s="155"/>
      <c r="G4" s="156"/>
      <c r="H4" s="157"/>
      <c r="I4" s="155"/>
      <c r="J4" s="155"/>
      <c r="K4" s="158"/>
      <c r="L4" s="159"/>
      <c r="M4" s="159"/>
      <c r="Q4" s="160"/>
      <c r="V4" s="161"/>
      <c r="W4" s="161"/>
    </row>
    <row r="6" spans="2:23" x14ac:dyDescent="0.25">
      <c r="B6" s="172" t="s">
        <v>503</v>
      </c>
      <c r="C6" s="172" t="s">
        <v>349</v>
      </c>
      <c r="D6" s="172" t="s">
        <v>350</v>
      </c>
      <c r="E6" s="172" t="s">
        <v>351</v>
      </c>
    </row>
    <row r="7" spans="2:23" x14ac:dyDescent="0.25">
      <c r="B7" s="1465" t="s">
        <v>354</v>
      </c>
      <c r="C7" s="1465"/>
      <c r="D7" s="1465"/>
      <c r="E7" s="1465"/>
    </row>
    <row r="8" spans="2:23" x14ac:dyDescent="0.25">
      <c r="B8" s="105" t="s">
        <v>504</v>
      </c>
      <c r="C8" s="104">
        <v>26.33</v>
      </c>
      <c r="D8" s="105">
        <f>360*2</f>
        <v>720</v>
      </c>
      <c r="E8" s="175">
        <f t="shared" ref="E8:E14" si="0">C8/D8</f>
        <v>3.6569444444444439E-2</v>
      </c>
      <c r="F8" s="100" t="s">
        <v>505</v>
      </c>
    </row>
    <row r="9" spans="2:23" x14ac:dyDescent="0.25">
      <c r="B9" s="105" t="s">
        <v>506</v>
      </c>
      <c r="C9" s="104">
        <v>24.8</v>
      </c>
      <c r="D9" s="105">
        <f>360*2</f>
        <v>720</v>
      </c>
      <c r="E9" s="175">
        <f t="shared" si="0"/>
        <v>3.4444444444444444E-2</v>
      </c>
      <c r="F9" s="100" t="s">
        <v>505</v>
      </c>
    </row>
    <row r="10" spans="2:23" x14ac:dyDescent="0.25">
      <c r="B10" s="105" t="s">
        <v>507</v>
      </c>
      <c r="C10" s="104">
        <v>209</v>
      </c>
      <c r="D10" s="105">
        <f>360*5</f>
        <v>1800</v>
      </c>
      <c r="E10" s="175">
        <f t="shared" si="0"/>
        <v>0.11611111111111111</v>
      </c>
      <c r="F10" s="100" t="s">
        <v>358</v>
      </c>
    </row>
    <row r="11" spans="2:23" x14ac:dyDescent="0.25">
      <c r="B11" s="105" t="s">
        <v>357</v>
      </c>
      <c r="C11" s="105">
        <v>131.55000000000001</v>
      </c>
      <c r="D11" s="105">
        <f>360*5</f>
        <v>1800</v>
      </c>
      <c r="E11" s="175">
        <f t="shared" si="0"/>
        <v>7.3083333333333333E-2</v>
      </c>
      <c r="F11" s="100" t="s">
        <v>358</v>
      </c>
    </row>
    <row r="12" spans="2:23" x14ac:dyDescent="0.25">
      <c r="B12" s="105" t="s">
        <v>361</v>
      </c>
      <c r="C12" s="104">
        <v>1492.5</v>
      </c>
      <c r="D12" s="105">
        <f>360*5</f>
        <v>1800</v>
      </c>
      <c r="E12" s="175">
        <f t="shared" si="0"/>
        <v>0.82916666666666672</v>
      </c>
      <c r="F12" s="100" t="s">
        <v>358</v>
      </c>
    </row>
    <row r="13" spans="2:23" x14ac:dyDescent="0.25">
      <c r="B13" s="105" t="s">
        <v>364</v>
      </c>
      <c r="C13" s="105">
        <v>1065.25</v>
      </c>
      <c r="D13" s="105">
        <f>360*6</f>
        <v>2160</v>
      </c>
      <c r="E13" s="175">
        <f t="shared" si="0"/>
        <v>0.4931712962962963</v>
      </c>
      <c r="F13" s="100" t="s">
        <v>365</v>
      </c>
    </row>
    <row r="14" spans="2:23" x14ac:dyDescent="0.25">
      <c r="B14" s="105" t="s">
        <v>368</v>
      </c>
      <c r="C14" s="104">
        <v>500</v>
      </c>
      <c r="D14" s="105">
        <f>360*5</f>
        <v>1800</v>
      </c>
      <c r="E14" s="175">
        <f t="shared" si="0"/>
        <v>0.27777777777777779</v>
      </c>
      <c r="F14" s="100" t="s">
        <v>358</v>
      </c>
    </row>
    <row r="15" spans="2:23" x14ac:dyDescent="0.25">
      <c r="B15" s="1504" t="s">
        <v>371</v>
      </c>
      <c r="C15" s="1505"/>
      <c r="D15" s="1505"/>
      <c r="E15" s="1506"/>
    </row>
    <row r="16" spans="2:23" x14ac:dyDescent="0.25">
      <c r="B16" s="105" t="s">
        <v>374</v>
      </c>
      <c r="C16" s="104">
        <v>100</v>
      </c>
      <c r="D16" s="105">
        <f>360*3</f>
        <v>1080</v>
      </c>
      <c r="E16" s="175">
        <f>C16/D16</f>
        <v>9.2592592592592587E-2</v>
      </c>
      <c r="F16" s="100" t="s">
        <v>358</v>
      </c>
    </row>
    <row r="17" spans="2:6" x14ac:dyDescent="0.25">
      <c r="B17" s="105" t="s">
        <v>377</v>
      </c>
      <c r="C17" s="104">
        <v>184.4</v>
      </c>
      <c r="D17" s="105">
        <f>360*4</f>
        <v>1440</v>
      </c>
      <c r="E17" s="175">
        <f>C17/D17</f>
        <v>0.12805555555555556</v>
      </c>
      <c r="F17" s="100" t="s">
        <v>378</v>
      </c>
    </row>
    <row r="18" spans="2:6" x14ac:dyDescent="0.25">
      <c r="B18" s="105" t="s">
        <v>381</v>
      </c>
      <c r="C18" s="105">
        <v>164.96</v>
      </c>
      <c r="D18" s="105">
        <f>360*5</f>
        <v>1800</v>
      </c>
      <c r="E18" s="175">
        <f>C18/D18</f>
        <v>9.1644444444444445E-2</v>
      </c>
      <c r="F18" s="100" t="s">
        <v>382</v>
      </c>
    </row>
    <row r="19" spans="2:6" x14ac:dyDescent="0.25">
      <c r="D19" s="176" t="s">
        <v>102</v>
      </c>
      <c r="E19" s="177">
        <f>SUM(E8:E14,E16:E18)</f>
        <v>2.1726166666666664</v>
      </c>
    </row>
  </sheetData>
  <mergeCells count="4">
    <mergeCell ref="B7:E7"/>
    <mergeCell ref="B15:E15"/>
    <mergeCell ref="F1:I1"/>
    <mergeCell ref="D2:I2"/>
  </mergeCells>
  <pageMargins left="0.70866141732283472" right="0.70866141732283472" top="0.74803149606299213" bottom="0.74803149606299213" header="0.31496062992125984" footer="0.31496062992125984"/>
  <pageSetup paperSize="9" scale="8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K24"/>
  <sheetViews>
    <sheetView showGridLines="0" zoomScale="90" zoomScaleNormal="90" workbookViewId="0">
      <selection activeCell="F1" sqref="F1:K2"/>
    </sheetView>
  </sheetViews>
  <sheetFormatPr defaultRowHeight="15" x14ac:dyDescent="0.25"/>
  <cols>
    <col min="1" max="1" width="5.140625" customWidth="1"/>
    <col min="4" max="4" width="27.28515625" customWidth="1"/>
    <col min="5" max="5" width="23.42578125" customWidth="1"/>
    <col min="6" max="8" width="22.28515625" customWidth="1"/>
  </cols>
  <sheetData>
    <row r="1" spans="2:11" ht="15.75" x14ac:dyDescent="0.25">
      <c r="F1" s="901"/>
      <c r="G1" s="998"/>
      <c r="H1" s="1137" t="s">
        <v>1454</v>
      </c>
      <c r="I1" s="1137"/>
      <c r="J1" s="1137"/>
      <c r="K1" s="1137"/>
    </row>
    <row r="2" spans="2:11" ht="37.5" customHeight="1" x14ac:dyDescent="0.25">
      <c r="F2" s="1161" t="s">
        <v>1342</v>
      </c>
      <c r="G2" s="1161"/>
      <c r="H2" s="1161"/>
      <c r="I2" s="1161"/>
      <c r="J2" s="1161"/>
      <c r="K2" s="1161"/>
    </row>
    <row r="4" spans="2:11" ht="38.25" customHeight="1" x14ac:dyDescent="0.25">
      <c r="B4" s="1466" t="s">
        <v>1001</v>
      </c>
      <c r="C4" s="1466"/>
      <c r="D4" s="1466"/>
      <c r="E4" s="1466"/>
      <c r="F4" s="1466"/>
      <c r="G4" s="1466"/>
      <c r="H4" s="1466"/>
    </row>
    <row r="6" spans="2:11" ht="30" x14ac:dyDescent="0.25">
      <c r="B6" s="183" t="s">
        <v>409</v>
      </c>
      <c r="C6" s="183" t="s">
        <v>410</v>
      </c>
      <c r="D6" s="183" t="s">
        <v>137</v>
      </c>
      <c r="E6" s="183" t="s">
        <v>411</v>
      </c>
      <c r="F6" s="183" t="s">
        <v>412</v>
      </c>
      <c r="G6" s="183" t="s">
        <v>413</v>
      </c>
      <c r="H6" s="183" t="s">
        <v>414</v>
      </c>
    </row>
    <row r="7" spans="2:11" x14ac:dyDescent="0.25">
      <c r="B7" s="184">
        <v>1</v>
      </c>
      <c r="C7" s="185" t="s">
        <v>415</v>
      </c>
      <c r="D7" s="185" t="s">
        <v>416</v>
      </c>
      <c r="E7" s="186">
        <v>120</v>
      </c>
      <c r="F7" s="186">
        <v>1</v>
      </c>
      <c r="G7" s="187">
        <v>0.40498496541559992</v>
      </c>
      <c r="H7" s="188">
        <f>G7*E7</f>
        <v>48.598195849871992</v>
      </c>
      <c r="I7" s="189">
        <f>E7/F7</f>
        <v>120</v>
      </c>
    </row>
    <row r="8" spans="2:11" x14ac:dyDescent="0.25">
      <c r="B8" s="184">
        <v>2</v>
      </c>
      <c r="C8" s="185" t="s">
        <v>415</v>
      </c>
      <c r="D8" s="185" t="s">
        <v>417</v>
      </c>
      <c r="E8" s="186">
        <v>94</v>
      </c>
      <c r="F8" s="186">
        <v>4</v>
      </c>
      <c r="G8" s="187">
        <v>0.74226239724069154</v>
      </c>
      <c r="H8" s="188">
        <f t="shared" ref="H8:H9" si="0">G8*E8</f>
        <v>69.772665340625011</v>
      </c>
      <c r="I8" s="189">
        <f t="shared" ref="I8:I12" si="1">E8/F8</f>
        <v>23.5</v>
      </c>
    </row>
    <row r="9" spans="2:11" x14ac:dyDescent="0.25">
      <c r="B9" s="190">
        <v>3</v>
      </c>
      <c r="C9" s="185" t="s">
        <v>415</v>
      </c>
      <c r="D9" s="185" t="s">
        <v>418</v>
      </c>
      <c r="E9" s="186">
        <v>108</v>
      </c>
      <c r="F9" s="186">
        <v>1</v>
      </c>
      <c r="G9" s="187">
        <v>0.36140676033854174</v>
      </c>
      <c r="H9" s="188">
        <f t="shared" si="0"/>
        <v>39.031930116562506</v>
      </c>
      <c r="I9" s="189">
        <f t="shared" si="1"/>
        <v>108</v>
      </c>
    </row>
    <row r="10" spans="2:11" x14ac:dyDescent="0.25">
      <c r="B10" s="184">
        <v>4</v>
      </c>
      <c r="C10" s="185" t="s">
        <v>415</v>
      </c>
      <c r="D10" s="185" t="s">
        <v>419</v>
      </c>
      <c r="E10" s="191">
        <v>134.81</v>
      </c>
      <c r="F10" s="186">
        <v>9</v>
      </c>
      <c r="G10" s="187">
        <v>0.81327828151472081</v>
      </c>
      <c r="H10" s="188">
        <f>G10*E10</f>
        <v>109.63804513099952</v>
      </c>
      <c r="I10" s="189">
        <f t="shared" si="1"/>
        <v>14.978888888888889</v>
      </c>
    </row>
    <row r="11" spans="2:11" x14ac:dyDescent="0.25">
      <c r="B11" s="184">
        <v>5</v>
      </c>
      <c r="C11" s="185" t="s">
        <v>415</v>
      </c>
      <c r="D11" s="185" t="s">
        <v>420</v>
      </c>
      <c r="E11" s="186">
        <v>407</v>
      </c>
      <c r="F11" s="186">
        <v>25</v>
      </c>
      <c r="G11" s="187">
        <v>0.86293233902134503</v>
      </c>
      <c r="H11" s="188">
        <f>G11*E11</f>
        <v>351.21346198168743</v>
      </c>
      <c r="I11" s="189">
        <f t="shared" si="1"/>
        <v>16.28</v>
      </c>
    </row>
    <row r="12" spans="2:11" x14ac:dyDescent="0.25">
      <c r="B12" s="190">
        <v>6</v>
      </c>
      <c r="C12" s="185" t="s">
        <v>415</v>
      </c>
      <c r="D12" s="185" t="s">
        <v>421</v>
      </c>
      <c r="E12" s="186">
        <v>97</v>
      </c>
      <c r="F12" s="186">
        <v>3</v>
      </c>
      <c r="G12" s="187">
        <v>0.35261853881739685</v>
      </c>
      <c r="H12" s="188">
        <f>G12*E12</f>
        <v>34.203998265287495</v>
      </c>
      <c r="I12" s="189">
        <f t="shared" si="1"/>
        <v>32.333333333333336</v>
      </c>
    </row>
    <row r="13" spans="2:11" x14ac:dyDescent="0.25">
      <c r="B13" s="1467" t="s">
        <v>196</v>
      </c>
      <c r="C13" s="1468"/>
      <c r="D13" s="1469"/>
      <c r="E13" s="192">
        <f>SUM(E7:E12)</f>
        <v>960.81</v>
      </c>
      <c r="F13" s="193">
        <f t="shared" ref="F13:H13" si="2">SUM(F7:F12)</f>
        <v>43</v>
      </c>
      <c r="G13" s="194">
        <f>AVERAGE(G7:G12)</f>
        <v>0.58958054705804941</v>
      </c>
      <c r="H13" s="195">
        <f t="shared" si="2"/>
        <v>652.45829668503393</v>
      </c>
      <c r="I13" s="189">
        <f>AVERAGE(I7:I12)</f>
        <v>52.51537037037037</v>
      </c>
    </row>
    <row r="14" spans="2:11" ht="8.25" customHeight="1" x14ac:dyDescent="0.25">
      <c r="D14" s="196"/>
    </row>
    <row r="15" spans="2:11" x14ac:dyDescent="0.25">
      <c r="B15" s="197" t="s">
        <v>422</v>
      </c>
      <c r="F15" s="153" t="s">
        <v>423</v>
      </c>
      <c r="G15" s="198">
        <f>I13</f>
        <v>52.51537037037037</v>
      </c>
      <c r="J15" s="199"/>
    </row>
    <row r="16" spans="2:11" x14ac:dyDescent="0.25">
      <c r="F16" s="200" t="s">
        <v>424</v>
      </c>
      <c r="G16" s="201">
        <f>G13*G15</f>
        <v>30.962040791919041</v>
      </c>
    </row>
    <row r="18" spans="6:8" x14ac:dyDescent="0.25">
      <c r="F18" s="153" t="s">
        <v>198</v>
      </c>
      <c r="G18" s="154">
        <f>'[6](Pr Pal)'!F156</f>
        <v>9.3179999999999996</v>
      </c>
    </row>
    <row r="19" spans="6:8" x14ac:dyDescent="0.25">
      <c r="F19" s="153" t="s">
        <v>425</v>
      </c>
      <c r="G19" s="154">
        <f>'[6](Pr Hr)'!F197</f>
        <v>6.8</v>
      </c>
      <c r="H19" s="189"/>
    </row>
    <row r="20" spans="6:8" x14ac:dyDescent="0.25">
      <c r="F20" s="153" t="s">
        <v>426</v>
      </c>
      <c r="G20" s="202">
        <f>'[6](Pr Apr)'!F83</f>
        <v>9.6999999999999993</v>
      </c>
    </row>
    <row r="22" spans="6:8" x14ac:dyDescent="0.25">
      <c r="F22" s="153" t="s">
        <v>427</v>
      </c>
      <c r="G22" s="203">
        <f>$G$16/G18</f>
        <v>3.3228204327021937</v>
      </c>
    </row>
    <row r="23" spans="6:8" x14ac:dyDescent="0.25">
      <c r="F23" s="153" t="s">
        <v>428</v>
      </c>
      <c r="G23" s="203">
        <f>$G$16/G19</f>
        <v>4.5532412929292709</v>
      </c>
    </row>
    <row r="24" spans="6:8" x14ac:dyDescent="0.25">
      <c r="F24" s="153" t="s">
        <v>429</v>
      </c>
      <c r="G24" s="203">
        <f>$G$16/G20</f>
        <v>3.1919629682390767</v>
      </c>
    </row>
  </sheetData>
  <mergeCells count="4">
    <mergeCell ref="B4:H4"/>
    <mergeCell ref="B13:D13"/>
    <mergeCell ref="H1:K1"/>
    <mergeCell ref="F2:K2"/>
  </mergeCells>
  <pageMargins left="0.70866141732283472" right="0.70866141732283472" top="0.74803149606299213" bottom="0.74803149606299213" header="0.31496062992125984" footer="0.31496062992125984"/>
  <pageSetup paperSize="9" scale="7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79998168889431442"/>
  </sheetPr>
  <dimension ref="B1:M9"/>
  <sheetViews>
    <sheetView showGridLines="0" zoomScale="90" zoomScaleNormal="90" workbookViewId="0">
      <selection activeCell="E9" sqref="E9"/>
    </sheetView>
  </sheetViews>
  <sheetFormatPr defaultRowHeight="15.75" x14ac:dyDescent="0.25"/>
  <cols>
    <col min="1" max="1" width="9.140625" style="100"/>
    <col min="2" max="9" width="14.7109375" style="100" customWidth="1"/>
    <col min="10" max="10" width="15.140625" style="100" customWidth="1"/>
    <col min="11" max="11" width="9.140625" style="100"/>
    <col min="12" max="12" width="11.42578125" style="100" bestFit="1" customWidth="1"/>
    <col min="13" max="16384" width="9.140625" style="100"/>
  </cols>
  <sheetData>
    <row r="1" spans="2:13" x14ac:dyDescent="0.25">
      <c r="H1" s="901"/>
      <c r="I1" s="998"/>
      <c r="J1" s="1137" t="s">
        <v>1455</v>
      </c>
      <c r="K1" s="1137"/>
      <c r="L1" s="1137"/>
      <c r="M1" s="1137"/>
    </row>
    <row r="2" spans="2:13" ht="46.5" customHeight="1" x14ac:dyDescent="0.25">
      <c r="H2" s="1161" t="s">
        <v>1342</v>
      </c>
      <c r="I2" s="1161"/>
      <c r="J2" s="1161"/>
      <c r="K2" s="1161"/>
      <c r="L2" s="1161"/>
      <c r="M2" s="1161"/>
    </row>
    <row r="3" spans="2:13" ht="16.5" customHeight="1" x14ac:dyDescent="0.25"/>
    <row r="4" spans="2:13" ht="20.25" x14ac:dyDescent="0.3">
      <c r="B4" s="5" t="s">
        <v>1218</v>
      </c>
    </row>
    <row r="5" spans="2:13" ht="19.5" thickBot="1" x14ac:dyDescent="0.35">
      <c r="B5" s="8"/>
    </row>
    <row r="6" spans="2:13" ht="19.5" thickBot="1" x14ac:dyDescent="0.35">
      <c r="B6" s="204" t="s">
        <v>508</v>
      </c>
      <c r="C6" s="101"/>
      <c r="D6" s="101"/>
      <c r="E6" s="101"/>
      <c r="F6" s="101"/>
      <c r="G6" s="101"/>
      <c r="H6" s="101"/>
      <c r="I6" s="101"/>
      <c r="J6" s="101"/>
      <c r="K6" s="102"/>
      <c r="L6" s="542">
        <f>ROUND(J9,0)</f>
        <v>2276748</v>
      </c>
      <c r="M6" s="205" t="s">
        <v>6</v>
      </c>
    </row>
    <row r="8" spans="2:13" ht="57" x14ac:dyDescent="0.25">
      <c r="B8" s="676" t="s">
        <v>1168</v>
      </c>
      <c r="C8" s="676" t="s">
        <v>1169</v>
      </c>
      <c r="D8" s="675" t="s">
        <v>1170</v>
      </c>
      <c r="E8" s="676" t="s">
        <v>1171</v>
      </c>
      <c r="F8" s="675" t="s">
        <v>1172</v>
      </c>
      <c r="G8" s="676" t="s">
        <v>1173</v>
      </c>
      <c r="H8" s="676" t="s">
        <v>1174</v>
      </c>
      <c r="I8" s="791" t="s">
        <v>1224</v>
      </c>
      <c r="J8" s="672" t="s">
        <v>115</v>
      </c>
    </row>
    <row r="9" spans="2:13" x14ac:dyDescent="0.25">
      <c r="B9" s="729">
        <f>'6.2.2.1.'!E20</f>
        <v>7.5660141206675213</v>
      </c>
      <c r="C9" s="676">
        <v>65.540000000000006</v>
      </c>
      <c r="D9" s="727">
        <v>495.85425866495513</v>
      </c>
      <c r="E9" s="730">
        <f>'6.2.2.1.'!N40</f>
        <v>89.68</v>
      </c>
      <c r="F9" s="512">
        <f>B9*E9</f>
        <v>678.52014634146337</v>
      </c>
      <c r="G9" s="115">
        <f>F9-D9</f>
        <v>182.66588767650825</v>
      </c>
      <c r="H9" s="49">
        <v>12464</v>
      </c>
      <c r="I9" s="792">
        <f>ROUND(D9*H9,2)</f>
        <v>6180327.4800000004</v>
      </c>
      <c r="J9" s="731">
        <f>H9*G9</f>
        <v>2276747.6239999989</v>
      </c>
    </row>
  </sheetData>
  <mergeCells count="2">
    <mergeCell ref="J1:M1"/>
    <mergeCell ref="H2:M2"/>
  </mergeCells>
  <pageMargins left="0.70866141732283472" right="0.70866141732283472" top="0.74803149606299213" bottom="0.74803149606299213" header="0.31496062992125984" footer="0.31496062992125984"/>
  <pageSetup paperSize="9" scale="7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44"/>
  <sheetViews>
    <sheetView showGridLines="0" topLeftCell="A7" zoomScale="90" zoomScaleNormal="90" workbookViewId="0">
      <selection activeCell="U40" sqref="U40"/>
    </sheetView>
  </sheetViews>
  <sheetFormatPr defaultRowHeight="15" x14ac:dyDescent="0.25"/>
  <cols>
    <col min="1" max="1" width="2.5703125" style="133" customWidth="1"/>
    <col min="2" max="2" width="15.7109375" style="133" customWidth="1"/>
    <col min="3" max="3" width="23.42578125" style="133" customWidth="1"/>
    <col min="4" max="4" width="39.140625" style="133" customWidth="1"/>
    <col min="5" max="5" width="10.5703125" style="133" customWidth="1"/>
    <col min="6" max="6" width="13.42578125" style="133" customWidth="1"/>
    <col min="7" max="7" width="15.28515625" style="133" customWidth="1"/>
    <col min="8" max="8" width="14.42578125" style="133" customWidth="1"/>
    <col min="9" max="9" width="12.140625" style="133" customWidth="1"/>
    <col min="10" max="10" width="15.28515625" style="133" customWidth="1"/>
    <col min="11" max="11" width="13.42578125" style="133" customWidth="1"/>
    <col min="12" max="12" width="11.7109375" style="133" customWidth="1"/>
    <col min="13" max="13" width="21.42578125" style="133" customWidth="1"/>
    <col min="14" max="14" width="11.42578125" style="133" customWidth="1"/>
    <col min="15" max="16384" width="9.140625" style="133"/>
  </cols>
  <sheetData>
    <row r="1" spans="1:15" ht="15.75" x14ac:dyDescent="0.25">
      <c r="J1" s="901"/>
      <c r="K1" s="998"/>
      <c r="L1" s="1137" t="s">
        <v>1456</v>
      </c>
      <c r="M1" s="1137"/>
      <c r="N1" s="1137"/>
      <c r="O1" s="1137"/>
    </row>
    <row r="2" spans="1:15" ht="36.75" customHeight="1" x14ac:dyDescent="0.25">
      <c r="J2" s="1161" t="s">
        <v>1342</v>
      </c>
      <c r="K2" s="1161"/>
      <c r="L2" s="1161"/>
      <c r="M2" s="1161"/>
      <c r="N2" s="1161"/>
      <c r="O2" s="1161"/>
    </row>
    <row r="4" spans="1:15" ht="18.75" x14ac:dyDescent="0.25">
      <c r="B4" s="677" t="s">
        <v>1175</v>
      </c>
    </row>
    <row r="5" spans="1:15" x14ac:dyDescent="0.25">
      <c r="E5" s="674"/>
      <c r="F5" s="711"/>
      <c r="G5" s="706"/>
      <c r="H5" s="706"/>
      <c r="J5" s="681"/>
    </row>
    <row r="6" spans="1:15" x14ac:dyDescent="0.25">
      <c r="A6" s="678"/>
      <c r="D6" s="164" t="s">
        <v>173</v>
      </c>
      <c r="E6" s="135">
        <f>20*8*60</f>
        <v>9600</v>
      </c>
      <c r="F6" s="135"/>
      <c r="G6" s="1457" t="s">
        <v>160</v>
      </c>
      <c r="H6" s="1462"/>
      <c r="I6" s="1463"/>
      <c r="J6" s="1458" t="s">
        <v>174</v>
      </c>
      <c r="K6" s="1458"/>
      <c r="L6" s="1457" t="s">
        <v>175</v>
      </c>
      <c r="M6" s="1458"/>
      <c r="N6" s="1459"/>
    </row>
    <row r="7" spans="1:15" ht="24.75" customHeight="1" x14ac:dyDescent="0.25">
      <c r="A7" s="679"/>
      <c r="B7" s="676" t="s">
        <v>176</v>
      </c>
      <c r="C7" s="136"/>
      <c r="D7" s="137" t="s">
        <v>509</v>
      </c>
      <c r="E7" s="676" t="s">
        <v>146</v>
      </c>
      <c r="F7" s="676" t="s">
        <v>178</v>
      </c>
      <c r="G7" s="138" t="s">
        <v>179</v>
      </c>
      <c r="H7" s="138" t="s">
        <v>180</v>
      </c>
      <c r="I7" s="138" t="s">
        <v>181</v>
      </c>
      <c r="J7" s="139" t="s">
        <v>182</v>
      </c>
      <c r="K7" s="139" t="s">
        <v>180</v>
      </c>
      <c r="L7" s="676" t="s">
        <v>183</v>
      </c>
      <c r="M7" s="676" t="s">
        <v>184</v>
      </c>
      <c r="N7" s="676" t="s">
        <v>185</v>
      </c>
    </row>
    <row r="8" spans="1:15" x14ac:dyDescent="0.25">
      <c r="B8" s="680">
        <v>8</v>
      </c>
      <c r="C8" s="1454" t="s">
        <v>186</v>
      </c>
      <c r="D8" s="141" t="s">
        <v>1160</v>
      </c>
      <c r="E8" s="142">
        <v>1</v>
      </c>
      <c r="F8" s="680">
        <v>1</v>
      </c>
      <c r="G8" s="143">
        <f t="shared" ref="G8:G17" si="0">F8*$E$6*12</f>
        <v>115200</v>
      </c>
      <c r="H8" s="143">
        <f>G8/12</f>
        <v>9600</v>
      </c>
      <c r="I8" s="143">
        <f t="shared" ref="I8:I17" si="1">365*B8</f>
        <v>2920</v>
      </c>
      <c r="J8" s="144">
        <f t="shared" ref="J8:J17" si="2">G8/I8</f>
        <v>39.452054794520549</v>
      </c>
      <c r="K8" s="144">
        <f t="shared" ref="K8:K17" si="3">H8/I8</f>
        <v>3.2876712328767121</v>
      </c>
      <c r="L8" s="145">
        <f>(J8+K8)*$G$24</f>
        <v>6.6118356164383565</v>
      </c>
      <c r="M8" s="145">
        <f>L8*0.2359</f>
        <v>1.5597320219178084</v>
      </c>
      <c r="N8" s="145">
        <f t="shared" ref="N8:N17" si="4">L8+M8</f>
        <v>8.1715676383561657</v>
      </c>
      <c r="O8" s="681"/>
    </row>
    <row r="9" spans="1:15" x14ac:dyDescent="0.25">
      <c r="B9" s="682">
        <v>40</v>
      </c>
      <c r="C9" s="1460"/>
      <c r="D9" s="141" t="s">
        <v>1161</v>
      </c>
      <c r="E9" s="142">
        <v>1</v>
      </c>
      <c r="F9" s="682">
        <v>3.5</v>
      </c>
      <c r="G9" s="143">
        <f t="shared" si="0"/>
        <v>403200</v>
      </c>
      <c r="H9" s="143">
        <f>G9/12</f>
        <v>33600</v>
      </c>
      <c r="I9" s="143">
        <f t="shared" si="1"/>
        <v>14600</v>
      </c>
      <c r="J9" s="144">
        <f t="shared" si="2"/>
        <v>27.616438356164384</v>
      </c>
      <c r="K9" s="144">
        <f t="shared" si="3"/>
        <v>2.3013698630136985</v>
      </c>
      <c r="L9" s="145">
        <f>(J9+K9)*$G$24</f>
        <v>4.6282849315068493</v>
      </c>
      <c r="M9" s="145">
        <f t="shared" ref="M9:M17" si="5">L9*0.2359</f>
        <v>1.0918124153424658</v>
      </c>
      <c r="N9" s="145">
        <f t="shared" si="4"/>
        <v>5.7200973468493146</v>
      </c>
      <c r="O9" s="681"/>
    </row>
    <row r="10" spans="1:15" ht="30" x14ac:dyDescent="0.25">
      <c r="A10" s="679"/>
      <c r="B10" s="680">
        <v>8</v>
      </c>
      <c r="C10" s="1460"/>
      <c r="D10" s="146" t="s">
        <v>1162</v>
      </c>
      <c r="E10" s="142">
        <v>1</v>
      </c>
      <c r="F10" s="680">
        <v>1</v>
      </c>
      <c r="G10" s="143">
        <f t="shared" si="0"/>
        <v>115200</v>
      </c>
      <c r="H10" s="143">
        <f t="shared" ref="H10:H13" si="6">G10/12</f>
        <v>9600</v>
      </c>
      <c r="I10" s="143">
        <f t="shared" si="1"/>
        <v>2920</v>
      </c>
      <c r="J10" s="144">
        <f t="shared" si="2"/>
        <v>39.452054794520549</v>
      </c>
      <c r="K10" s="144">
        <f t="shared" si="3"/>
        <v>3.2876712328767121</v>
      </c>
      <c r="L10" s="145">
        <f>(J10+K10)*$G$25</f>
        <v>3.9662465753424656</v>
      </c>
      <c r="M10" s="145">
        <f t="shared" si="5"/>
        <v>0.93563756712328761</v>
      </c>
      <c r="N10" s="145">
        <f t="shared" si="4"/>
        <v>4.9018841424657529</v>
      </c>
    </row>
    <row r="11" spans="1:15" ht="30" x14ac:dyDescent="0.25">
      <c r="A11" s="679"/>
      <c r="B11" s="682">
        <v>20</v>
      </c>
      <c r="C11" s="1461"/>
      <c r="D11" s="146" t="s">
        <v>1163</v>
      </c>
      <c r="E11" s="142">
        <v>1</v>
      </c>
      <c r="F11" s="682">
        <v>3.5</v>
      </c>
      <c r="G11" s="143">
        <f t="shared" si="0"/>
        <v>403200</v>
      </c>
      <c r="H11" s="143">
        <f t="shared" si="6"/>
        <v>33600</v>
      </c>
      <c r="I11" s="143">
        <f t="shared" si="1"/>
        <v>7300</v>
      </c>
      <c r="J11" s="144">
        <f t="shared" si="2"/>
        <v>55.232876712328768</v>
      </c>
      <c r="K11" s="144">
        <f t="shared" si="3"/>
        <v>4.602739726027397</v>
      </c>
      <c r="L11" s="145">
        <f>(J11+K11)*$G$25</f>
        <v>5.5527452054794511</v>
      </c>
      <c r="M11" s="145">
        <f t="shared" si="5"/>
        <v>1.3098925939726025</v>
      </c>
      <c r="N11" s="145">
        <f t="shared" si="4"/>
        <v>6.8626377994520533</v>
      </c>
    </row>
    <row r="12" spans="1:15" ht="18" x14ac:dyDescent="0.25">
      <c r="A12" s="732"/>
      <c r="B12" s="140">
        <v>10</v>
      </c>
      <c r="C12" s="1454" t="s">
        <v>187</v>
      </c>
      <c r="D12" s="141" t="s">
        <v>188</v>
      </c>
      <c r="E12" s="140">
        <v>1</v>
      </c>
      <c r="F12" s="140">
        <v>1</v>
      </c>
      <c r="G12" s="143">
        <f t="shared" si="0"/>
        <v>115200</v>
      </c>
      <c r="H12" s="143">
        <f t="shared" si="6"/>
        <v>9600</v>
      </c>
      <c r="I12" s="143">
        <f t="shared" si="1"/>
        <v>3650</v>
      </c>
      <c r="J12" s="144">
        <f t="shared" si="2"/>
        <v>31.561643835616437</v>
      </c>
      <c r="K12" s="144">
        <f t="shared" si="3"/>
        <v>2.6301369863013697</v>
      </c>
      <c r="L12" s="145">
        <f>(J12+K12)*$G$24</f>
        <v>5.2894684931506841</v>
      </c>
      <c r="M12" s="145">
        <f t="shared" si="5"/>
        <v>1.2477856175342463</v>
      </c>
      <c r="N12" s="145">
        <f t="shared" si="4"/>
        <v>6.5372541106849305</v>
      </c>
    </row>
    <row r="13" spans="1:15" x14ac:dyDescent="0.25">
      <c r="A13" s="155"/>
      <c r="B13" s="140">
        <v>20</v>
      </c>
      <c r="C13" s="1455"/>
      <c r="D13" s="141" t="s">
        <v>189</v>
      </c>
      <c r="E13" s="140">
        <v>1</v>
      </c>
      <c r="F13" s="140">
        <v>1</v>
      </c>
      <c r="G13" s="143">
        <f t="shared" si="0"/>
        <v>115200</v>
      </c>
      <c r="H13" s="143">
        <f t="shared" si="6"/>
        <v>9600</v>
      </c>
      <c r="I13" s="143">
        <f t="shared" si="1"/>
        <v>7300</v>
      </c>
      <c r="J13" s="144">
        <f t="shared" si="2"/>
        <v>15.780821917808218</v>
      </c>
      <c r="K13" s="144">
        <f t="shared" si="3"/>
        <v>1.3150684931506849</v>
      </c>
      <c r="L13" s="145">
        <f>(J13+K13)*$G$24</f>
        <v>2.6447342465753421</v>
      </c>
      <c r="M13" s="145">
        <f t="shared" si="5"/>
        <v>0.62389280876712316</v>
      </c>
      <c r="N13" s="145">
        <f t="shared" si="4"/>
        <v>3.2686270553424652</v>
      </c>
    </row>
    <row r="14" spans="1:15" x14ac:dyDescent="0.25">
      <c r="A14" s="732"/>
      <c r="B14" s="140">
        <v>8</v>
      </c>
      <c r="C14" s="1454" t="s">
        <v>190</v>
      </c>
      <c r="D14" s="146" t="s">
        <v>191</v>
      </c>
      <c r="E14" s="140">
        <v>1</v>
      </c>
      <c r="F14" s="140">
        <f>E14*$F$27</f>
        <v>4.5</v>
      </c>
      <c r="G14" s="143">
        <f t="shared" si="0"/>
        <v>518400</v>
      </c>
      <c r="H14" s="143">
        <f>G14/12</f>
        <v>43200</v>
      </c>
      <c r="I14" s="143">
        <f t="shared" si="1"/>
        <v>2920</v>
      </c>
      <c r="J14" s="144">
        <f t="shared" si="2"/>
        <v>177.53424657534248</v>
      </c>
      <c r="K14" s="144">
        <f t="shared" si="3"/>
        <v>14.794520547945206</v>
      </c>
      <c r="L14" s="145">
        <f>(J14+K14)*$G$26</f>
        <v>11.905150684931508</v>
      </c>
      <c r="M14" s="145">
        <f t="shared" si="5"/>
        <v>2.8084250465753429</v>
      </c>
      <c r="N14" s="145">
        <f t="shared" si="4"/>
        <v>14.71357573150685</v>
      </c>
    </row>
    <row r="15" spans="1:15" ht="21" customHeight="1" x14ac:dyDescent="0.25">
      <c r="A15" s="679"/>
      <c r="B15" s="140">
        <v>40</v>
      </c>
      <c r="C15" s="1455"/>
      <c r="D15" s="146" t="s">
        <v>192</v>
      </c>
      <c r="E15" s="140">
        <v>1</v>
      </c>
      <c r="F15" s="140">
        <v>1</v>
      </c>
      <c r="G15" s="143">
        <f t="shared" si="0"/>
        <v>115200</v>
      </c>
      <c r="H15" s="143">
        <f>G15/12</f>
        <v>9600</v>
      </c>
      <c r="I15" s="143">
        <f t="shared" si="1"/>
        <v>14600</v>
      </c>
      <c r="J15" s="144">
        <f t="shared" si="2"/>
        <v>7.8904109589041092</v>
      </c>
      <c r="K15" s="144">
        <f t="shared" si="3"/>
        <v>0.65753424657534243</v>
      </c>
      <c r="L15" s="145">
        <f>(J15+K15)*$G$26</f>
        <v>0.52911780821917798</v>
      </c>
      <c r="M15" s="145">
        <f t="shared" si="5"/>
        <v>0.12481889095890408</v>
      </c>
      <c r="N15" s="145">
        <f t="shared" si="4"/>
        <v>0.65393669917808206</v>
      </c>
    </row>
    <row r="16" spans="1:15" x14ac:dyDescent="0.25">
      <c r="A16" s="679"/>
      <c r="B16" s="140">
        <v>20</v>
      </c>
      <c r="C16" s="1454" t="s">
        <v>193</v>
      </c>
      <c r="D16" s="146" t="s">
        <v>194</v>
      </c>
      <c r="E16" s="140">
        <v>1</v>
      </c>
      <c r="F16" s="140">
        <v>0.75</v>
      </c>
      <c r="G16" s="143">
        <f t="shared" si="0"/>
        <v>86400</v>
      </c>
      <c r="H16" s="143">
        <f t="shared" ref="H16:H17" si="7">G16/12</f>
        <v>7200</v>
      </c>
      <c r="I16" s="143">
        <f t="shared" si="1"/>
        <v>7300</v>
      </c>
      <c r="J16" s="144">
        <f t="shared" si="2"/>
        <v>11.835616438356164</v>
      </c>
      <c r="K16" s="144">
        <f t="shared" si="3"/>
        <v>0.98630136986301364</v>
      </c>
      <c r="L16" s="145">
        <f>(J16+K16)*$G$24</f>
        <v>1.9835506849315068</v>
      </c>
      <c r="M16" s="145">
        <f t="shared" si="5"/>
        <v>0.46791960657534243</v>
      </c>
      <c r="N16" s="145">
        <f t="shared" si="4"/>
        <v>2.4514702915068494</v>
      </c>
    </row>
    <row r="17" spans="1:16" x14ac:dyDescent="0.25">
      <c r="A17" s="679"/>
      <c r="B17" s="140">
        <v>20</v>
      </c>
      <c r="C17" s="1455"/>
      <c r="D17" s="146" t="s">
        <v>195</v>
      </c>
      <c r="E17" s="140">
        <v>1</v>
      </c>
      <c r="F17" s="140">
        <v>1</v>
      </c>
      <c r="G17" s="143">
        <f t="shared" si="0"/>
        <v>115200</v>
      </c>
      <c r="H17" s="143">
        <f t="shared" si="7"/>
        <v>9600</v>
      </c>
      <c r="I17" s="143">
        <f t="shared" si="1"/>
        <v>7300</v>
      </c>
      <c r="J17" s="144">
        <f t="shared" si="2"/>
        <v>15.780821917808218</v>
      </c>
      <c r="K17" s="144">
        <f t="shared" si="3"/>
        <v>1.3150684931506849</v>
      </c>
      <c r="L17" s="145">
        <f>(J17+K17)*$G$24</f>
        <v>2.6447342465753421</v>
      </c>
      <c r="M17" s="145">
        <f t="shared" si="5"/>
        <v>0.62389280876712316</v>
      </c>
      <c r="N17" s="145">
        <f t="shared" si="4"/>
        <v>3.2686270553424652</v>
      </c>
    </row>
    <row r="18" spans="1:16" x14ac:dyDescent="0.25">
      <c r="A18" s="732"/>
      <c r="B18" s="673"/>
      <c r="C18" s="673"/>
      <c r="D18" s="683" t="s">
        <v>196</v>
      </c>
      <c r="E18" s="147">
        <f t="shared" ref="E18:N18" si="8">SUM(E8:E17)</f>
        <v>10</v>
      </c>
      <c r="F18" s="147">
        <f t="shared" si="8"/>
        <v>18.25</v>
      </c>
      <c r="G18" s="148">
        <f t="shared" si="8"/>
        <v>2102400</v>
      </c>
      <c r="H18" s="148">
        <f t="shared" si="8"/>
        <v>175200</v>
      </c>
      <c r="I18" s="148">
        <f t="shared" si="8"/>
        <v>70810</v>
      </c>
      <c r="J18" s="149">
        <f t="shared" si="8"/>
        <v>422.13698630136992</v>
      </c>
      <c r="K18" s="150">
        <f t="shared" si="8"/>
        <v>35.178082191780824</v>
      </c>
      <c r="L18" s="151">
        <f t="shared" si="8"/>
        <v>45.755868493150686</v>
      </c>
      <c r="M18" s="151">
        <f t="shared" si="8"/>
        <v>10.793809377534249</v>
      </c>
      <c r="N18" s="152">
        <f t="shared" si="8"/>
        <v>56.549677870684924</v>
      </c>
    </row>
    <row r="19" spans="1:16" x14ac:dyDescent="0.25">
      <c r="A19" s="732"/>
      <c r="B19" s="155"/>
      <c r="C19" s="155"/>
      <c r="D19" s="674"/>
      <c r="E19" s="732"/>
      <c r="F19" s="732"/>
      <c r="G19" s="688"/>
      <c r="H19" s="688"/>
      <c r="I19" s="688"/>
      <c r="J19" s="689"/>
      <c r="K19" s="690"/>
      <c r="L19" s="691"/>
      <c r="M19" s="691"/>
      <c r="N19" s="691"/>
    </row>
    <row r="20" spans="1:16" x14ac:dyDescent="0.25">
      <c r="A20" s="732"/>
      <c r="B20" s="155"/>
      <c r="C20" s="155"/>
      <c r="D20" s="692" t="s">
        <v>425</v>
      </c>
      <c r="E20" s="733">
        <f>G36</f>
        <v>7.5660141206675213</v>
      </c>
      <c r="F20" s="694">
        <f>J35</f>
        <v>65.537051710023462</v>
      </c>
      <c r="G20" s="688"/>
      <c r="H20" s="688"/>
      <c r="I20" s="688"/>
      <c r="J20" s="689"/>
      <c r="K20" s="690"/>
      <c r="L20" s="691"/>
      <c r="M20" s="695" t="s">
        <v>197</v>
      </c>
      <c r="N20" s="696">
        <v>0.81030000000000002</v>
      </c>
    </row>
    <row r="21" spans="1:16" x14ac:dyDescent="0.25">
      <c r="A21" s="732"/>
      <c r="B21" s="155"/>
      <c r="C21" s="166"/>
      <c r="F21" s="732"/>
      <c r="G21" s="688"/>
      <c r="H21" s="688"/>
      <c r="I21" s="688"/>
      <c r="J21" s="689"/>
      <c r="K21" s="690"/>
      <c r="L21" s="691"/>
      <c r="N21" s="697">
        <f>N18*N20</f>
        <v>45.822203978615995</v>
      </c>
    </row>
    <row r="22" spans="1:16" x14ac:dyDescent="0.25">
      <c r="C22" s="166"/>
      <c r="F22" s="1456" t="s">
        <v>157</v>
      </c>
      <c r="G22" s="1456"/>
      <c r="H22" s="698"/>
      <c r="J22" s="133" t="s">
        <v>158</v>
      </c>
    </row>
    <row r="23" spans="1:16" ht="45" x14ac:dyDescent="0.25">
      <c r="C23" s="166"/>
      <c r="F23" s="699" t="s">
        <v>159</v>
      </c>
      <c r="G23" s="699" t="s">
        <v>1166</v>
      </c>
      <c r="H23" s="700"/>
      <c r="I23" s="133" t="s">
        <v>160</v>
      </c>
      <c r="J23" s="133">
        <v>365</v>
      </c>
      <c r="L23" s="1509" t="s">
        <v>199</v>
      </c>
      <c r="M23" s="1509"/>
      <c r="N23" s="145">
        <v>5</v>
      </c>
      <c r="O23" s="133" t="s">
        <v>200</v>
      </c>
    </row>
    <row r="24" spans="1:16" x14ac:dyDescent="0.25">
      <c r="D24" s="702" t="s">
        <v>161</v>
      </c>
      <c r="E24" s="703"/>
      <c r="F24" s="704">
        <v>1485</v>
      </c>
      <c r="G24" s="705">
        <f>ROUND(F24/9600,4)</f>
        <v>0.1547</v>
      </c>
      <c r="H24" s="706"/>
      <c r="J24" s="133" t="s">
        <v>162</v>
      </c>
      <c r="L24" s="1510" t="s">
        <v>201</v>
      </c>
      <c r="M24" s="1510"/>
      <c r="N24" s="721">
        <f>'6.2.2.2.'!F16</f>
        <v>8.5517036087195443E-3</v>
      </c>
      <c r="O24" s="701" t="s">
        <v>202</v>
      </c>
      <c r="P24" s="701"/>
    </row>
    <row r="25" spans="1:16" x14ac:dyDescent="0.25">
      <c r="D25" s="702" t="s">
        <v>163</v>
      </c>
      <c r="E25" s="703"/>
      <c r="F25" s="704">
        <v>891</v>
      </c>
      <c r="G25" s="705">
        <f>ROUND(F25/9600,4)</f>
        <v>9.2799999999999994E-2</v>
      </c>
      <c r="H25" s="706"/>
      <c r="I25" s="133" t="s">
        <v>164</v>
      </c>
      <c r="J25" s="681">
        <f>J23*10</f>
        <v>3650</v>
      </c>
      <c r="L25" s="1507" t="s">
        <v>203</v>
      </c>
      <c r="M25" s="1507"/>
      <c r="N25" s="721">
        <f>'6.2.2.2.'!F47</f>
        <v>0.29056191610185017</v>
      </c>
      <c r="O25" s="701" t="s">
        <v>202</v>
      </c>
      <c r="P25" s="701"/>
    </row>
    <row r="26" spans="1:16" ht="10.5" customHeight="1" x14ac:dyDescent="0.25">
      <c r="D26" s="702" t="s">
        <v>165</v>
      </c>
      <c r="E26" s="703"/>
      <c r="F26" s="704">
        <v>594</v>
      </c>
      <c r="G26" s="705">
        <f>ROUND(F26/9600,4)</f>
        <v>6.1899999999999997E-2</v>
      </c>
      <c r="H26" s="706"/>
      <c r="I26" s="133" t="s">
        <v>166</v>
      </c>
      <c r="J26" s="681">
        <f>8*J23</f>
        <v>2920</v>
      </c>
      <c r="L26" s="1510" t="s">
        <v>204</v>
      </c>
      <c r="M26" s="1510"/>
      <c r="N26" s="721">
        <f>'6.2.2.2.'!F87</f>
        <v>0.47390364535629242</v>
      </c>
      <c r="O26" s="701" t="s">
        <v>202</v>
      </c>
      <c r="P26" s="701"/>
    </row>
    <row r="27" spans="1:16" x14ac:dyDescent="0.25">
      <c r="D27" s="702"/>
      <c r="E27" s="707" t="s">
        <v>167</v>
      </c>
      <c r="F27" s="708">
        <v>4.5</v>
      </c>
      <c r="G27" s="709" t="s">
        <v>168</v>
      </c>
      <c r="H27" s="706"/>
      <c r="I27" s="133" t="s">
        <v>169</v>
      </c>
      <c r="J27" s="681">
        <f>6*J23</f>
        <v>2190</v>
      </c>
      <c r="L27" s="1509" t="s">
        <v>205</v>
      </c>
      <c r="M27" s="1509"/>
      <c r="N27" s="740">
        <f>43.03/E20/2</f>
        <v>2.8436373045126979</v>
      </c>
      <c r="O27" s="133" t="s">
        <v>206</v>
      </c>
    </row>
    <row r="28" spans="1:16" x14ac:dyDescent="0.25">
      <c r="D28" s="702"/>
      <c r="E28" s="707" t="s">
        <v>170</v>
      </c>
      <c r="F28" s="710">
        <v>0.25</v>
      </c>
      <c r="G28" s="709" t="s">
        <v>168</v>
      </c>
      <c r="H28" s="706"/>
      <c r="I28" s="133" t="s">
        <v>171</v>
      </c>
      <c r="J28" s="681">
        <f>5*J23</f>
        <v>1825</v>
      </c>
      <c r="L28" s="1509" t="s">
        <v>207</v>
      </c>
      <c r="M28" s="1509"/>
      <c r="N28" s="740">
        <f>O28/$E$20/2</f>
        <v>0.35025046976335805</v>
      </c>
      <c r="O28" s="133">
        <v>5.3</v>
      </c>
      <c r="P28" s="133" t="s">
        <v>208</v>
      </c>
    </row>
    <row r="29" spans="1:16" x14ac:dyDescent="0.25">
      <c r="E29" s="674" t="s">
        <v>172</v>
      </c>
      <c r="F29" s="711">
        <f>F27+F28</f>
        <v>4.75</v>
      </c>
      <c r="G29" s="706">
        <f>F28/F29</f>
        <v>5.2631578947368418E-2</v>
      </c>
      <c r="H29" s="706"/>
      <c r="J29" s="681"/>
      <c r="L29" s="1509" t="s">
        <v>209</v>
      </c>
      <c r="M29" s="1509"/>
      <c r="N29" s="740">
        <f>O29/$E$20/2</f>
        <v>5.1837069524976993</v>
      </c>
      <c r="O29" s="133">
        <v>78.44</v>
      </c>
      <c r="P29" s="133" t="s">
        <v>208</v>
      </c>
    </row>
    <row r="30" spans="1:16" x14ac:dyDescent="0.25">
      <c r="L30" s="1509" t="s">
        <v>210</v>
      </c>
      <c r="M30" s="1509"/>
      <c r="N30" s="740">
        <f>O30/$E$20/2</f>
        <v>0.81813222937176855</v>
      </c>
      <c r="O30" s="133">
        <v>12.38</v>
      </c>
      <c r="P30" s="133" t="s">
        <v>208</v>
      </c>
    </row>
    <row r="31" spans="1:16" x14ac:dyDescent="0.25">
      <c r="E31" s="155" t="s">
        <v>1176</v>
      </c>
      <c r="F31" s="155" t="s">
        <v>1177</v>
      </c>
      <c r="G31" s="155" t="s">
        <v>1176</v>
      </c>
      <c r="H31" s="155" t="s">
        <v>235</v>
      </c>
      <c r="L31" s="1509" t="s">
        <v>211</v>
      </c>
      <c r="M31" s="1509"/>
      <c r="N31" s="740">
        <f>O31/$E$20/2</f>
        <v>0.83201007817371286</v>
      </c>
      <c r="O31" s="133">
        <v>12.59</v>
      </c>
      <c r="P31" s="133" t="s">
        <v>208</v>
      </c>
    </row>
    <row r="32" spans="1:16" x14ac:dyDescent="0.25">
      <c r="E32" s="155">
        <v>2019</v>
      </c>
      <c r="F32" s="155">
        <v>2019</v>
      </c>
      <c r="G32" s="155">
        <v>2019</v>
      </c>
      <c r="H32" s="155">
        <v>2020</v>
      </c>
      <c r="I32" s="155" t="s">
        <v>6</v>
      </c>
      <c r="L32" s="1509" t="s">
        <v>212</v>
      </c>
      <c r="M32" s="1509"/>
      <c r="N32" s="740">
        <f>O32/$E$20/2</f>
        <v>4.0886785970299933</v>
      </c>
      <c r="O32" s="133">
        <v>61.87</v>
      </c>
      <c r="P32" s="133" t="s">
        <v>208</v>
      </c>
    </row>
    <row r="33" spans="4:18" x14ac:dyDescent="0.25">
      <c r="D33" s="734" t="s">
        <v>1178</v>
      </c>
      <c r="E33" s="735">
        <v>14.1</v>
      </c>
      <c r="F33" s="728">
        <v>2652</v>
      </c>
      <c r="G33" s="728">
        <f>F33*E33</f>
        <v>37393.199999999997</v>
      </c>
      <c r="H33" s="726">
        <v>618.89</v>
      </c>
      <c r="I33" s="728">
        <f>H33*F33</f>
        <v>1641296.28</v>
      </c>
      <c r="L33" s="1507" t="s">
        <v>213</v>
      </c>
      <c r="M33" s="1507"/>
      <c r="N33" s="721">
        <f>'6.2.2.2.'!F187</f>
        <v>5.8821670635647569E-2</v>
      </c>
      <c r="O33" s="701" t="s">
        <v>202</v>
      </c>
      <c r="P33" s="701"/>
    </row>
    <row r="34" spans="4:18" x14ac:dyDescent="0.25">
      <c r="D34" s="734" t="s">
        <v>1179</v>
      </c>
      <c r="E34" s="735">
        <v>5.8</v>
      </c>
      <c r="F34" s="736">
        <v>9812</v>
      </c>
      <c r="G34" s="736">
        <f>F34*E34</f>
        <v>56909.599999999999</v>
      </c>
      <c r="H34" s="726">
        <v>462.6</v>
      </c>
      <c r="I34" s="736">
        <f>H34*F34</f>
        <v>4539031.2</v>
      </c>
      <c r="J34" s="157">
        <f>(H34*F34+H33*F33)/F35</f>
        <v>495.85425866495513</v>
      </c>
      <c r="L34" s="1507" t="s">
        <v>510</v>
      </c>
      <c r="M34" s="1507"/>
      <c r="N34" s="721">
        <f>'6.2.2.2.'!F192</f>
        <v>0.16260052207363987</v>
      </c>
      <c r="O34" s="701" t="s">
        <v>202</v>
      </c>
      <c r="P34" s="701"/>
    </row>
    <row r="35" spans="4:18" x14ac:dyDescent="0.25">
      <c r="F35" s="737">
        <f>F33+F34</f>
        <v>12464</v>
      </c>
      <c r="G35" s="737">
        <f>G33+G34</f>
        <v>94302.799999999988</v>
      </c>
      <c r="I35" s="737">
        <f>I34+I33</f>
        <v>6180327.4800000004</v>
      </c>
      <c r="J35" s="738">
        <f>I35/G35</f>
        <v>65.537051710023462</v>
      </c>
      <c r="L35" s="1508" t="s">
        <v>214</v>
      </c>
      <c r="M35" s="1508"/>
      <c r="N35" s="145">
        <f>'6.2.2.3.'!G19</f>
        <v>2.1726166666666664</v>
      </c>
      <c r="O35" s="133" t="s">
        <v>215</v>
      </c>
    </row>
    <row r="36" spans="4:18" x14ac:dyDescent="0.25">
      <c r="G36" s="739">
        <f>G35/F35</f>
        <v>7.5660141206675213</v>
      </c>
      <c r="L36" s="1508" t="s">
        <v>216</v>
      </c>
      <c r="M36" s="1508"/>
      <c r="N36" s="145">
        <f>'6.2.2.4.'!G23</f>
        <v>4.5532412929292709</v>
      </c>
      <c r="O36" s="133" t="s">
        <v>215</v>
      </c>
    </row>
    <row r="37" spans="4:18" x14ac:dyDescent="0.25">
      <c r="L37" s="1508" t="s">
        <v>217</v>
      </c>
      <c r="M37" s="1508"/>
      <c r="N37" s="145">
        <f>Q37</f>
        <v>1.443399425326404</v>
      </c>
      <c r="O37" s="133" t="s">
        <v>1167</v>
      </c>
      <c r="Q37" s="712">
        <f>$N$21*R37</f>
        <v>1.443399425326404</v>
      </c>
      <c r="R37" s="713">
        <v>3.15E-2</v>
      </c>
    </row>
    <row r="38" spans="4:18" x14ac:dyDescent="0.25">
      <c r="L38" s="1508" t="s">
        <v>19</v>
      </c>
      <c r="M38" s="1508"/>
      <c r="N38" s="145">
        <f>Q38</f>
        <v>2.3002746397265232</v>
      </c>
      <c r="O38" s="133" t="s">
        <v>1167</v>
      </c>
      <c r="Q38" s="714">
        <f t="shared" ref="Q38:Q39" si="9">$N$21*R38</f>
        <v>2.3002746397265232</v>
      </c>
      <c r="R38" s="715">
        <v>5.0200000000000002E-2</v>
      </c>
    </row>
    <row r="39" spans="4:18" x14ac:dyDescent="0.25">
      <c r="L39" s="1508" t="s">
        <v>218</v>
      </c>
      <c r="M39" s="1508"/>
      <c r="N39" s="145">
        <f>Q39</f>
        <v>13.279274713002916</v>
      </c>
      <c r="O39" s="133" t="s">
        <v>1167</v>
      </c>
      <c r="Q39" s="716">
        <f t="shared" si="9"/>
        <v>13.279274713002916</v>
      </c>
      <c r="R39" s="717">
        <v>0.2898</v>
      </c>
    </row>
    <row r="40" spans="4:18" x14ac:dyDescent="0.25">
      <c r="L40" s="1440" t="s">
        <v>219</v>
      </c>
      <c r="M40" s="1442"/>
      <c r="N40" s="170">
        <f>ROUND(SUM(N21:N39),2)</f>
        <v>89.68</v>
      </c>
    </row>
    <row r="43" spans="4:18" x14ac:dyDescent="0.25">
      <c r="M43" s="724"/>
      <c r="N43" s="725"/>
      <c r="O43" s="168"/>
      <c r="P43" s="168"/>
      <c r="Q43" s="168"/>
    </row>
    <row r="44" spans="4:18" x14ac:dyDescent="0.25">
      <c r="M44" s="168"/>
      <c r="N44" s="168"/>
      <c r="O44" s="168"/>
      <c r="P44" s="168"/>
      <c r="Q44" s="168"/>
    </row>
  </sheetData>
  <mergeCells count="28">
    <mergeCell ref="L1:O1"/>
    <mergeCell ref="J2:O2"/>
    <mergeCell ref="L6:N6"/>
    <mergeCell ref="C8:C11"/>
    <mergeCell ref="C12:C13"/>
    <mergeCell ref="G6:I6"/>
    <mergeCell ref="J6:K6"/>
    <mergeCell ref="L23:M23"/>
    <mergeCell ref="L24:M24"/>
    <mergeCell ref="C14:C15"/>
    <mergeCell ref="C16:C17"/>
    <mergeCell ref="F22:G22"/>
    <mergeCell ref="L25:M25"/>
    <mergeCell ref="L26:M26"/>
    <mergeCell ref="L27:M27"/>
    <mergeCell ref="L28:M28"/>
    <mergeCell ref="L29:M29"/>
    <mergeCell ref="L30:M30"/>
    <mergeCell ref="L32:M32"/>
    <mergeCell ref="L31:M31"/>
    <mergeCell ref="L38:M38"/>
    <mergeCell ref="L39:M39"/>
    <mergeCell ref="L40:M40"/>
    <mergeCell ref="L33:M33"/>
    <mergeCell ref="L34:M34"/>
    <mergeCell ref="L35:M35"/>
    <mergeCell ref="L36:M36"/>
    <mergeCell ref="L37:M37"/>
  </mergeCells>
  <pageMargins left="0.70866141732283472" right="0.70866141732283472" top="0.74803149606299213" bottom="0.74803149606299213" header="0.31496062992125984" footer="0.31496062992125984"/>
  <pageSetup paperSize="9" scale="3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98083-D79E-4429-9E0B-C17A9D0DA5DF}">
  <dimension ref="A1:P73"/>
  <sheetViews>
    <sheetView workbookViewId="0">
      <selection activeCell="O15" sqref="O15"/>
    </sheetView>
  </sheetViews>
  <sheetFormatPr defaultRowHeight="10.5" x14ac:dyDescent="0.2"/>
  <cols>
    <col min="1" max="1" width="4.42578125" style="580" customWidth="1"/>
    <col min="2" max="2" width="14.7109375" style="579" customWidth="1"/>
    <col min="3" max="3" width="7.28515625" style="653" customWidth="1"/>
    <col min="4" max="4" width="9.85546875" style="653" customWidth="1"/>
    <col min="5" max="5" width="8" style="653" customWidth="1"/>
    <col min="6" max="6" width="6.140625" style="653" customWidth="1"/>
    <col min="7" max="7" width="7.42578125" style="579" customWidth="1"/>
    <col min="8" max="8" width="8" style="579" customWidth="1"/>
    <col min="9" max="9" width="8" style="653" customWidth="1"/>
    <col min="10" max="10" width="70.28515625" style="579" customWidth="1"/>
    <col min="11" max="11" width="9.140625" style="579"/>
    <col min="12" max="12" width="10.85546875" style="579" bestFit="1" customWidth="1"/>
    <col min="13" max="214" width="9.140625" style="579"/>
    <col min="215" max="215" width="24.7109375" style="579" customWidth="1"/>
    <col min="216" max="216" width="12" style="579" customWidth="1"/>
    <col min="217" max="217" width="9" style="579" customWidth="1"/>
    <col min="218" max="221" width="8.7109375" style="579" customWidth="1"/>
    <col min="222" max="222" width="8.5703125" style="579" customWidth="1"/>
    <col min="223" max="223" width="8.85546875" style="579" customWidth="1"/>
    <col min="224" max="225" width="11.5703125" style="579" customWidth="1"/>
    <col min="226" max="226" width="9.28515625" style="579" customWidth="1"/>
    <col min="227" max="227" width="40.42578125" style="579" customWidth="1"/>
    <col min="228" max="228" width="51.28515625" style="579" customWidth="1"/>
    <col min="229" max="470" width="9.140625" style="579"/>
    <col min="471" max="471" width="24.7109375" style="579" customWidth="1"/>
    <col min="472" max="472" width="12" style="579" customWidth="1"/>
    <col min="473" max="473" width="9" style="579" customWidth="1"/>
    <col min="474" max="477" width="8.7109375" style="579" customWidth="1"/>
    <col min="478" max="478" width="8.5703125" style="579" customWidth="1"/>
    <col min="479" max="479" width="8.85546875" style="579" customWidth="1"/>
    <col min="480" max="481" width="11.5703125" style="579" customWidth="1"/>
    <col min="482" max="482" width="9.28515625" style="579" customWidth="1"/>
    <col min="483" max="483" width="40.42578125" style="579" customWidth="1"/>
    <col min="484" max="484" width="51.28515625" style="579" customWidth="1"/>
    <col min="485" max="726" width="9.140625" style="579"/>
    <col min="727" max="727" width="24.7109375" style="579" customWidth="1"/>
    <col min="728" max="728" width="12" style="579" customWidth="1"/>
    <col min="729" max="729" width="9" style="579" customWidth="1"/>
    <col min="730" max="733" width="8.7109375" style="579" customWidth="1"/>
    <col min="734" max="734" width="8.5703125" style="579" customWidth="1"/>
    <col min="735" max="735" width="8.85546875" style="579" customWidth="1"/>
    <col min="736" max="737" width="11.5703125" style="579" customWidth="1"/>
    <col min="738" max="738" width="9.28515625" style="579" customWidth="1"/>
    <col min="739" max="739" width="40.42578125" style="579" customWidth="1"/>
    <col min="740" max="740" width="51.28515625" style="579" customWidth="1"/>
    <col min="741" max="982" width="9.140625" style="579"/>
    <col min="983" max="983" width="24.7109375" style="579" customWidth="1"/>
    <col min="984" max="984" width="12" style="579" customWidth="1"/>
    <col min="985" max="985" width="9" style="579" customWidth="1"/>
    <col min="986" max="989" width="8.7109375" style="579" customWidth="1"/>
    <col min="990" max="990" width="8.5703125" style="579" customWidth="1"/>
    <col min="991" max="991" width="8.85546875" style="579" customWidth="1"/>
    <col min="992" max="993" width="11.5703125" style="579" customWidth="1"/>
    <col min="994" max="994" width="9.28515625" style="579" customWidth="1"/>
    <col min="995" max="995" width="40.42578125" style="579" customWidth="1"/>
    <col min="996" max="996" width="51.28515625" style="579" customWidth="1"/>
    <col min="997" max="1238" width="9.140625" style="579"/>
    <col min="1239" max="1239" width="24.7109375" style="579" customWidth="1"/>
    <col min="1240" max="1240" width="12" style="579" customWidth="1"/>
    <col min="1241" max="1241" width="9" style="579" customWidth="1"/>
    <col min="1242" max="1245" width="8.7109375" style="579" customWidth="1"/>
    <col min="1246" max="1246" width="8.5703125" style="579" customWidth="1"/>
    <col min="1247" max="1247" width="8.85546875" style="579" customWidth="1"/>
    <col min="1248" max="1249" width="11.5703125" style="579" customWidth="1"/>
    <col min="1250" max="1250" width="9.28515625" style="579" customWidth="1"/>
    <col min="1251" max="1251" width="40.42578125" style="579" customWidth="1"/>
    <col min="1252" max="1252" width="51.28515625" style="579" customWidth="1"/>
    <col min="1253" max="1494" width="9.140625" style="579"/>
    <col min="1495" max="1495" width="24.7109375" style="579" customWidth="1"/>
    <col min="1496" max="1496" width="12" style="579" customWidth="1"/>
    <col min="1497" max="1497" width="9" style="579" customWidth="1"/>
    <col min="1498" max="1501" width="8.7109375" style="579" customWidth="1"/>
    <col min="1502" max="1502" width="8.5703125" style="579" customWidth="1"/>
    <col min="1503" max="1503" width="8.85546875" style="579" customWidth="1"/>
    <col min="1504" max="1505" width="11.5703125" style="579" customWidth="1"/>
    <col min="1506" max="1506" width="9.28515625" style="579" customWidth="1"/>
    <col min="1507" max="1507" width="40.42578125" style="579" customWidth="1"/>
    <col min="1508" max="1508" width="51.28515625" style="579" customWidth="1"/>
    <col min="1509" max="1750" width="9.140625" style="579"/>
    <col min="1751" max="1751" width="24.7109375" style="579" customWidth="1"/>
    <col min="1752" max="1752" width="12" style="579" customWidth="1"/>
    <col min="1753" max="1753" width="9" style="579" customWidth="1"/>
    <col min="1754" max="1757" width="8.7109375" style="579" customWidth="1"/>
    <col min="1758" max="1758" width="8.5703125" style="579" customWidth="1"/>
    <col min="1759" max="1759" width="8.85546875" style="579" customWidth="1"/>
    <col min="1760" max="1761" width="11.5703125" style="579" customWidth="1"/>
    <col min="1762" max="1762" width="9.28515625" style="579" customWidth="1"/>
    <col min="1763" max="1763" width="40.42578125" style="579" customWidth="1"/>
    <col min="1764" max="1764" width="51.28515625" style="579" customWidth="1"/>
    <col min="1765" max="2006" width="9.140625" style="579"/>
    <col min="2007" max="2007" width="24.7109375" style="579" customWidth="1"/>
    <col min="2008" max="2008" width="12" style="579" customWidth="1"/>
    <col min="2009" max="2009" width="9" style="579" customWidth="1"/>
    <col min="2010" max="2013" width="8.7109375" style="579" customWidth="1"/>
    <col min="2014" max="2014" width="8.5703125" style="579" customWidth="1"/>
    <col min="2015" max="2015" width="8.85546875" style="579" customWidth="1"/>
    <col min="2016" max="2017" width="11.5703125" style="579" customWidth="1"/>
    <col min="2018" max="2018" width="9.28515625" style="579" customWidth="1"/>
    <col min="2019" max="2019" width="40.42578125" style="579" customWidth="1"/>
    <col min="2020" max="2020" width="51.28515625" style="579" customWidth="1"/>
    <col min="2021" max="2262" width="9.140625" style="579"/>
    <col min="2263" max="2263" width="24.7109375" style="579" customWidth="1"/>
    <col min="2264" max="2264" width="12" style="579" customWidth="1"/>
    <col min="2265" max="2265" width="9" style="579" customWidth="1"/>
    <col min="2266" max="2269" width="8.7109375" style="579" customWidth="1"/>
    <col min="2270" max="2270" width="8.5703125" style="579" customWidth="1"/>
    <col min="2271" max="2271" width="8.85546875" style="579" customWidth="1"/>
    <col min="2272" max="2273" width="11.5703125" style="579" customWidth="1"/>
    <col min="2274" max="2274" width="9.28515625" style="579" customWidth="1"/>
    <col min="2275" max="2275" width="40.42578125" style="579" customWidth="1"/>
    <col min="2276" max="2276" width="51.28515625" style="579" customWidth="1"/>
    <col min="2277" max="2518" width="9.140625" style="579"/>
    <col min="2519" max="2519" width="24.7109375" style="579" customWidth="1"/>
    <col min="2520" max="2520" width="12" style="579" customWidth="1"/>
    <col min="2521" max="2521" width="9" style="579" customWidth="1"/>
    <col min="2522" max="2525" width="8.7109375" style="579" customWidth="1"/>
    <col min="2526" max="2526" width="8.5703125" style="579" customWidth="1"/>
    <col min="2527" max="2527" width="8.85546875" style="579" customWidth="1"/>
    <col min="2528" max="2529" width="11.5703125" style="579" customWidth="1"/>
    <col min="2530" max="2530" width="9.28515625" style="579" customWidth="1"/>
    <col min="2531" max="2531" width="40.42578125" style="579" customWidth="1"/>
    <col min="2532" max="2532" width="51.28515625" style="579" customWidth="1"/>
    <col min="2533" max="2774" width="9.140625" style="579"/>
    <col min="2775" max="2775" width="24.7109375" style="579" customWidth="1"/>
    <col min="2776" max="2776" width="12" style="579" customWidth="1"/>
    <col min="2777" max="2777" width="9" style="579" customWidth="1"/>
    <col min="2778" max="2781" width="8.7109375" style="579" customWidth="1"/>
    <col min="2782" max="2782" width="8.5703125" style="579" customWidth="1"/>
    <col min="2783" max="2783" width="8.85546875" style="579" customWidth="1"/>
    <col min="2784" max="2785" width="11.5703125" style="579" customWidth="1"/>
    <col min="2786" max="2786" width="9.28515625" style="579" customWidth="1"/>
    <col min="2787" max="2787" width="40.42578125" style="579" customWidth="1"/>
    <col min="2788" max="2788" width="51.28515625" style="579" customWidth="1"/>
    <col min="2789" max="3030" width="9.140625" style="579"/>
    <col min="3031" max="3031" width="24.7109375" style="579" customWidth="1"/>
    <col min="3032" max="3032" width="12" style="579" customWidth="1"/>
    <col min="3033" max="3033" width="9" style="579" customWidth="1"/>
    <col min="3034" max="3037" width="8.7109375" style="579" customWidth="1"/>
    <col min="3038" max="3038" width="8.5703125" style="579" customWidth="1"/>
    <col min="3039" max="3039" width="8.85546875" style="579" customWidth="1"/>
    <col min="3040" max="3041" width="11.5703125" style="579" customWidth="1"/>
    <col min="3042" max="3042" width="9.28515625" style="579" customWidth="1"/>
    <col min="3043" max="3043" width="40.42578125" style="579" customWidth="1"/>
    <col min="3044" max="3044" width="51.28515625" style="579" customWidth="1"/>
    <col min="3045" max="3286" width="9.140625" style="579"/>
    <col min="3287" max="3287" width="24.7109375" style="579" customWidth="1"/>
    <col min="3288" max="3288" width="12" style="579" customWidth="1"/>
    <col min="3289" max="3289" width="9" style="579" customWidth="1"/>
    <col min="3290" max="3293" width="8.7109375" style="579" customWidth="1"/>
    <col min="3294" max="3294" width="8.5703125" style="579" customWidth="1"/>
    <col min="3295" max="3295" width="8.85546875" style="579" customWidth="1"/>
    <col min="3296" max="3297" width="11.5703125" style="579" customWidth="1"/>
    <col min="3298" max="3298" width="9.28515625" style="579" customWidth="1"/>
    <col min="3299" max="3299" width="40.42578125" style="579" customWidth="1"/>
    <col min="3300" max="3300" width="51.28515625" style="579" customWidth="1"/>
    <col min="3301" max="3542" width="9.140625" style="579"/>
    <col min="3543" max="3543" width="24.7109375" style="579" customWidth="1"/>
    <col min="3544" max="3544" width="12" style="579" customWidth="1"/>
    <col min="3545" max="3545" width="9" style="579" customWidth="1"/>
    <col min="3546" max="3549" width="8.7109375" style="579" customWidth="1"/>
    <col min="3550" max="3550" width="8.5703125" style="579" customWidth="1"/>
    <col min="3551" max="3551" width="8.85546875" style="579" customWidth="1"/>
    <col min="3552" max="3553" width="11.5703125" style="579" customWidth="1"/>
    <col min="3554" max="3554" width="9.28515625" style="579" customWidth="1"/>
    <col min="3555" max="3555" width="40.42578125" style="579" customWidth="1"/>
    <col min="3556" max="3556" width="51.28515625" style="579" customWidth="1"/>
    <col min="3557" max="3798" width="9.140625" style="579"/>
    <col min="3799" max="3799" width="24.7109375" style="579" customWidth="1"/>
    <col min="3800" max="3800" width="12" style="579" customWidth="1"/>
    <col min="3801" max="3801" width="9" style="579" customWidth="1"/>
    <col min="3802" max="3805" width="8.7109375" style="579" customWidth="1"/>
    <col min="3806" max="3806" width="8.5703125" style="579" customWidth="1"/>
    <col min="3807" max="3807" width="8.85546875" style="579" customWidth="1"/>
    <col min="3808" max="3809" width="11.5703125" style="579" customWidth="1"/>
    <col min="3810" max="3810" width="9.28515625" style="579" customWidth="1"/>
    <col min="3811" max="3811" width="40.42578125" style="579" customWidth="1"/>
    <col min="3812" max="3812" width="51.28515625" style="579" customWidth="1"/>
    <col min="3813" max="4054" width="9.140625" style="579"/>
    <col min="4055" max="4055" width="24.7109375" style="579" customWidth="1"/>
    <col min="4056" max="4056" width="12" style="579" customWidth="1"/>
    <col min="4057" max="4057" width="9" style="579" customWidth="1"/>
    <col min="4058" max="4061" width="8.7109375" style="579" customWidth="1"/>
    <col min="4062" max="4062" width="8.5703125" style="579" customWidth="1"/>
    <col min="4063" max="4063" width="8.85546875" style="579" customWidth="1"/>
    <col min="4064" max="4065" width="11.5703125" style="579" customWidth="1"/>
    <col min="4066" max="4066" width="9.28515625" style="579" customWidth="1"/>
    <col min="4067" max="4067" width="40.42578125" style="579" customWidth="1"/>
    <col min="4068" max="4068" width="51.28515625" style="579" customWidth="1"/>
    <col min="4069" max="4310" width="9.140625" style="579"/>
    <col min="4311" max="4311" width="24.7109375" style="579" customWidth="1"/>
    <col min="4312" max="4312" width="12" style="579" customWidth="1"/>
    <col min="4313" max="4313" width="9" style="579" customWidth="1"/>
    <col min="4314" max="4317" width="8.7109375" style="579" customWidth="1"/>
    <col min="4318" max="4318" width="8.5703125" style="579" customWidth="1"/>
    <col min="4319" max="4319" width="8.85546875" style="579" customWidth="1"/>
    <col min="4320" max="4321" width="11.5703125" style="579" customWidth="1"/>
    <col min="4322" max="4322" width="9.28515625" style="579" customWidth="1"/>
    <col min="4323" max="4323" width="40.42578125" style="579" customWidth="1"/>
    <col min="4324" max="4324" width="51.28515625" style="579" customWidth="1"/>
    <col min="4325" max="4566" width="9.140625" style="579"/>
    <col min="4567" max="4567" width="24.7109375" style="579" customWidth="1"/>
    <col min="4568" max="4568" width="12" style="579" customWidth="1"/>
    <col min="4569" max="4569" width="9" style="579" customWidth="1"/>
    <col min="4570" max="4573" width="8.7109375" style="579" customWidth="1"/>
    <col min="4574" max="4574" width="8.5703125" style="579" customWidth="1"/>
    <col min="4575" max="4575" width="8.85546875" style="579" customWidth="1"/>
    <col min="4576" max="4577" width="11.5703125" style="579" customWidth="1"/>
    <col min="4578" max="4578" width="9.28515625" style="579" customWidth="1"/>
    <col min="4579" max="4579" width="40.42578125" style="579" customWidth="1"/>
    <col min="4580" max="4580" width="51.28515625" style="579" customWidth="1"/>
    <col min="4581" max="4822" width="9.140625" style="579"/>
    <col min="4823" max="4823" width="24.7109375" style="579" customWidth="1"/>
    <col min="4824" max="4824" width="12" style="579" customWidth="1"/>
    <col min="4825" max="4825" width="9" style="579" customWidth="1"/>
    <col min="4826" max="4829" width="8.7109375" style="579" customWidth="1"/>
    <col min="4830" max="4830" width="8.5703125" style="579" customWidth="1"/>
    <col min="4831" max="4831" width="8.85546875" style="579" customWidth="1"/>
    <col min="4832" max="4833" width="11.5703125" style="579" customWidth="1"/>
    <col min="4834" max="4834" width="9.28515625" style="579" customWidth="1"/>
    <col min="4835" max="4835" width="40.42578125" style="579" customWidth="1"/>
    <col min="4836" max="4836" width="51.28515625" style="579" customWidth="1"/>
    <col min="4837" max="5078" width="9.140625" style="579"/>
    <col min="5079" max="5079" width="24.7109375" style="579" customWidth="1"/>
    <col min="5080" max="5080" width="12" style="579" customWidth="1"/>
    <col min="5081" max="5081" width="9" style="579" customWidth="1"/>
    <col min="5082" max="5085" width="8.7109375" style="579" customWidth="1"/>
    <col min="5086" max="5086" width="8.5703125" style="579" customWidth="1"/>
    <col min="5087" max="5087" width="8.85546875" style="579" customWidth="1"/>
    <col min="5088" max="5089" width="11.5703125" style="579" customWidth="1"/>
    <col min="5090" max="5090" width="9.28515625" style="579" customWidth="1"/>
    <col min="5091" max="5091" width="40.42578125" style="579" customWidth="1"/>
    <col min="5092" max="5092" width="51.28515625" style="579" customWidth="1"/>
    <col min="5093" max="5334" width="9.140625" style="579"/>
    <col min="5335" max="5335" width="24.7109375" style="579" customWidth="1"/>
    <col min="5336" max="5336" width="12" style="579" customWidth="1"/>
    <col min="5337" max="5337" width="9" style="579" customWidth="1"/>
    <col min="5338" max="5341" width="8.7109375" style="579" customWidth="1"/>
    <col min="5342" max="5342" width="8.5703125" style="579" customWidth="1"/>
    <col min="5343" max="5343" width="8.85546875" style="579" customWidth="1"/>
    <col min="5344" max="5345" width="11.5703125" style="579" customWidth="1"/>
    <col min="5346" max="5346" width="9.28515625" style="579" customWidth="1"/>
    <col min="5347" max="5347" width="40.42578125" style="579" customWidth="1"/>
    <col min="5348" max="5348" width="51.28515625" style="579" customWidth="1"/>
    <col min="5349" max="5590" width="9.140625" style="579"/>
    <col min="5591" max="5591" width="24.7109375" style="579" customWidth="1"/>
    <col min="5592" max="5592" width="12" style="579" customWidth="1"/>
    <col min="5593" max="5593" width="9" style="579" customWidth="1"/>
    <col min="5594" max="5597" width="8.7109375" style="579" customWidth="1"/>
    <col min="5598" max="5598" width="8.5703125" style="579" customWidth="1"/>
    <col min="5599" max="5599" width="8.85546875" style="579" customWidth="1"/>
    <col min="5600" max="5601" width="11.5703125" style="579" customWidth="1"/>
    <col min="5602" max="5602" width="9.28515625" style="579" customWidth="1"/>
    <col min="5603" max="5603" width="40.42578125" style="579" customWidth="1"/>
    <col min="5604" max="5604" width="51.28515625" style="579" customWidth="1"/>
    <col min="5605" max="5846" width="9.140625" style="579"/>
    <col min="5847" max="5847" width="24.7109375" style="579" customWidth="1"/>
    <col min="5848" max="5848" width="12" style="579" customWidth="1"/>
    <col min="5849" max="5849" width="9" style="579" customWidth="1"/>
    <col min="5850" max="5853" width="8.7109375" style="579" customWidth="1"/>
    <col min="5854" max="5854" width="8.5703125" style="579" customWidth="1"/>
    <col min="5855" max="5855" width="8.85546875" style="579" customWidth="1"/>
    <col min="5856" max="5857" width="11.5703125" style="579" customWidth="1"/>
    <col min="5858" max="5858" width="9.28515625" style="579" customWidth="1"/>
    <col min="5859" max="5859" width="40.42578125" style="579" customWidth="1"/>
    <col min="5860" max="5860" width="51.28515625" style="579" customWidth="1"/>
    <col min="5861" max="6102" width="9.140625" style="579"/>
    <col min="6103" max="6103" width="24.7109375" style="579" customWidth="1"/>
    <col min="6104" max="6104" width="12" style="579" customWidth="1"/>
    <col min="6105" max="6105" width="9" style="579" customWidth="1"/>
    <col min="6106" max="6109" width="8.7109375" style="579" customWidth="1"/>
    <col min="6110" max="6110" width="8.5703125" style="579" customWidth="1"/>
    <col min="6111" max="6111" width="8.85546875" style="579" customWidth="1"/>
    <col min="6112" max="6113" width="11.5703125" style="579" customWidth="1"/>
    <col min="6114" max="6114" width="9.28515625" style="579" customWidth="1"/>
    <col min="6115" max="6115" width="40.42578125" style="579" customWidth="1"/>
    <col min="6116" max="6116" width="51.28515625" style="579" customWidth="1"/>
    <col min="6117" max="6358" width="9.140625" style="579"/>
    <col min="6359" max="6359" width="24.7109375" style="579" customWidth="1"/>
    <col min="6360" max="6360" width="12" style="579" customWidth="1"/>
    <col min="6361" max="6361" width="9" style="579" customWidth="1"/>
    <col min="6362" max="6365" width="8.7109375" style="579" customWidth="1"/>
    <col min="6366" max="6366" width="8.5703125" style="579" customWidth="1"/>
    <col min="6367" max="6367" width="8.85546875" style="579" customWidth="1"/>
    <col min="6368" max="6369" width="11.5703125" style="579" customWidth="1"/>
    <col min="6370" max="6370" width="9.28515625" style="579" customWidth="1"/>
    <col min="6371" max="6371" width="40.42578125" style="579" customWidth="1"/>
    <col min="6372" max="6372" width="51.28515625" style="579" customWidth="1"/>
    <col min="6373" max="6614" width="9.140625" style="579"/>
    <col min="6615" max="6615" width="24.7109375" style="579" customWidth="1"/>
    <col min="6616" max="6616" width="12" style="579" customWidth="1"/>
    <col min="6617" max="6617" width="9" style="579" customWidth="1"/>
    <col min="6618" max="6621" width="8.7109375" style="579" customWidth="1"/>
    <col min="6622" max="6622" width="8.5703125" style="579" customWidth="1"/>
    <col min="6623" max="6623" width="8.85546875" style="579" customWidth="1"/>
    <col min="6624" max="6625" width="11.5703125" style="579" customWidth="1"/>
    <col min="6626" max="6626" width="9.28515625" style="579" customWidth="1"/>
    <col min="6627" max="6627" width="40.42578125" style="579" customWidth="1"/>
    <col min="6628" max="6628" width="51.28515625" style="579" customWidth="1"/>
    <col min="6629" max="6870" width="9.140625" style="579"/>
    <col min="6871" max="6871" width="24.7109375" style="579" customWidth="1"/>
    <col min="6872" max="6872" width="12" style="579" customWidth="1"/>
    <col min="6873" max="6873" width="9" style="579" customWidth="1"/>
    <col min="6874" max="6877" width="8.7109375" style="579" customWidth="1"/>
    <col min="6878" max="6878" width="8.5703125" style="579" customWidth="1"/>
    <col min="6879" max="6879" width="8.85546875" style="579" customWidth="1"/>
    <col min="6880" max="6881" width="11.5703125" style="579" customWidth="1"/>
    <col min="6882" max="6882" width="9.28515625" style="579" customWidth="1"/>
    <col min="6883" max="6883" width="40.42578125" style="579" customWidth="1"/>
    <col min="6884" max="6884" width="51.28515625" style="579" customWidth="1"/>
    <col min="6885" max="7126" width="9.140625" style="579"/>
    <col min="7127" max="7127" width="24.7109375" style="579" customWidth="1"/>
    <col min="7128" max="7128" width="12" style="579" customWidth="1"/>
    <col min="7129" max="7129" width="9" style="579" customWidth="1"/>
    <col min="7130" max="7133" width="8.7109375" style="579" customWidth="1"/>
    <col min="7134" max="7134" width="8.5703125" style="579" customWidth="1"/>
    <col min="7135" max="7135" width="8.85546875" style="579" customWidth="1"/>
    <col min="7136" max="7137" width="11.5703125" style="579" customWidth="1"/>
    <col min="7138" max="7138" width="9.28515625" style="579" customWidth="1"/>
    <col min="7139" max="7139" width="40.42578125" style="579" customWidth="1"/>
    <col min="7140" max="7140" width="51.28515625" style="579" customWidth="1"/>
    <col min="7141" max="7382" width="9.140625" style="579"/>
    <col min="7383" max="7383" width="24.7109375" style="579" customWidth="1"/>
    <col min="7384" max="7384" width="12" style="579" customWidth="1"/>
    <col min="7385" max="7385" width="9" style="579" customWidth="1"/>
    <col min="7386" max="7389" width="8.7109375" style="579" customWidth="1"/>
    <col min="7390" max="7390" width="8.5703125" style="579" customWidth="1"/>
    <col min="7391" max="7391" width="8.85546875" style="579" customWidth="1"/>
    <col min="7392" max="7393" width="11.5703125" style="579" customWidth="1"/>
    <col min="7394" max="7394" width="9.28515625" style="579" customWidth="1"/>
    <col min="7395" max="7395" width="40.42578125" style="579" customWidth="1"/>
    <col min="7396" max="7396" width="51.28515625" style="579" customWidth="1"/>
    <col min="7397" max="7638" width="9.140625" style="579"/>
    <col min="7639" max="7639" width="24.7109375" style="579" customWidth="1"/>
    <col min="7640" max="7640" width="12" style="579" customWidth="1"/>
    <col min="7641" max="7641" width="9" style="579" customWidth="1"/>
    <col min="7642" max="7645" width="8.7109375" style="579" customWidth="1"/>
    <col min="7646" max="7646" width="8.5703125" style="579" customWidth="1"/>
    <col min="7647" max="7647" width="8.85546875" style="579" customWidth="1"/>
    <col min="7648" max="7649" width="11.5703125" style="579" customWidth="1"/>
    <col min="7650" max="7650" width="9.28515625" style="579" customWidth="1"/>
    <col min="7651" max="7651" width="40.42578125" style="579" customWidth="1"/>
    <col min="7652" max="7652" width="51.28515625" style="579" customWidth="1"/>
    <col min="7653" max="7894" width="9.140625" style="579"/>
    <col min="7895" max="7895" width="24.7109375" style="579" customWidth="1"/>
    <col min="7896" max="7896" width="12" style="579" customWidth="1"/>
    <col min="7897" max="7897" width="9" style="579" customWidth="1"/>
    <col min="7898" max="7901" width="8.7109375" style="579" customWidth="1"/>
    <col min="7902" max="7902" width="8.5703125" style="579" customWidth="1"/>
    <col min="7903" max="7903" width="8.85546875" style="579" customWidth="1"/>
    <col min="7904" max="7905" width="11.5703125" style="579" customWidth="1"/>
    <col min="7906" max="7906" width="9.28515625" style="579" customWidth="1"/>
    <col min="7907" max="7907" width="40.42578125" style="579" customWidth="1"/>
    <col min="7908" max="7908" width="51.28515625" style="579" customWidth="1"/>
    <col min="7909" max="8150" width="9.140625" style="579"/>
    <col min="8151" max="8151" width="24.7109375" style="579" customWidth="1"/>
    <col min="8152" max="8152" width="12" style="579" customWidth="1"/>
    <col min="8153" max="8153" width="9" style="579" customWidth="1"/>
    <col min="8154" max="8157" width="8.7109375" style="579" customWidth="1"/>
    <col min="8158" max="8158" width="8.5703125" style="579" customWidth="1"/>
    <col min="8159" max="8159" width="8.85546875" style="579" customWidth="1"/>
    <col min="8160" max="8161" width="11.5703125" style="579" customWidth="1"/>
    <col min="8162" max="8162" width="9.28515625" style="579" customWidth="1"/>
    <col min="8163" max="8163" width="40.42578125" style="579" customWidth="1"/>
    <col min="8164" max="8164" width="51.28515625" style="579" customWidth="1"/>
    <col min="8165" max="8406" width="9.140625" style="579"/>
    <col min="8407" max="8407" width="24.7109375" style="579" customWidth="1"/>
    <col min="8408" max="8408" width="12" style="579" customWidth="1"/>
    <col min="8409" max="8409" width="9" style="579" customWidth="1"/>
    <col min="8410" max="8413" width="8.7109375" style="579" customWidth="1"/>
    <col min="8414" max="8414" width="8.5703125" style="579" customWidth="1"/>
    <col min="8415" max="8415" width="8.85546875" style="579" customWidth="1"/>
    <col min="8416" max="8417" width="11.5703125" style="579" customWidth="1"/>
    <col min="8418" max="8418" width="9.28515625" style="579" customWidth="1"/>
    <col min="8419" max="8419" width="40.42578125" style="579" customWidth="1"/>
    <col min="8420" max="8420" width="51.28515625" style="579" customWidth="1"/>
    <col min="8421" max="8662" width="9.140625" style="579"/>
    <col min="8663" max="8663" width="24.7109375" style="579" customWidth="1"/>
    <col min="8664" max="8664" width="12" style="579" customWidth="1"/>
    <col min="8665" max="8665" width="9" style="579" customWidth="1"/>
    <col min="8666" max="8669" width="8.7109375" style="579" customWidth="1"/>
    <col min="8670" max="8670" width="8.5703125" style="579" customWidth="1"/>
    <col min="8671" max="8671" width="8.85546875" style="579" customWidth="1"/>
    <col min="8672" max="8673" width="11.5703125" style="579" customWidth="1"/>
    <col min="8674" max="8674" width="9.28515625" style="579" customWidth="1"/>
    <col min="8675" max="8675" width="40.42578125" style="579" customWidth="1"/>
    <col min="8676" max="8676" width="51.28515625" style="579" customWidth="1"/>
    <col min="8677" max="8918" width="9.140625" style="579"/>
    <col min="8919" max="8919" width="24.7109375" style="579" customWidth="1"/>
    <col min="8920" max="8920" width="12" style="579" customWidth="1"/>
    <col min="8921" max="8921" width="9" style="579" customWidth="1"/>
    <col min="8922" max="8925" width="8.7109375" style="579" customWidth="1"/>
    <col min="8926" max="8926" width="8.5703125" style="579" customWidth="1"/>
    <col min="8927" max="8927" width="8.85546875" style="579" customWidth="1"/>
    <col min="8928" max="8929" width="11.5703125" style="579" customWidth="1"/>
    <col min="8930" max="8930" width="9.28515625" style="579" customWidth="1"/>
    <col min="8931" max="8931" width="40.42578125" style="579" customWidth="1"/>
    <col min="8932" max="8932" width="51.28515625" style="579" customWidth="1"/>
    <col min="8933" max="9174" width="9.140625" style="579"/>
    <col min="9175" max="9175" width="24.7109375" style="579" customWidth="1"/>
    <col min="9176" max="9176" width="12" style="579" customWidth="1"/>
    <col min="9177" max="9177" width="9" style="579" customWidth="1"/>
    <col min="9178" max="9181" width="8.7109375" style="579" customWidth="1"/>
    <col min="9182" max="9182" width="8.5703125" style="579" customWidth="1"/>
    <col min="9183" max="9183" width="8.85546875" style="579" customWidth="1"/>
    <col min="9184" max="9185" width="11.5703125" style="579" customWidth="1"/>
    <col min="9186" max="9186" width="9.28515625" style="579" customWidth="1"/>
    <col min="9187" max="9187" width="40.42578125" style="579" customWidth="1"/>
    <col min="9188" max="9188" width="51.28515625" style="579" customWidth="1"/>
    <col min="9189" max="9430" width="9.140625" style="579"/>
    <col min="9431" max="9431" width="24.7109375" style="579" customWidth="1"/>
    <col min="9432" max="9432" width="12" style="579" customWidth="1"/>
    <col min="9433" max="9433" width="9" style="579" customWidth="1"/>
    <col min="9434" max="9437" width="8.7109375" style="579" customWidth="1"/>
    <col min="9438" max="9438" width="8.5703125" style="579" customWidth="1"/>
    <col min="9439" max="9439" width="8.85546875" style="579" customWidth="1"/>
    <col min="9440" max="9441" width="11.5703125" style="579" customWidth="1"/>
    <col min="9442" max="9442" width="9.28515625" style="579" customWidth="1"/>
    <col min="9443" max="9443" width="40.42578125" style="579" customWidth="1"/>
    <col min="9444" max="9444" width="51.28515625" style="579" customWidth="1"/>
    <col min="9445" max="9686" width="9.140625" style="579"/>
    <col min="9687" max="9687" width="24.7109375" style="579" customWidth="1"/>
    <col min="9688" max="9688" width="12" style="579" customWidth="1"/>
    <col min="9689" max="9689" width="9" style="579" customWidth="1"/>
    <col min="9690" max="9693" width="8.7109375" style="579" customWidth="1"/>
    <col min="9694" max="9694" width="8.5703125" style="579" customWidth="1"/>
    <col min="9695" max="9695" width="8.85546875" style="579" customWidth="1"/>
    <col min="9696" max="9697" width="11.5703125" style="579" customWidth="1"/>
    <col min="9698" max="9698" width="9.28515625" style="579" customWidth="1"/>
    <col min="9699" max="9699" width="40.42578125" style="579" customWidth="1"/>
    <col min="9700" max="9700" width="51.28515625" style="579" customWidth="1"/>
    <col min="9701" max="9942" width="9.140625" style="579"/>
    <col min="9943" max="9943" width="24.7109375" style="579" customWidth="1"/>
    <col min="9944" max="9944" width="12" style="579" customWidth="1"/>
    <col min="9945" max="9945" width="9" style="579" customWidth="1"/>
    <col min="9946" max="9949" width="8.7109375" style="579" customWidth="1"/>
    <col min="9950" max="9950" width="8.5703125" style="579" customWidth="1"/>
    <col min="9951" max="9951" width="8.85546875" style="579" customWidth="1"/>
    <col min="9952" max="9953" width="11.5703125" style="579" customWidth="1"/>
    <col min="9954" max="9954" width="9.28515625" style="579" customWidth="1"/>
    <col min="9955" max="9955" width="40.42578125" style="579" customWidth="1"/>
    <col min="9956" max="9956" width="51.28515625" style="579" customWidth="1"/>
    <col min="9957" max="10198" width="9.140625" style="579"/>
    <col min="10199" max="10199" width="24.7109375" style="579" customWidth="1"/>
    <col min="10200" max="10200" width="12" style="579" customWidth="1"/>
    <col min="10201" max="10201" width="9" style="579" customWidth="1"/>
    <col min="10202" max="10205" width="8.7109375" style="579" customWidth="1"/>
    <col min="10206" max="10206" width="8.5703125" style="579" customWidth="1"/>
    <col min="10207" max="10207" width="8.85546875" style="579" customWidth="1"/>
    <col min="10208" max="10209" width="11.5703125" style="579" customWidth="1"/>
    <col min="10210" max="10210" width="9.28515625" style="579" customWidth="1"/>
    <col min="10211" max="10211" width="40.42578125" style="579" customWidth="1"/>
    <col min="10212" max="10212" width="51.28515625" style="579" customWidth="1"/>
    <col min="10213" max="10454" width="9.140625" style="579"/>
    <col min="10455" max="10455" width="24.7109375" style="579" customWidth="1"/>
    <col min="10456" max="10456" width="12" style="579" customWidth="1"/>
    <col min="10457" max="10457" width="9" style="579" customWidth="1"/>
    <col min="10458" max="10461" width="8.7109375" style="579" customWidth="1"/>
    <col min="10462" max="10462" width="8.5703125" style="579" customWidth="1"/>
    <col min="10463" max="10463" width="8.85546875" style="579" customWidth="1"/>
    <col min="10464" max="10465" width="11.5703125" style="579" customWidth="1"/>
    <col min="10466" max="10466" width="9.28515625" style="579" customWidth="1"/>
    <col min="10467" max="10467" width="40.42578125" style="579" customWidth="1"/>
    <col min="10468" max="10468" width="51.28515625" style="579" customWidth="1"/>
    <col min="10469" max="10710" width="9.140625" style="579"/>
    <col min="10711" max="10711" width="24.7109375" style="579" customWidth="1"/>
    <col min="10712" max="10712" width="12" style="579" customWidth="1"/>
    <col min="10713" max="10713" width="9" style="579" customWidth="1"/>
    <col min="10714" max="10717" width="8.7109375" style="579" customWidth="1"/>
    <col min="10718" max="10718" width="8.5703125" style="579" customWidth="1"/>
    <col min="10719" max="10719" width="8.85546875" style="579" customWidth="1"/>
    <col min="10720" max="10721" width="11.5703125" style="579" customWidth="1"/>
    <col min="10722" max="10722" width="9.28515625" style="579" customWidth="1"/>
    <col min="10723" max="10723" width="40.42578125" style="579" customWidth="1"/>
    <col min="10724" max="10724" width="51.28515625" style="579" customWidth="1"/>
    <col min="10725" max="10966" width="9.140625" style="579"/>
    <col min="10967" max="10967" width="24.7109375" style="579" customWidth="1"/>
    <col min="10968" max="10968" width="12" style="579" customWidth="1"/>
    <col min="10969" max="10969" width="9" style="579" customWidth="1"/>
    <col min="10970" max="10973" width="8.7109375" style="579" customWidth="1"/>
    <col min="10974" max="10974" width="8.5703125" style="579" customWidth="1"/>
    <col min="10975" max="10975" width="8.85546875" style="579" customWidth="1"/>
    <col min="10976" max="10977" width="11.5703125" style="579" customWidth="1"/>
    <col min="10978" max="10978" width="9.28515625" style="579" customWidth="1"/>
    <col min="10979" max="10979" width="40.42578125" style="579" customWidth="1"/>
    <col min="10980" max="10980" width="51.28515625" style="579" customWidth="1"/>
    <col min="10981" max="11222" width="9.140625" style="579"/>
    <col min="11223" max="11223" width="24.7109375" style="579" customWidth="1"/>
    <col min="11224" max="11224" width="12" style="579" customWidth="1"/>
    <col min="11225" max="11225" width="9" style="579" customWidth="1"/>
    <col min="11226" max="11229" width="8.7109375" style="579" customWidth="1"/>
    <col min="11230" max="11230" width="8.5703125" style="579" customWidth="1"/>
    <col min="11231" max="11231" width="8.85546875" style="579" customWidth="1"/>
    <col min="11232" max="11233" width="11.5703125" style="579" customWidth="1"/>
    <col min="11234" max="11234" width="9.28515625" style="579" customWidth="1"/>
    <col min="11235" max="11235" width="40.42578125" style="579" customWidth="1"/>
    <col min="11236" max="11236" width="51.28515625" style="579" customWidth="1"/>
    <col min="11237" max="11478" width="9.140625" style="579"/>
    <col min="11479" max="11479" width="24.7109375" style="579" customWidth="1"/>
    <col min="11480" max="11480" width="12" style="579" customWidth="1"/>
    <col min="11481" max="11481" width="9" style="579" customWidth="1"/>
    <col min="11482" max="11485" width="8.7109375" style="579" customWidth="1"/>
    <col min="11486" max="11486" width="8.5703125" style="579" customWidth="1"/>
    <col min="11487" max="11487" width="8.85546875" style="579" customWidth="1"/>
    <col min="11488" max="11489" width="11.5703125" style="579" customWidth="1"/>
    <col min="11490" max="11490" width="9.28515625" style="579" customWidth="1"/>
    <col min="11491" max="11491" width="40.42578125" style="579" customWidth="1"/>
    <col min="11492" max="11492" width="51.28515625" style="579" customWidth="1"/>
    <col min="11493" max="11734" width="9.140625" style="579"/>
    <col min="11735" max="11735" width="24.7109375" style="579" customWidth="1"/>
    <col min="11736" max="11736" width="12" style="579" customWidth="1"/>
    <col min="11737" max="11737" width="9" style="579" customWidth="1"/>
    <col min="11738" max="11741" width="8.7109375" style="579" customWidth="1"/>
    <col min="11742" max="11742" width="8.5703125" style="579" customWidth="1"/>
    <col min="11743" max="11743" width="8.85546875" style="579" customWidth="1"/>
    <col min="11744" max="11745" width="11.5703125" style="579" customWidth="1"/>
    <col min="11746" max="11746" width="9.28515625" style="579" customWidth="1"/>
    <col min="11747" max="11747" width="40.42578125" style="579" customWidth="1"/>
    <col min="11748" max="11748" width="51.28515625" style="579" customWidth="1"/>
    <col min="11749" max="11990" width="9.140625" style="579"/>
    <col min="11991" max="11991" width="24.7109375" style="579" customWidth="1"/>
    <col min="11992" max="11992" width="12" style="579" customWidth="1"/>
    <col min="11993" max="11993" width="9" style="579" customWidth="1"/>
    <col min="11994" max="11997" width="8.7109375" style="579" customWidth="1"/>
    <col min="11998" max="11998" width="8.5703125" style="579" customWidth="1"/>
    <col min="11999" max="11999" width="8.85546875" style="579" customWidth="1"/>
    <col min="12000" max="12001" width="11.5703125" style="579" customWidth="1"/>
    <col min="12002" max="12002" width="9.28515625" style="579" customWidth="1"/>
    <col min="12003" max="12003" width="40.42578125" style="579" customWidth="1"/>
    <col min="12004" max="12004" width="51.28515625" style="579" customWidth="1"/>
    <col min="12005" max="12246" width="9.140625" style="579"/>
    <col min="12247" max="12247" width="24.7109375" style="579" customWidth="1"/>
    <col min="12248" max="12248" width="12" style="579" customWidth="1"/>
    <col min="12249" max="12249" width="9" style="579" customWidth="1"/>
    <col min="12250" max="12253" width="8.7109375" style="579" customWidth="1"/>
    <col min="12254" max="12254" width="8.5703125" style="579" customWidth="1"/>
    <col min="12255" max="12255" width="8.85546875" style="579" customWidth="1"/>
    <col min="12256" max="12257" width="11.5703125" style="579" customWidth="1"/>
    <col min="12258" max="12258" width="9.28515625" style="579" customWidth="1"/>
    <col min="12259" max="12259" width="40.42578125" style="579" customWidth="1"/>
    <col min="12260" max="12260" width="51.28515625" style="579" customWidth="1"/>
    <col min="12261" max="12502" width="9.140625" style="579"/>
    <col min="12503" max="12503" width="24.7109375" style="579" customWidth="1"/>
    <col min="12504" max="12504" width="12" style="579" customWidth="1"/>
    <col min="12505" max="12505" width="9" style="579" customWidth="1"/>
    <col min="12506" max="12509" width="8.7109375" style="579" customWidth="1"/>
    <col min="12510" max="12510" width="8.5703125" style="579" customWidth="1"/>
    <col min="12511" max="12511" width="8.85546875" style="579" customWidth="1"/>
    <col min="12512" max="12513" width="11.5703125" style="579" customWidth="1"/>
    <col min="12514" max="12514" width="9.28515625" style="579" customWidth="1"/>
    <col min="12515" max="12515" width="40.42578125" style="579" customWidth="1"/>
    <col min="12516" max="12516" width="51.28515625" style="579" customWidth="1"/>
    <col min="12517" max="12758" width="9.140625" style="579"/>
    <col min="12759" max="12759" width="24.7109375" style="579" customWidth="1"/>
    <col min="12760" max="12760" width="12" style="579" customWidth="1"/>
    <col min="12761" max="12761" width="9" style="579" customWidth="1"/>
    <col min="12762" max="12765" width="8.7109375" style="579" customWidth="1"/>
    <col min="12766" max="12766" width="8.5703125" style="579" customWidth="1"/>
    <col min="12767" max="12767" width="8.85546875" style="579" customWidth="1"/>
    <col min="12768" max="12769" width="11.5703125" style="579" customWidth="1"/>
    <col min="12770" max="12770" width="9.28515625" style="579" customWidth="1"/>
    <col min="12771" max="12771" width="40.42578125" style="579" customWidth="1"/>
    <col min="12772" max="12772" width="51.28515625" style="579" customWidth="1"/>
    <col min="12773" max="13014" width="9.140625" style="579"/>
    <col min="13015" max="13015" width="24.7109375" style="579" customWidth="1"/>
    <col min="13016" max="13016" width="12" style="579" customWidth="1"/>
    <col min="13017" max="13017" width="9" style="579" customWidth="1"/>
    <col min="13018" max="13021" width="8.7109375" style="579" customWidth="1"/>
    <col min="13022" max="13022" width="8.5703125" style="579" customWidth="1"/>
    <col min="13023" max="13023" width="8.85546875" style="579" customWidth="1"/>
    <col min="13024" max="13025" width="11.5703125" style="579" customWidth="1"/>
    <col min="13026" max="13026" width="9.28515625" style="579" customWidth="1"/>
    <col min="13027" max="13027" width="40.42578125" style="579" customWidth="1"/>
    <col min="13028" max="13028" width="51.28515625" style="579" customWidth="1"/>
    <col min="13029" max="13270" width="9.140625" style="579"/>
    <col min="13271" max="13271" width="24.7109375" style="579" customWidth="1"/>
    <col min="13272" max="13272" width="12" style="579" customWidth="1"/>
    <col min="13273" max="13273" width="9" style="579" customWidth="1"/>
    <col min="13274" max="13277" width="8.7109375" style="579" customWidth="1"/>
    <col min="13278" max="13278" width="8.5703125" style="579" customWidth="1"/>
    <col min="13279" max="13279" width="8.85546875" style="579" customWidth="1"/>
    <col min="13280" max="13281" width="11.5703125" style="579" customWidth="1"/>
    <col min="13282" max="13282" width="9.28515625" style="579" customWidth="1"/>
    <col min="13283" max="13283" width="40.42578125" style="579" customWidth="1"/>
    <col min="13284" max="13284" width="51.28515625" style="579" customWidth="1"/>
    <col min="13285" max="13526" width="9.140625" style="579"/>
    <col min="13527" max="13527" width="24.7109375" style="579" customWidth="1"/>
    <col min="13528" max="13528" width="12" style="579" customWidth="1"/>
    <col min="13529" max="13529" width="9" style="579" customWidth="1"/>
    <col min="13530" max="13533" width="8.7109375" style="579" customWidth="1"/>
    <col min="13534" max="13534" width="8.5703125" style="579" customWidth="1"/>
    <col min="13535" max="13535" width="8.85546875" style="579" customWidth="1"/>
    <col min="13536" max="13537" width="11.5703125" style="579" customWidth="1"/>
    <col min="13538" max="13538" width="9.28515625" style="579" customWidth="1"/>
    <col min="13539" max="13539" width="40.42578125" style="579" customWidth="1"/>
    <col min="13540" max="13540" width="51.28515625" style="579" customWidth="1"/>
    <col min="13541" max="13782" width="9.140625" style="579"/>
    <col min="13783" max="13783" width="24.7109375" style="579" customWidth="1"/>
    <col min="13784" max="13784" width="12" style="579" customWidth="1"/>
    <col min="13785" max="13785" width="9" style="579" customWidth="1"/>
    <col min="13786" max="13789" width="8.7109375" style="579" customWidth="1"/>
    <col min="13790" max="13790" width="8.5703125" style="579" customWidth="1"/>
    <col min="13791" max="13791" width="8.85546875" style="579" customWidth="1"/>
    <col min="13792" max="13793" width="11.5703125" style="579" customWidth="1"/>
    <col min="13794" max="13794" width="9.28515625" style="579" customWidth="1"/>
    <col min="13795" max="13795" width="40.42578125" style="579" customWidth="1"/>
    <col min="13796" max="13796" width="51.28515625" style="579" customWidth="1"/>
    <col min="13797" max="14038" width="9.140625" style="579"/>
    <col min="14039" max="14039" width="24.7109375" style="579" customWidth="1"/>
    <col min="14040" max="14040" width="12" style="579" customWidth="1"/>
    <col min="14041" max="14041" width="9" style="579" customWidth="1"/>
    <col min="14042" max="14045" width="8.7109375" style="579" customWidth="1"/>
    <col min="14046" max="14046" width="8.5703125" style="579" customWidth="1"/>
    <col min="14047" max="14047" width="8.85546875" style="579" customWidth="1"/>
    <col min="14048" max="14049" width="11.5703125" style="579" customWidth="1"/>
    <col min="14050" max="14050" width="9.28515625" style="579" customWidth="1"/>
    <col min="14051" max="14051" width="40.42578125" style="579" customWidth="1"/>
    <col min="14052" max="14052" width="51.28515625" style="579" customWidth="1"/>
    <col min="14053" max="14294" width="9.140625" style="579"/>
    <col min="14295" max="14295" width="24.7109375" style="579" customWidth="1"/>
    <col min="14296" max="14296" width="12" style="579" customWidth="1"/>
    <col min="14297" max="14297" width="9" style="579" customWidth="1"/>
    <col min="14298" max="14301" width="8.7109375" style="579" customWidth="1"/>
    <col min="14302" max="14302" width="8.5703125" style="579" customWidth="1"/>
    <col min="14303" max="14303" width="8.85546875" style="579" customWidth="1"/>
    <col min="14304" max="14305" width="11.5703125" style="579" customWidth="1"/>
    <col min="14306" max="14306" width="9.28515625" style="579" customWidth="1"/>
    <col min="14307" max="14307" width="40.42578125" style="579" customWidth="1"/>
    <col min="14308" max="14308" width="51.28515625" style="579" customWidth="1"/>
    <col min="14309" max="14550" width="9.140625" style="579"/>
    <col min="14551" max="14551" width="24.7109375" style="579" customWidth="1"/>
    <col min="14552" max="14552" width="12" style="579" customWidth="1"/>
    <col min="14553" max="14553" width="9" style="579" customWidth="1"/>
    <col min="14554" max="14557" width="8.7109375" style="579" customWidth="1"/>
    <col min="14558" max="14558" width="8.5703125" style="579" customWidth="1"/>
    <col min="14559" max="14559" width="8.85546875" style="579" customWidth="1"/>
    <col min="14560" max="14561" width="11.5703125" style="579" customWidth="1"/>
    <col min="14562" max="14562" width="9.28515625" style="579" customWidth="1"/>
    <col min="14563" max="14563" width="40.42578125" style="579" customWidth="1"/>
    <col min="14564" max="14564" width="51.28515625" style="579" customWidth="1"/>
    <col min="14565" max="14806" width="9.140625" style="579"/>
    <col min="14807" max="14807" width="24.7109375" style="579" customWidth="1"/>
    <col min="14808" max="14808" width="12" style="579" customWidth="1"/>
    <col min="14809" max="14809" width="9" style="579" customWidth="1"/>
    <col min="14810" max="14813" width="8.7109375" style="579" customWidth="1"/>
    <col min="14814" max="14814" width="8.5703125" style="579" customWidth="1"/>
    <col min="14815" max="14815" width="8.85546875" style="579" customWidth="1"/>
    <col min="14816" max="14817" width="11.5703125" style="579" customWidth="1"/>
    <col min="14818" max="14818" width="9.28515625" style="579" customWidth="1"/>
    <col min="14819" max="14819" width="40.42578125" style="579" customWidth="1"/>
    <col min="14820" max="14820" width="51.28515625" style="579" customWidth="1"/>
    <col min="14821" max="15062" width="9.140625" style="579"/>
    <col min="15063" max="15063" width="24.7109375" style="579" customWidth="1"/>
    <col min="15064" max="15064" width="12" style="579" customWidth="1"/>
    <col min="15065" max="15065" width="9" style="579" customWidth="1"/>
    <col min="15066" max="15069" width="8.7109375" style="579" customWidth="1"/>
    <col min="15070" max="15070" width="8.5703125" style="579" customWidth="1"/>
    <col min="15071" max="15071" width="8.85546875" style="579" customWidth="1"/>
    <col min="15072" max="15073" width="11.5703125" style="579" customWidth="1"/>
    <col min="15074" max="15074" width="9.28515625" style="579" customWidth="1"/>
    <col min="15075" max="15075" width="40.42578125" style="579" customWidth="1"/>
    <col min="15076" max="15076" width="51.28515625" style="579" customWidth="1"/>
    <col min="15077" max="15318" width="9.140625" style="579"/>
    <col min="15319" max="15319" width="24.7109375" style="579" customWidth="1"/>
    <col min="15320" max="15320" width="12" style="579" customWidth="1"/>
    <col min="15321" max="15321" width="9" style="579" customWidth="1"/>
    <col min="15322" max="15325" width="8.7109375" style="579" customWidth="1"/>
    <col min="15326" max="15326" width="8.5703125" style="579" customWidth="1"/>
    <col min="15327" max="15327" width="8.85546875" style="579" customWidth="1"/>
    <col min="15328" max="15329" width="11.5703125" style="579" customWidth="1"/>
    <col min="15330" max="15330" width="9.28515625" style="579" customWidth="1"/>
    <col min="15331" max="15331" width="40.42578125" style="579" customWidth="1"/>
    <col min="15332" max="15332" width="51.28515625" style="579" customWidth="1"/>
    <col min="15333" max="15574" width="9.140625" style="579"/>
    <col min="15575" max="15575" width="24.7109375" style="579" customWidth="1"/>
    <col min="15576" max="15576" width="12" style="579" customWidth="1"/>
    <col min="15577" max="15577" width="9" style="579" customWidth="1"/>
    <col min="15578" max="15581" width="8.7109375" style="579" customWidth="1"/>
    <col min="15582" max="15582" width="8.5703125" style="579" customWidth="1"/>
    <col min="15583" max="15583" width="8.85546875" style="579" customWidth="1"/>
    <col min="15584" max="15585" width="11.5703125" style="579" customWidth="1"/>
    <col min="15586" max="15586" width="9.28515625" style="579" customWidth="1"/>
    <col min="15587" max="15587" width="40.42578125" style="579" customWidth="1"/>
    <col min="15588" max="15588" width="51.28515625" style="579" customWidth="1"/>
    <col min="15589" max="15830" width="9.140625" style="579"/>
    <col min="15831" max="15831" width="24.7109375" style="579" customWidth="1"/>
    <col min="15832" max="15832" width="12" style="579" customWidth="1"/>
    <col min="15833" max="15833" width="9" style="579" customWidth="1"/>
    <col min="15834" max="15837" width="8.7109375" style="579" customWidth="1"/>
    <col min="15838" max="15838" width="8.5703125" style="579" customWidth="1"/>
    <col min="15839" max="15839" width="8.85546875" style="579" customWidth="1"/>
    <col min="15840" max="15841" width="11.5703125" style="579" customWidth="1"/>
    <col min="15842" max="15842" width="9.28515625" style="579" customWidth="1"/>
    <col min="15843" max="15843" width="40.42578125" style="579" customWidth="1"/>
    <col min="15844" max="15844" width="51.28515625" style="579" customWidth="1"/>
    <col min="15845" max="16086" width="9.140625" style="579"/>
    <col min="16087" max="16087" width="24.7109375" style="579" customWidth="1"/>
    <col min="16088" max="16088" width="12" style="579" customWidth="1"/>
    <col min="16089" max="16089" width="9" style="579" customWidth="1"/>
    <col min="16090" max="16093" width="8.7109375" style="579" customWidth="1"/>
    <col min="16094" max="16094" width="8.5703125" style="579" customWidth="1"/>
    <col min="16095" max="16095" width="8.85546875" style="579" customWidth="1"/>
    <col min="16096" max="16097" width="11.5703125" style="579" customWidth="1"/>
    <col min="16098" max="16098" width="9.28515625" style="579" customWidth="1"/>
    <col min="16099" max="16099" width="40.42578125" style="579" customWidth="1"/>
    <col min="16100" max="16100" width="51.28515625" style="579" customWidth="1"/>
    <col min="16101" max="16384" width="9.140625" style="579"/>
  </cols>
  <sheetData>
    <row r="1" spans="1:16" ht="23.45" customHeight="1" x14ac:dyDescent="0.25">
      <c r="A1" s="100"/>
      <c r="B1" s="1137" t="s">
        <v>1430</v>
      </c>
      <c r="C1" s="1137"/>
      <c r="D1" s="1137"/>
      <c r="E1" s="1137"/>
      <c r="F1" s="1137"/>
      <c r="G1" s="1137"/>
      <c r="H1" s="1137"/>
      <c r="I1" s="1137"/>
      <c r="J1" s="1137"/>
    </row>
    <row r="2" spans="1:16" ht="49.5" customHeight="1" x14ac:dyDescent="0.2">
      <c r="A2" s="1048"/>
      <c r="B2" s="1048"/>
      <c r="C2" s="1048"/>
      <c r="D2" s="1048"/>
      <c r="E2" s="1048"/>
      <c r="F2" s="1048"/>
      <c r="G2" s="1048"/>
      <c r="H2" s="1048"/>
      <c r="I2" s="1048"/>
      <c r="J2" s="1047" t="s">
        <v>1342</v>
      </c>
    </row>
    <row r="3" spans="1:16" ht="23.25" customHeight="1" x14ac:dyDescent="0.2">
      <c r="A3" s="1045"/>
      <c r="B3" s="1046"/>
      <c r="C3" s="1046"/>
      <c r="D3" s="1046"/>
      <c r="E3" s="1046"/>
      <c r="F3" s="1046"/>
      <c r="G3" s="1046"/>
      <c r="H3" s="1046"/>
      <c r="I3" s="1046"/>
      <c r="J3" s="1046"/>
      <c r="K3" s="1047"/>
      <c r="L3" s="1047"/>
      <c r="M3" s="1047"/>
      <c r="N3" s="1047"/>
      <c r="O3" s="1047"/>
      <c r="P3" s="1047"/>
    </row>
    <row r="4" spans="1:16" ht="50.45" customHeight="1" x14ac:dyDescent="0.2">
      <c r="A4" s="1270" t="s">
        <v>1145</v>
      </c>
      <c r="B4" s="1270"/>
      <c r="C4" s="1270"/>
      <c r="D4" s="1270"/>
      <c r="E4" s="1270"/>
      <c r="F4" s="1270"/>
      <c r="G4" s="1270"/>
      <c r="H4" s="1270"/>
      <c r="I4" s="1270"/>
      <c r="J4" s="1270"/>
    </row>
    <row r="5" spans="1:16" ht="35.450000000000003" customHeight="1" x14ac:dyDescent="0.2">
      <c r="A5" s="1226" t="s">
        <v>1032</v>
      </c>
      <c r="B5" s="1226"/>
      <c r="C5" s="1226"/>
      <c r="D5" s="1226"/>
      <c r="E5" s="1226"/>
      <c r="F5" s="1226"/>
      <c r="G5" s="1226"/>
      <c r="H5" s="1226"/>
      <c r="I5" s="1226"/>
      <c r="J5" s="1226"/>
    </row>
    <row r="6" spans="1:16" ht="16.5" customHeight="1" thickBot="1" x14ac:dyDescent="0.25">
      <c r="B6" s="1188" t="s">
        <v>1033</v>
      </c>
      <c r="C6" s="1188"/>
      <c r="D6" s="1188"/>
      <c r="E6" s="1188"/>
      <c r="F6" s="1188"/>
      <c r="G6" s="1188"/>
      <c r="H6" s="1188"/>
      <c r="I6" s="1188"/>
      <c r="J6" s="1188"/>
    </row>
    <row r="7" spans="1:16" ht="15.75" customHeight="1" x14ac:dyDescent="0.2">
      <c r="A7" s="1189" t="s">
        <v>1017</v>
      </c>
      <c r="B7" s="1261" t="s">
        <v>1034</v>
      </c>
      <c r="C7" s="1261" t="s">
        <v>1035</v>
      </c>
      <c r="D7" s="1261" t="s">
        <v>1467</v>
      </c>
      <c r="E7" s="1273" t="s">
        <v>1036</v>
      </c>
      <c r="F7" s="1259" t="s">
        <v>1037</v>
      </c>
      <c r="G7" s="1261" t="s">
        <v>1038</v>
      </c>
      <c r="H7" s="1261" t="s">
        <v>1036</v>
      </c>
      <c r="I7" s="1263" t="s">
        <v>1039</v>
      </c>
      <c r="J7" s="1265" t="s">
        <v>1040</v>
      </c>
    </row>
    <row r="8" spans="1:16" ht="33.6" customHeight="1" x14ac:dyDescent="0.2">
      <c r="A8" s="1190"/>
      <c r="B8" s="1271"/>
      <c r="C8" s="1271"/>
      <c r="D8" s="1271"/>
      <c r="E8" s="1274"/>
      <c r="F8" s="1260"/>
      <c r="G8" s="1262"/>
      <c r="H8" s="1262"/>
      <c r="I8" s="1264"/>
      <c r="J8" s="1266"/>
    </row>
    <row r="9" spans="1:16" ht="14.25" customHeight="1" thickBot="1" x14ac:dyDescent="0.25">
      <c r="A9" s="1191"/>
      <c r="B9" s="1272"/>
      <c r="C9" s="1272"/>
      <c r="D9" s="1272"/>
      <c r="E9" s="1275"/>
      <c r="F9" s="1268" t="s">
        <v>1041</v>
      </c>
      <c r="G9" s="1269"/>
      <c r="H9" s="1269"/>
      <c r="I9" s="1267"/>
      <c r="J9" s="1267"/>
    </row>
    <row r="10" spans="1:16" ht="24.6" customHeight="1" x14ac:dyDescent="0.2">
      <c r="A10" s="581">
        <v>1</v>
      </c>
      <c r="B10" s="1257" t="s">
        <v>1042</v>
      </c>
      <c r="C10" s="1257"/>
      <c r="D10" s="1257"/>
      <c r="E10" s="1257"/>
      <c r="F10" s="582">
        <f>SUM(F11+F12)</f>
        <v>8</v>
      </c>
      <c r="G10" s="583">
        <f>SUM(G11+G12)</f>
        <v>7</v>
      </c>
      <c r="H10" s="584">
        <f>SUM(H11:H15)</f>
        <v>11411.670290999999</v>
      </c>
      <c r="I10" s="585">
        <f>SUM(I11:I15)</f>
        <v>136940.043492</v>
      </c>
      <c r="J10" s="586" t="s">
        <v>1043</v>
      </c>
    </row>
    <row r="11" spans="1:16" s="592" customFormat="1" ht="48" customHeight="1" x14ac:dyDescent="0.25">
      <c r="A11" s="587" t="s">
        <v>1044</v>
      </c>
      <c r="B11" s="588" t="s">
        <v>1045</v>
      </c>
      <c r="C11" s="589">
        <v>1093</v>
      </c>
      <c r="D11" s="589">
        <f>C11*0.2359</f>
        <v>257.83870000000002</v>
      </c>
      <c r="E11" s="589">
        <f>C11+D11</f>
        <v>1350.8387</v>
      </c>
      <c r="F11" s="590">
        <v>4</v>
      </c>
      <c r="G11" s="574">
        <v>3.5</v>
      </c>
      <c r="H11" s="591">
        <f>E11*G11</f>
        <v>4727.9354499999999</v>
      </c>
      <c r="I11" s="591">
        <f>H11*12</f>
        <v>56735.225399999996</v>
      </c>
      <c r="J11" s="1258" t="s">
        <v>1469</v>
      </c>
    </row>
    <row r="12" spans="1:16" s="592" customFormat="1" ht="23.25" customHeight="1" x14ac:dyDescent="0.25">
      <c r="A12" s="587" t="s">
        <v>1046</v>
      </c>
      <c r="B12" s="588" t="s">
        <v>1047</v>
      </c>
      <c r="C12" s="589">
        <v>1093</v>
      </c>
      <c r="D12" s="589">
        <f t="shared" ref="D12:D15" si="0">C12*0.2359</f>
        <v>257.83870000000002</v>
      </c>
      <c r="E12" s="589">
        <f>C12+D12</f>
        <v>1350.8387</v>
      </c>
      <c r="F12" s="590">
        <v>4</v>
      </c>
      <c r="G12" s="574">
        <v>3.5</v>
      </c>
      <c r="H12" s="591">
        <f>E12*G12</f>
        <v>4727.9354499999999</v>
      </c>
      <c r="I12" s="591">
        <f t="shared" ref="I12:I15" si="1">H12*12</f>
        <v>56735.225399999996</v>
      </c>
      <c r="J12" s="1258"/>
    </row>
    <row r="13" spans="1:16" s="592" customFormat="1" ht="48.75" customHeight="1" x14ac:dyDescent="0.25">
      <c r="A13" s="587" t="s">
        <v>1048</v>
      </c>
      <c r="B13" s="588" t="s">
        <v>1049</v>
      </c>
      <c r="C13" s="589">
        <f>ROUND(C12/168,2)</f>
        <v>6.51</v>
      </c>
      <c r="D13" s="589">
        <f t="shared" si="0"/>
        <v>1.535709</v>
      </c>
      <c r="E13" s="589">
        <f>(C13+D13)*(18*15/12)*2</f>
        <v>362.05690500000003</v>
      </c>
      <c r="F13" s="590" t="s">
        <v>1050</v>
      </c>
      <c r="G13" s="574" t="s">
        <v>1050</v>
      </c>
      <c r="H13" s="591">
        <f>E13</f>
        <v>362.05690500000003</v>
      </c>
      <c r="I13" s="591">
        <f t="shared" si="1"/>
        <v>4344.6828600000008</v>
      </c>
      <c r="J13" s="593" t="s">
        <v>1470</v>
      </c>
      <c r="K13" s="594"/>
      <c r="L13" s="594"/>
    </row>
    <row r="14" spans="1:16" s="592" customFormat="1" ht="44.45" customHeight="1" x14ac:dyDescent="0.25">
      <c r="A14" s="587" t="s">
        <v>1051</v>
      </c>
      <c r="B14" s="588" t="s">
        <v>1052</v>
      </c>
      <c r="C14" s="589">
        <f>ROUND(C13*0.5,2)</f>
        <v>3.26</v>
      </c>
      <c r="D14" s="589">
        <f t="shared" si="0"/>
        <v>0.769034</v>
      </c>
      <c r="E14" s="589">
        <f>(C14+D14)*244</f>
        <v>983.08429599999988</v>
      </c>
      <c r="F14" s="590" t="s">
        <v>1050</v>
      </c>
      <c r="G14" s="574" t="s">
        <v>1050</v>
      </c>
      <c r="H14" s="591">
        <f>E14</f>
        <v>983.08429599999988</v>
      </c>
      <c r="I14" s="591">
        <f t="shared" si="1"/>
        <v>11797.011551999998</v>
      </c>
      <c r="J14" s="593" t="s">
        <v>1471</v>
      </c>
    </row>
    <row r="15" spans="1:16" s="592" customFormat="1" ht="64.900000000000006" customHeight="1" x14ac:dyDescent="0.25">
      <c r="A15" s="587" t="s">
        <v>1053</v>
      </c>
      <c r="B15" s="588" t="s">
        <v>1054</v>
      </c>
      <c r="C15" s="589">
        <v>494.09999999999997</v>
      </c>
      <c r="D15" s="589">
        <f t="shared" si="0"/>
        <v>116.55819</v>
      </c>
      <c r="E15" s="589">
        <f>C15+D15</f>
        <v>610.65818999999999</v>
      </c>
      <c r="F15" s="590">
        <v>1</v>
      </c>
      <c r="G15" s="574" t="s">
        <v>1050</v>
      </c>
      <c r="H15" s="591">
        <f>E15*1</f>
        <v>610.65818999999999</v>
      </c>
      <c r="I15" s="591">
        <f t="shared" si="1"/>
        <v>7327.8982799999994</v>
      </c>
      <c r="J15" s="595" t="s">
        <v>1472</v>
      </c>
    </row>
    <row r="16" spans="1:16" s="592" customFormat="1" ht="13.5" customHeight="1" x14ac:dyDescent="0.25">
      <c r="A16" s="596"/>
      <c r="B16" s="1226" t="s">
        <v>1055</v>
      </c>
      <c r="C16" s="1226"/>
      <c r="D16" s="1226"/>
      <c r="E16" s="1226"/>
      <c r="F16" s="1226"/>
      <c r="G16" s="1226"/>
      <c r="H16" s="1226"/>
      <c r="I16" s="1226"/>
      <c r="J16" s="1226"/>
    </row>
    <row r="17" spans="1:13" s="592" customFormat="1" ht="36" customHeight="1" x14ac:dyDescent="0.25">
      <c r="A17" s="596"/>
      <c r="B17" s="1226" t="s">
        <v>1056</v>
      </c>
      <c r="C17" s="1226"/>
      <c r="D17" s="1226"/>
      <c r="E17" s="1226"/>
      <c r="F17" s="1226"/>
      <c r="G17" s="1226"/>
      <c r="H17" s="1226"/>
      <c r="I17" s="1226"/>
      <c r="J17" s="1226"/>
    </row>
    <row r="18" spans="1:13" s="592" customFormat="1" ht="39" customHeight="1" x14ac:dyDescent="0.25">
      <c r="A18" s="596"/>
      <c r="B18" s="1226" t="s">
        <v>1057</v>
      </c>
      <c r="C18" s="1226"/>
      <c r="D18" s="1226"/>
      <c r="E18" s="1226"/>
      <c r="F18" s="1226"/>
      <c r="G18" s="1226"/>
      <c r="H18" s="1226"/>
      <c r="I18" s="1226"/>
      <c r="J18" s="1226"/>
    </row>
    <row r="19" spans="1:13" s="592" customFormat="1" ht="12.75" customHeight="1" thickBot="1" x14ac:dyDescent="0.25">
      <c r="A19" s="596"/>
      <c r="B19" s="1188" t="s">
        <v>1058</v>
      </c>
      <c r="C19" s="1188"/>
      <c r="D19" s="1188"/>
      <c r="E19" s="1188"/>
      <c r="F19" s="1188"/>
      <c r="G19" s="1188"/>
      <c r="H19" s="1188"/>
      <c r="I19" s="1188"/>
      <c r="J19" s="1188"/>
    </row>
    <row r="20" spans="1:13" ht="64.5" customHeight="1" x14ac:dyDescent="0.2">
      <c r="A20" s="1189" t="s">
        <v>1017</v>
      </c>
      <c r="B20" s="1192" t="s">
        <v>1034</v>
      </c>
      <c r="C20" s="1243" t="s">
        <v>1059</v>
      </c>
      <c r="D20" s="1193" t="s">
        <v>1060</v>
      </c>
      <c r="E20" s="1253" t="s">
        <v>1061</v>
      </c>
      <c r="F20" s="1192" t="s">
        <v>1062</v>
      </c>
      <c r="G20" s="1211"/>
      <c r="H20" s="1243" t="s">
        <v>1061</v>
      </c>
      <c r="I20" s="1215" t="s">
        <v>1063</v>
      </c>
      <c r="J20" s="1217" t="s">
        <v>1064</v>
      </c>
    </row>
    <row r="21" spans="1:13" ht="13.15" customHeight="1" x14ac:dyDescent="0.2">
      <c r="A21" s="1190"/>
      <c r="B21" s="1194"/>
      <c r="C21" s="1251"/>
      <c r="D21" s="1195"/>
      <c r="E21" s="1254"/>
      <c r="F21" s="1255"/>
      <c r="G21" s="1256"/>
      <c r="H21" s="1244"/>
      <c r="I21" s="1245"/>
      <c r="J21" s="1218"/>
    </row>
    <row r="22" spans="1:13" ht="13.9" customHeight="1" x14ac:dyDescent="0.2">
      <c r="A22" s="1190"/>
      <c r="B22" s="1194"/>
      <c r="C22" s="1251"/>
      <c r="D22" s="1195"/>
      <c r="E22" s="1246" t="s">
        <v>1065</v>
      </c>
      <c r="F22" s="1247"/>
      <c r="G22" s="1247"/>
      <c r="H22" s="1248" t="s">
        <v>1066</v>
      </c>
      <c r="I22" s="1249"/>
      <c r="J22" s="1218"/>
      <c r="M22" s="597"/>
    </row>
    <row r="23" spans="1:13" ht="13.5" customHeight="1" thickBot="1" x14ac:dyDescent="0.25">
      <c r="A23" s="1191"/>
      <c r="B23" s="1196"/>
      <c r="C23" s="1252"/>
      <c r="D23" s="1197"/>
      <c r="E23" s="1250" t="s">
        <v>1041</v>
      </c>
      <c r="F23" s="1197"/>
      <c r="G23" s="1197"/>
      <c r="H23" s="1197"/>
      <c r="I23" s="1219"/>
      <c r="J23" s="1219"/>
    </row>
    <row r="24" spans="1:13" ht="23.25" customHeight="1" thickBot="1" x14ac:dyDescent="0.25">
      <c r="A24" s="598" t="s">
        <v>1067</v>
      </c>
      <c r="B24" s="1235" t="s">
        <v>1068</v>
      </c>
      <c r="C24" s="1236"/>
      <c r="D24" s="1236"/>
      <c r="E24" s="599" t="s">
        <v>1050</v>
      </c>
      <c r="F24" s="1237">
        <f>F25+F29+F32+F35</f>
        <v>1999.2935376989899</v>
      </c>
      <c r="G24" s="1238"/>
      <c r="H24" s="600" t="s">
        <v>1050</v>
      </c>
      <c r="I24" s="601">
        <f>I25+I29+I32+I35</f>
        <v>23991.522452387879</v>
      </c>
      <c r="J24" s="602"/>
    </row>
    <row r="25" spans="1:13" ht="30" customHeight="1" x14ac:dyDescent="0.2">
      <c r="A25" s="603" t="s">
        <v>1069</v>
      </c>
      <c r="B25" s="1239" t="s">
        <v>1070</v>
      </c>
      <c r="C25" s="1240"/>
      <c r="D25" s="1240"/>
      <c r="E25" s="604" t="s">
        <v>1050</v>
      </c>
      <c r="F25" s="1241">
        <f>F26+F27+F28</f>
        <v>726.01623769898993</v>
      </c>
      <c r="G25" s="1242"/>
      <c r="H25" s="605" t="s">
        <v>1050</v>
      </c>
      <c r="I25" s="606">
        <f>I26+I27+I28</f>
        <v>8712.1948523878782</v>
      </c>
      <c r="J25" s="607"/>
    </row>
    <row r="26" spans="1:13" ht="22.5" customHeight="1" x14ac:dyDescent="0.2">
      <c r="A26" s="608" t="s">
        <v>1071</v>
      </c>
      <c r="B26" s="609" t="s">
        <v>1072</v>
      </c>
      <c r="C26" s="610" t="s">
        <v>1073</v>
      </c>
      <c r="D26" s="611">
        <v>353.81818181818187</v>
      </c>
      <c r="E26" s="612">
        <v>1</v>
      </c>
      <c r="F26" s="1227">
        <f>D26*E26</f>
        <v>353.81818181818187</v>
      </c>
      <c r="G26" s="1228"/>
      <c r="H26" s="613">
        <f>E26*12</f>
        <v>12</v>
      </c>
      <c r="I26" s="614">
        <f>D26*H26</f>
        <v>4245.818181818182</v>
      </c>
      <c r="J26" s="615" t="s">
        <v>1074</v>
      </c>
    </row>
    <row r="27" spans="1:13" ht="73.5" customHeight="1" x14ac:dyDescent="0.2">
      <c r="A27" s="608" t="s">
        <v>1075</v>
      </c>
      <c r="B27" s="609" t="s">
        <v>1076</v>
      </c>
      <c r="C27" s="616" t="s">
        <v>1077</v>
      </c>
      <c r="D27" s="611">
        <v>8.9931875615530302E-2</v>
      </c>
      <c r="E27" s="612">
        <f>(128*388)/12</f>
        <v>4138.666666666667</v>
      </c>
      <c r="F27" s="1227">
        <f>D27*E27</f>
        <v>372.19805588080811</v>
      </c>
      <c r="G27" s="1228"/>
      <c r="H27" s="613">
        <f>E27*12</f>
        <v>49664</v>
      </c>
      <c r="I27" s="614">
        <f>D27*H27</f>
        <v>4466.3766705696971</v>
      </c>
      <c r="J27" s="615" t="s">
        <v>1078</v>
      </c>
    </row>
    <row r="28" spans="1:13" ht="39.6" hidden="1" customHeight="1" x14ac:dyDescent="0.2">
      <c r="A28" s="617"/>
      <c r="B28" s="618"/>
      <c r="C28" s="619"/>
      <c r="D28" s="620"/>
      <c r="E28" s="621"/>
      <c r="F28" s="1233"/>
      <c r="G28" s="1234"/>
      <c r="H28" s="622"/>
      <c r="I28" s="623"/>
      <c r="J28" s="624"/>
    </row>
    <row r="29" spans="1:13" ht="41.25" customHeight="1" x14ac:dyDescent="0.2">
      <c r="A29" s="625" t="s">
        <v>1079</v>
      </c>
      <c r="B29" s="1229" t="s">
        <v>1080</v>
      </c>
      <c r="C29" s="1230"/>
      <c r="D29" s="1230"/>
      <c r="E29" s="626" t="s">
        <v>1050</v>
      </c>
      <c r="F29" s="1231">
        <f>F30+F31</f>
        <v>273.27729999999997</v>
      </c>
      <c r="G29" s="1232"/>
      <c r="H29" s="627" t="s">
        <v>1050</v>
      </c>
      <c r="I29" s="628">
        <f>I31+I30</f>
        <v>3279.3276000000001</v>
      </c>
      <c r="J29" s="629" t="s">
        <v>1081</v>
      </c>
    </row>
    <row r="30" spans="1:13" ht="52.5" customHeight="1" x14ac:dyDescent="0.2">
      <c r="A30" s="608" t="s">
        <v>1082</v>
      </c>
      <c r="B30" s="609" t="s">
        <v>1083</v>
      </c>
      <c r="C30" s="616" t="s">
        <v>1084</v>
      </c>
      <c r="D30" s="630">
        <v>850</v>
      </c>
      <c r="E30" s="612" t="s">
        <v>1050</v>
      </c>
      <c r="F30" s="1227">
        <f>I30/12</f>
        <v>212.5</v>
      </c>
      <c r="G30" s="1228"/>
      <c r="H30" s="613">
        <v>3</v>
      </c>
      <c r="I30" s="614">
        <f>D30*H30</f>
        <v>2550</v>
      </c>
      <c r="J30" s="615" t="s">
        <v>1085</v>
      </c>
    </row>
    <row r="31" spans="1:13" ht="55.9" customHeight="1" x14ac:dyDescent="0.2">
      <c r="A31" s="608" t="s">
        <v>1086</v>
      </c>
      <c r="B31" s="609" t="s">
        <v>1087</v>
      </c>
      <c r="C31" s="616" t="s">
        <v>1073</v>
      </c>
      <c r="D31" s="630">
        <f>(9*5)+(15*15)</f>
        <v>270</v>
      </c>
      <c r="E31" s="612">
        <v>1</v>
      </c>
      <c r="F31" s="1227">
        <v>60.777299999999997</v>
      </c>
      <c r="G31" s="1228"/>
      <c r="H31" s="613">
        <f>E31*12</f>
        <v>12</v>
      </c>
      <c r="I31" s="614">
        <f>F31*H31</f>
        <v>729.32759999999996</v>
      </c>
      <c r="J31" s="615" t="s">
        <v>1088</v>
      </c>
    </row>
    <row r="32" spans="1:13" ht="34.5" customHeight="1" x14ac:dyDescent="0.2">
      <c r="A32" s="631" t="s">
        <v>1089</v>
      </c>
      <c r="B32" s="1229" t="s">
        <v>1090</v>
      </c>
      <c r="C32" s="1230"/>
      <c r="D32" s="1230"/>
      <c r="E32" s="626" t="s">
        <v>1050</v>
      </c>
      <c r="F32" s="1231">
        <f>F33+F34</f>
        <v>86.666666666666657</v>
      </c>
      <c r="G32" s="1232"/>
      <c r="H32" s="627" t="s">
        <v>1050</v>
      </c>
      <c r="I32" s="628">
        <f>I33+I34</f>
        <v>1040</v>
      </c>
      <c r="J32" s="632" t="s">
        <v>1091</v>
      </c>
    </row>
    <row r="33" spans="1:10" ht="69.75" customHeight="1" x14ac:dyDescent="0.2">
      <c r="A33" s="608" t="s">
        <v>1092</v>
      </c>
      <c r="B33" s="609" t="s">
        <v>1093</v>
      </c>
      <c r="C33" s="616" t="s">
        <v>1094</v>
      </c>
      <c r="D33" s="611">
        <v>3.25</v>
      </c>
      <c r="E33" s="612">
        <f>20*10/12</f>
        <v>16.666666666666668</v>
      </c>
      <c r="F33" s="1227">
        <f>I33/12</f>
        <v>54.166666666666664</v>
      </c>
      <c r="G33" s="1228"/>
      <c r="H33" s="613">
        <f>E33*12</f>
        <v>200</v>
      </c>
      <c r="I33" s="614">
        <f>D33*H33</f>
        <v>650</v>
      </c>
      <c r="J33" s="615" t="s">
        <v>1095</v>
      </c>
    </row>
    <row r="34" spans="1:10" ht="63.75" customHeight="1" x14ac:dyDescent="0.2">
      <c r="A34" s="608" t="s">
        <v>1096</v>
      </c>
      <c r="B34" s="609" t="s">
        <v>1097</v>
      </c>
      <c r="C34" s="616" t="s">
        <v>1094</v>
      </c>
      <c r="D34" s="611">
        <v>3.25</v>
      </c>
      <c r="E34" s="612">
        <f>360/3/12</f>
        <v>10</v>
      </c>
      <c r="F34" s="1227">
        <f>I34/12</f>
        <v>32.5</v>
      </c>
      <c r="G34" s="1228"/>
      <c r="H34" s="613">
        <f>E34*12</f>
        <v>120</v>
      </c>
      <c r="I34" s="614">
        <f>D34*H34</f>
        <v>390</v>
      </c>
      <c r="J34" s="615" t="s">
        <v>1098</v>
      </c>
    </row>
    <row r="35" spans="1:10" ht="27.75" customHeight="1" x14ac:dyDescent="0.2">
      <c r="A35" s="631" t="s">
        <v>1099</v>
      </c>
      <c r="B35" s="1229" t="s">
        <v>1100</v>
      </c>
      <c r="C35" s="1230"/>
      <c r="D35" s="1230"/>
      <c r="E35" s="626" t="s">
        <v>1050</v>
      </c>
      <c r="F35" s="1231">
        <f>F36+F38+F37</f>
        <v>913.33333333333326</v>
      </c>
      <c r="G35" s="1232"/>
      <c r="H35" s="627" t="s">
        <v>1050</v>
      </c>
      <c r="I35" s="628">
        <f>I36+I38+I37</f>
        <v>10960</v>
      </c>
      <c r="J35" s="632" t="s">
        <v>1101</v>
      </c>
    </row>
    <row r="36" spans="1:10" ht="61.5" customHeight="1" x14ac:dyDescent="0.2">
      <c r="A36" s="608" t="s">
        <v>1102</v>
      </c>
      <c r="B36" s="609" t="s">
        <v>1103</v>
      </c>
      <c r="C36" s="616" t="s">
        <v>1094</v>
      </c>
      <c r="D36" s="611">
        <v>2</v>
      </c>
      <c r="E36" s="612">
        <f>(10*2*10)/12</f>
        <v>16.666666666666668</v>
      </c>
      <c r="F36" s="1227">
        <f>I36/12</f>
        <v>33.333333333333336</v>
      </c>
      <c r="G36" s="1228"/>
      <c r="H36" s="613">
        <f>E36*12</f>
        <v>200</v>
      </c>
      <c r="I36" s="614">
        <f>D36*H36</f>
        <v>400</v>
      </c>
      <c r="J36" s="615" t="s">
        <v>1104</v>
      </c>
    </row>
    <row r="37" spans="1:10" ht="63.75" customHeight="1" x14ac:dyDescent="0.2">
      <c r="A37" s="608" t="s">
        <v>1105</v>
      </c>
      <c r="B37" s="609" t="s">
        <v>1106</v>
      </c>
      <c r="C37" s="616" t="s">
        <v>1107</v>
      </c>
      <c r="D37" s="611">
        <v>60</v>
      </c>
      <c r="E37" s="612">
        <f>F10</f>
        <v>8</v>
      </c>
      <c r="F37" s="1227">
        <f>D37*E37</f>
        <v>480</v>
      </c>
      <c r="G37" s="1228"/>
      <c r="H37" s="613">
        <v>12</v>
      </c>
      <c r="I37" s="614">
        <f>F37*H37</f>
        <v>5760</v>
      </c>
      <c r="J37" s="615" t="s">
        <v>1108</v>
      </c>
    </row>
    <row r="38" spans="1:10" ht="23.25" customHeight="1" thickBot="1" x14ac:dyDescent="0.25">
      <c r="A38" s="633" t="s">
        <v>1109</v>
      </c>
      <c r="B38" s="634" t="s">
        <v>1110</v>
      </c>
      <c r="C38" s="635" t="s">
        <v>1111</v>
      </c>
      <c r="D38" s="636">
        <v>400</v>
      </c>
      <c r="E38" s="637">
        <v>1</v>
      </c>
      <c r="F38" s="1223">
        <f>I38/H38</f>
        <v>400</v>
      </c>
      <c r="G38" s="1224"/>
      <c r="H38" s="638">
        <v>12</v>
      </c>
      <c r="I38" s="639">
        <f>D38*12</f>
        <v>4800</v>
      </c>
      <c r="J38" s="640" t="s">
        <v>1112</v>
      </c>
    </row>
    <row r="39" spans="1:10" s="641" customFormat="1" ht="15.75" customHeight="1" x14ac:dyDescent="0.2">
      <c r="A39" s="1225" t="s">
        <v>1113</v>
      </c>
      <c r="B39" s="1225"/>
      <c r="C39" s="1225"/>
      <c r="D39" s="1225"/>
      <c r="E39" s="1225"/>
      <c r="F39" s="1225"/>
      <c r="G39" s="1225"/>
      <c r="H39" s="1225"/>
      <c r="I39" s="1225"/>
      <c r="J39" s="1225"/>
    </row>
    <row r="40" spans="1:10" s="641" customFormat="1" ht="37.5" customHeight="1" x14ac:dyDescent="0.2">
      <c r="A40" s="1226" t="s">
        <v>1114</v>
      </c>
      <c r="B40" s="1226"/>
      <c r="C40" s="1226"/>
      <c r="D40" s="1226"/>
      <c r="E40" s="1226"/>
      <c r="F40" s="1226"/>
      <c r="G40" s="1226"/>
      <c r="H40" s="1226"/>
      <c r="I40" s="1226"/>
      <c r="J40" s="1226"/>
    </row>
    <row r="41" spans="1:10" s="641" customFormat="1" ht="26.25" customHeight="1" x14ac:dyDescent="0.2">
      <c r="A41" s="1226" t="s">
        <v>1115</v>
      </c>
      <c r="B41" s="1226"/>
      <c r="C41" s="1226"/>
      <c r="D41" s="1226"/>
      <c r="E41" s="1226"/>
      <c r="F41" s="1226"/>
      <c r="G41" s="1226"/>
      <c r="H41" s="1226"/>
      <c r="I41" s="1226"/>
      <c r="J41" s="1226"/>
    </row>
    <row r="42" spans="1:10" ht="19.5" customHeight="1" thickBot="1" x14ac:dyDescent="0.25">
      <c r="B42" s="1188" t="s">
        <v>1116</v>
      </c>
      <c r="C42" s="1188"/>
      <c r="D42" s="1188"/>
      <c r="E42" s="1188"/>
      <c r="F42" s="1188"/>
      <c r="G42" s="1188"/>
      <c r="H42" s="1188"/>
      <c r="I42" s="1188"/>
      <c r="J42" s="1188"/>
    </row>
    <row r="43" spans="1:10" ht="15.75" customHeight="1" x14ac:dyDescent="0.2">
      <c r="A43" s="1189" t="s">
        <v>1017</v>
      </c>
      <c r="B43" s="1192"/>
      <c r="C43" s="1193"/>
      <c r="D43" s="1193"/>
      <c r="E43" s="1193"/>
      <c r="F43" s="1210" t="s">
        <v>1117</v>
      </c>
      <c r="G43" s="1193"/>
      <c r="H43" s="1211"/>
      <c r="I43" s="1215" t="s">
        <v>1118</v>
      </c>
      <c r="J43" s="1206" t="s">
        <v>1119</v>
      </c>
    </row>
    <row r="44" spans="1:10" ht="7.15" customHeight="1" x14ac:dyDescent="0.2">
      <c r="A44" s="1190"/>
      <c r="B44" s="1194"/>
      <c r="C44" s="1195"/>
      <c r="D44" s="1195"/>
      <c r="E44" s="1195"/>
      <c r="F44" s="1212"/>
      <c r="G44" s="1213"/>
      <c r="H44" s="1214"/>
      <c r="I44" s="1216"/>
      <c r="J44" s="1207"/>
    </row>
    <row r="45" spans="1:10" ht="10.15" customHeight="1" thickBot="1" x14ac:dyDescent="0.25">
      <c r="A45" s="1191"/>
      <c r="B45" s="1196"/>
      <c r="C45" s="1197"/>
      <c r="D45" s="1197"/>
      <c r="E45" s="1197"/>
      <c r="F45" s="1220" t="s">
        <v>1041</v>
      </c>
      <c r="G45" s="1221"/>
      <c r="H45" s="1221"/>
      <c r="I45" s="1222"/>
      <c r="J45" s="1208"/>
    </row>
    <row r="46" spans="1:10" ht="17.45" customHeight="1" thickBot="1" x14ac:dyDescent="0.25">
      <c r="A46" s="598">
        <v>3</v>
      </c>
      <c r="B46" s="1183" t="s">
        <v>1120</v>
      </c>
      <c r="C46" s="1183"/>
      <c r="D46" s="1183"/>
      <c r="E46" s="1183"/>
      <c r="F46" s="1184">
        <f>H10+F24</f>
        <v>13410.963828698988</v>
      </c>
      <c r="G46" s="1185"/>
      <c r="H46" s="1186"/>
      <c r="I46" s="642">
        <f>I10+I24</f>
        <v>160931.56594438787</v>
      </c>
      <c r="J46" s="643" t="s">
        <v>1121</v>
      </c>
    </row>
    <row r="47" spans="1:10" x14ac:dyDescent="0.2">
      <c r="B47" s="1209"/>
      <c r="C47" s="1187"/>
      <c r="D47" s="1187"/>
      <c r="E47" s="1187"/>
      <c r="F47" s="1187"/>
      <c r="G47" s="1187"/>
      <c r="H47" s="1187"/>
      <c r="I47" s="1187"/>
      <c r="J47" s="1187"/>
    </row>
    <row r="48" spans="1:10" ht="21" customHeight="1" thickBot="1" x14ac:dyDescent="0.25">
      <c r="B48" s="1188" t="s">
        <v>1122</v>
      </c>
      <c r="C48" s="1188"/>
      <c r="D48" s="1188"/>
      <c r="E48" s="1188"/>
      <c r="F48" s="1188"/>
      <c r="G48" s="1188"/>
      <c r="H48" s="1188"/>
      <c r="I48" s="1188"/>
      <c r="J48" s="1188"/>
    </row>
    <row r="49" spans="1:10" ht="15.75" customHeight="1" x14ac:dyDescent="0.2">
      <c r="A49" s="1189" t="s">
        <v>1017</v>
      </c>
      <c r="B49" s="1192"/>
      <c r="C49" s="1193"/>
      <c r="D49" s="1193"/>
      <c r="E49" s="1193"/>
      <c r="F49" s="1210" t="s">
        <v>1117</v>
      </c>
      <c r="G49" s="1193"/>
      <c r="H49" s="1211"/>
      <c r="I49" s="1215" t="s">
        <v>1118</v>
      </c>
      <c r="J49" s="1217" t="s">
        <v>1119</v>
      </c>
    </row>
    <row r="50" spans="1:10" ht="13.5" customHeight="1" x14ac:dyDescent="0.2">
      <c r="A50" s="1190"/>
      <c r="B50" s="1194"/>
      <c r="C50" s="1195"/>
      <c r="D50" s="1195"/>
      <c r="E50" s="1195"/>
      <c r="F50" s="1212"/>
      <c r="G50" s="1213"/>
      <c r="H50" s="1214"/>
      <c r="I50" s="1216"/>
      <c r="J50" s="1218"/>
    </row>
    <row r="51" spans="1:10" ht="12.75" customHeight="1" thickBot="1" x14ac:dyDescent="0.25">
      <c r="A51" s="1191"/>
      <c r="B51" s="1196"/>
      <c r="C51" s="1197"/>
      <c r="D51" s="1197"/>
      <c r="E51" s="1197"/>
      <c r="F51" s="1220" t="s">
        <v>1041</v>
      </c>
      <c r="G51" s="1221"/>
      <c r="H51" s="1221"/>
      <c r="I51" s="1222"/>
      <c r="J51" s="1219"/>
    </row>
    <row r="52" spans="1:10" ht="18" customHeight="1" thickBot="1" x14ac:dyDescent="0.25">
      <c r="A52" s="598">
        <v>4</v>
      </c>
      <c r="B52" s="1183" t="s">
        <v>1123</v>
      </c>
      <c r="C52" s="1183"/>
      <c r="D52" s="1183"/>
      <c r="E52" s="1183"/>
      <c r="F52" s="1184">
        <f>F46*0.1</f>
        <v>1341.0963828698989</v>
      </c>
      <c r="G52" s="1185"/>
      <c r="H52" s="1186"/>
      <c r="I52" s="642">
        <f>I46*0.1</f>
        <v>16093.156594438788</v>
      </c>
      <c r="J52" s="644" t="s">
        <v>1124</v>
      </c>
    </row>
    <row r="53" spans="1:10" ht="20.25" customHeight="1" x14ac:dyDescent="0.2">
      <c r="B53" s="1187"/>
      <c r="C53" s="1187"/>
      <c r="D53" s="1187"/>
      <c r="E53" s="1187"/>
      <c r="F53" s="1187"/>
      <c r="G53" s="1187"/>
      <c r="H53" s="1187"/>
      <c r="I53" s="1187"/>
      <c r="J53" s="1187"/>
    </row>
    <row r="54" spans="1:10" ht="26.25" customHeight="1" thickBot="1" x14ac:dyDescent="0.25">
      <c r="B54" s="1188" t="s">
        <v>1125</v>
      </c>
      <c r="C54" s="1188"/>
      <c r="D54" s="1188"/>
      <c r="E54" s="1188"/>
      <c r="F54" s="1188"/>
      <c r="G54" s="1188"/>
      <c r="H54" s="1188"/>
      <c r="I54" s="1188"/>
      <c r="J54" s="1188"/>
    </row>
    <row r="55" spans="1:10" ht="15.75" customHeight="1" x14ac:dyDescent="0.2">
      <c r="A55" s="1189" t="s">
        <v>1017</v>
      </c>
      <c r="B55" s="1192"/>
      <c r="C55" s="1193"/>
      <c r="D55" s="1193"/>
      <c r="E55" s="1193"/>
      <c r="F55" s="1198" t="s">
        <v>1126</v>
      </c>
      <c r="G55" s="1199"/>
      <c r="H55" s="1202" t="s">
        <v>1127</v>
      </c>
      <c r="I55" s="1203"/>
      <c r="J55" s="1206" t="s">
        <v>1119</v>
      </c>
    </row>
    <row r="56" spans="1:10" ht="3.75" customHeight="1" x14ac:dyDescent="0.2">
      <c r="A56" s="1190"/>
      <c r="B56" s="1194"/>
      <c r="C56" s="1195"/>
      <c r="D56" s="1195"/>
      <c r="E56" s="1195"/>
      <c r="F56" s="1200"/>
      <c r="G56" s="1201"/>
      <c r="H56" s="1204"/>
      <c r="I56" s="1205"/>
      <c r="J56" s="1207"/>
    </row>
    <row r="57" spans="1:10" ht="13.5" customHeight="1" thickBot="1" x14ac:dyDescent="0.25">
      <c r="A57" s="1191"/>
      <c r="B57" s="1196"/>
      <c r="C57" s="1197"/>
      <c r="D57" s="1197"/>
      <c r="E57" s="1197"/>
      <c r="F57" s="1172" t="s">
        <v>1041</v>
      </c>
      <c r="G57" s="1173"/>
      <c r="H57" s="1173"/>
      <c r="I57" s="1174"/>
      <c r="J57" s="1208"/>
    </row>
    <row r="58" spans="1:10" ht="21.75" customHeight="1" thickBot="1" x14ac:dyDescent="0.25">
      <c r="A58" s="645">
        <v>5</v>
      </c>
      <c r="B58" s="1175" t="s">
        <v>1128</v>
      </c>
      <c r="C58" s="1175"/>
      <c r="D58" s="1175"/>
      <c r="E58" s="1175"/>
      <c r="F58" s="1176">
        <f>F46+F52</f>
        <v>14752.060211568887</v>
      </c>
      <c r="G58" s="1177"/>
      <c r="H58" s="1178">
        <f>I46+I52</f>
        <v>177024.72253882667</v>
      </c>
      <c r="I58" s="1179"/>
      <c r="J58" s="646" t="s">
        <v>1129</v>
      </c>
    </row>
    <row r="59" spans="1:10" x14ac:dyDescent="0.2">
      <c r="A59" s="1180"/>
      <c r="B59" s="1180"/>
      <c r="C59" s="1180"/>
      <c r="D59" s="1180"/>
      <c r="E59" s="1180"/>
      <c r="F59" s="1180"/>
      <c r="G59" s="1180"/>
      <c r="H59" s="1180"/>
      <c r="I59" s="1180"/>
      <c r="J59" s="1180"/>
    </row>
    <row r="60" spans="1:10" ht="14.45" customHeight="1" x14ac:dyDescent="0.2">
      <c r="B60" s="1170" t="s">
        <v>1130</v>
      </c>
      <c r="C60" s="1170"/>
      <c r="D60" s="1170"/>
      <c r="E60" s="1170"/>
      <c r="F60" s="1170"/>
      <c r="G60" s="1170"/>
      <c r="H60" s="1171">
        <f>I11+I12+I13+I14+I15</f>
        <v>136940.043492</v>
      </c>
      <c r="I60" s="1171"/>
      <c r="J60" s="1181">
        <f>SUM(H60:I66)</f>
        <v>160931.56594438787</v>
      </c>
    </row>
    <row r="61" spans="1:10" ht="14.45" customHeight="1" x14ac:dyDescent="0.2">
      <c r="B61" s="1170" t="s">
        <v>1131</v>
      </c>
      <c r="C61" s="1170"/>
      <c r="D61" s="1170"/>
      <c r="E61" s="1170"/>
      <c r="F61" s="1170"/>
      <c r="G61" s="1170"/>
      <c r="H61" s="1171">
        <f>I26+I27</f>
        <v>8712.1948523878782</v>
      </c>
      <c r="I61" s="1171"/>
      <c r="J61" s="1182"/>
    </row>
    <row r="62" spans="1:10" ht="14.45" customHeight="1" x14ac:dyDescent="0.2">
      <c r="B62" s="1170" t="s">
        <v>1132</v>
      </c>
      <c r="C62" s="1170"/>
      <c r="D62" s="1170"/>
      <c r="E62" s="1170"/>
      <c r="F62" s="1170"/>
      <c r="G62" s="1170"/>
      <c r="H62" s="1171">
        <f>I33+I34</f>
        <v>1040</v>
      </c>
      <c r="I62" s="1171"/>
      <c r="J62" s="1182"/>
    </row>
    <row r="63" spans="1:10" ht="14.45" customHeight="1" x14ac:dyDescent="0.2">
      <c r="B63" s="1170" t="s">
        <v>1133</v>
      </c>
      <c r="C63" s="1170"/>
      <c r="D63" s="1170"/>
      <c r="E63" s="1170"/>
      <c r="F63" s="1170"/>
      <c r="G63" s="1170"/>
      <c r="H63" s="1171">
        <f>I30+I31</f>
        <v>3279.3276000000001</v>
      </c>
      <c r="I63" s="1171"/>
      <c r="J63" s="1182"/>
    </row>
    <row r="64" spans="1:10" ht="14.45" customHeight="1" x14ac:dyDescent="0.2">
      <c r="B64" s="1170" t="s">
        <v>1134</v>
      </c>
      <c r="C64" s="1170"/>
      <c r="D64" s="1170"/>
      <c r="E64" s="1170"/>
      <c r="F64" s="1170"/>
      <c r="G64" s="1170"/>
      <c r="H64" s="1171">
        <f>I36</f>
        <v>400</v>
      </c>
      <c r="I64" s="1171"/>
      <c r="J64" s="1182"/>
    </row>
    <row r="65" spans="1:10" ht="14.45" customHeight="1" x14ac:dyDescent="0.2">
      <c r="B65" s="1170" t="s">
        <v>1135</v>
      </c>
      <c r="C65" s="1170"/>
      <c r="D65" s="1170"/>
      <c r="E65" s="1170"/>
      <c r="F65" s="1170"/>
      <c r="G65" s="1170"/>
      <c r="H65" s="1171">
        <f>I38</f>
        <v>4800</v>
      </c>
      <c r="I65" s="1171"/>
      <c r="J65" s="1182"/>
    </row>
    <row r="66" spans="1:10" ht="14.45" customHeight="1" x14ac:dyDescent="0.2">
      <c r="B66" s="1170" t="s">
        <v>1136</v>
      </c>
      <c r="C66" s="1170"/>
      <c r="D66" s="1170"/>
      <c r="E66" s="1170"/>
      <c r="F66" s="1170"/>
      <c r="G66" s="1170"/>
      <c r="H66" s="1171">
        <f>I37</f>
        <v>5760</v>
      </c>
      <c r="I66" s="1171"/>
      <c r="J66" s="1182"/>
    </row>
    <row r="67" spans="1:10" ht="14.45" customHeight="1" x14ac:dyDescent="0.2">
      <c r="B67" s="1166" t="s">
        <v>1137</v>
      </c>
      <c r="C67" s="1166"/>
      <c r="D67" s="1166"/>
      <c r="E67" s="1166"/>
      <c r="F67" s="1166"/>
      <c r="G67" s="1166"/>
      <c r="H67" s="1167">
        <f>SUM(H60:I66)*0.1</f>
        <v>16093.156594438788</v>
      </c>
      <c r="I67" s="1167"/>
      <c r="J67" s="647">
        <f>H67</f>
        <v>16093.156594438788</v>
      </c>
    </row>
    <row r="68" spans="1:10" ht="14.45" customHeight="1" x14ac:dyDescent="0.2">
      <c r="B68" s="1166" t="s">
        <v>1138</v>
      </c>
      <c r="C68" s="1166"/>
      <c r="D68" s="1166"/>
      <c r="E68" s="1166"/>
      <c r="F68" s="1166"/>
      <c r="G68" s="1166"/>
      <c r="H68" s="1167">
        <f>SUM(H60:I67)</f>
        <v>177024.72253882667</v>
      </c>
      <c r="I68" s="1167"/>
      <c r="J68" s="647">
        <f>H68</f>
        <v>177024.72253882667</v>
      </c>
    </row>
    <row r="70" spans="1:10" s="649" customFormat="1" ht="14.45" customHeight="1" x14ac:dyDescent="0.25">
      <c r="A70" s="1168" t="s">
        <v>1139</v>
      </c>
      <c r="B70" s="1168"/>
      <c r="C70" s="1168"/>
      <c r="D70" s="1168"/>
      <c r="E70" s="1168"/>
      <c r="F70" s="1168"/>
      <c r="G70" s="1168"/>
      <c r="H70" s="648">
        <f>H71+(H71*2)</f>
        <v>450</v>
      </c>
      <c r="I70" s="649" t="s">
        <v>1140</v>
      </c>
    </row>
    <row r="71" spans="1:10" s="649" customFormat="1" ht="14.45" customHeight="1" x14ac:dyDescent="0.25">
      <c r="A71" s="1168" t="s">
        <v>1141</v>
      </c>
      <c r="B71" s="1168"/>
      <c r="C71" s="1168"/>
      <c r="D71" s="1168"/>
      <c r="E71" s="1168"/>
      <c r="F71" s="1168"/>
      <c r="G71" s="1168"/>
      <c r="H71" s="648">
        <v>150</v>
      </c>
      <c r="I71" s="649" t="s">
        <v>1094</v>
      </c>
    </row>
    <row r="72" spans="1:10" s="649" customFormat="1" ht="15.6" customHeight="1" x14ac:dyDescent="0.25">
      <c r="A72" s="1169" t="s">
        <v>1142</v>
      </c>
      <c r="B72" s="1169"/>
      <c r="C72" s="1169"/>
      <c r="D72" s="1169"/>
      <c r="E72" s="1169"/>
      <c r="F72" s="1169"/>
      <c r="G72" s="1169"/>
      <c r="H72" s="650">
        <f>ROUND(H68/H71,2)</f>
        <v>1180.1600000000001</v>
      </c>
      <c r="I72" s="651" t="s">
        <v>1143</v>
      </c>
    </row>
    <row r="73" spans="1:10" s="653" customFormat="1" x14ac:dyDescent="0.2">
      <c r="A73" s="1168" t="s">
        <v>1144</v>
      </c>
      <c r="B73" s="1168"/>
      <c r="C73" s="1168"/>
      <c r="D73" s="1168"/>
      <c r="E73" s="1168"/>
      <c r="F73" s="1168"/>
      <c r="G73" s="1168"/>
      <c r="H73" s="652">
        <f>ROUND(H68/H70,2)</f>
        <v>393.39</v>
      </c>
      <c r="I73" s="649" t="s">
        <v>1143</v>
      </c>
    </row>
  </sheetData>
  <mergeCells count="110">
    <mergeCell ref="B1:J1"/>
    <mergeCell ref="F7:F8"/>
    <mergeCell ref="G7:G8"/>
    <mergeCell ref="H7:H8"/>
    <mergeCell ref="I7:I8"/>
    <mergeCell ref="J7:J9"/>
    <mergeCell ref="F9:I9"/>
    <mergeCell ref="A4:J4"/>
    <mergeCell ref="A5:J5"/>
    <mergeCell ref="B6:J6"/>
    <mergeCell ref="A7:A9"/>
    <mergeCell ref="B7:B9"/>
    <mergeCell ref="C7:C9"/>
    <mergeCell ref="D7:D9"/>
    <mergeCell ref="E7:E9"/>
    <mergeCell ref="A20:A23"/>
    <mergeCell ref="B20:B23"/>
    <mergeCell ref="C20:C23"/>
    <mergeCell ref="D20:D23"/>
    <mergeCell ref="E20:E21"/>
    <mergeCell ref="F20:G21"/>
    <mergeCell ref="B10:E10"/>
    <mergeCell ref="J11:J12"/>
    <mergeCell ref="B16:J16"/>
    <mergeCell ref="B17:J17"/>
    <mergeCell ref="B18:J18"/>
    <mergeCell ref="B19:J19"/>
    <mergeCell ref="B24:D24"/>
    <mergeCell ref="F24:G24"/>
    <mergeCell ref="B25:D25"/>
    <mergeCell ref="F25:G25"/>
    <mergeCell ref="F26:G26"/>
    <mergeCell ref="F27:G27"/>
    <mergeCell ref="H20:H21"/>
    <mergeCell ref="I20:I21"/>
    <mergeCell ref="J20:J23"/>
    <mergeCell ref="E22:G22"/>
    <mergeCell ref="H22:I22"/>
    <mergeCell ref="E23:I23"/>
    <mergeCell ref="F33:G33"/>
    <mergeCell ref="F34:G34"/>
    <mergeCell ref="B35:D35"/>
    <mergeCell ref="F35:G35"/>
    <mergeCell ref="F36:G36"/>
    <mergeCell ref="F37:G37"/>
    <mergeCell ref="F28:G28"/>
    <mergeCell ref="B29:D29"/>
    <mergeCell ref="F29:G29"/>
    <mergeCell ref="F30:G30"/>
    <mergeCell ref="F31:G31"/>
    <mergeCell ref="B32:D32"/>
    <mergeCell ref="F32:G32"/>
    <mergeCell ref="F38:G38"/>
    <mergeCell ref="A39:J39"/>
    <mergeCell ref="A40:J40"/>
    <mergeCell ref="A41:J41"/>
    <mergeCell ref="B42:J42"/>
    <mergeCell ref="A43:A45"/>
    <mergeCell ref="B43:E45"/>
    <mergeCell ref="F43:H44"/>
    <mergeCell ref="I43:I44"/>
    <mergeCell ref="J43:J45"/>
    <mergeCell ref="F45:I45"/>
    <mergeCell ref="B46:E46"/>
    <mergeCell ref="F46:H46"/>
    <mergeCell ref="B47:J47"/>
    <mergeCell ref="B48:J48"/>
    <mergeCell ref="A49:A51"/>
    <mergeCell ref="B49:E51"/>
    <mergeCell ref="F49:H50"/>
    <mergeCell ref="I49:I50"/>
    <mergeCell ref="J49:J51"/>
    <mergeCell ref="F51:I51"/>
    <mergeCell ref="B52:E52"/>
    <mergeCell ref="F52:H52"/>
    <mergeCell ref="B53:J53"/>
    <mergeCell ref="B54:J54"/>
    <mergeCell ref="A55:A57"/>
    <mergeCell ref="B55:E57"/>
    <mergeCell ref="F55:G56"/>
    <mergeCell ref="H55:I56"/>
    <mergeCell ref="J55:J57"/>
    <mergeCell ref="B62:G62"/>
    <mergeCell ref="H62:I62"/>
    <mergeCell ref="B63:G63"/>
    <mergeCell ref="H63:I63"/>
    <mergeCell ref="B64:G64"/>
    <mergeCell ref="H64:I64"/>
    <mergeCell ref="F57:I57"/>
    <mergeCell ref="B58:E58"/>
    <mergeCell ref="F58:G58"/>
    <mergeCell ref="H58:I58"/>
    <mergeCell ref="A59:J59"/>
    <mergeCell ref="B60:G60"/>
    <mergeCell ref="H60:I60"/>
    <mergeCell ref="J60:J66"/>
    <mergeCell ref="B61:G61"/>
    <mergeCell ref="H61:I61"/>
    <mergeCell ref="B68:G68"/>
    <mergeCell ref="H68:I68"/>
    <mergeCell ref="A70:G70"/>
    <mergeCell ref="A71:G71"/>
    <mergeCell ref="A72:G72"/>
    <mergeCell ref="A73:G73"/>
    <mergeCell ref="B65:G65"/>
    <mergeCell ref="H65:I65"/>
    <mergeCell ref="B66:G66"/>
    <mergeCell ref="H66:I66"/>
    <mergeCell ref="B67:G67"/>
    <mergeCell ref="H67:I67"/>
  </mergeCells>
  <pageMargins left="0.70866141732283472" right="0.70866141732283472" top="0.74803149606299213" bottom="0.74803149606299213" header="0.31496062992125984" footer="0.31496062992125984"/>
  <pageSetup paperSize="9" scale="83" orientation="landscape"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6C85B-1033-4F06-AFB4-CC080DE078D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3086E-3959-4EFE-8C0D-515606546435}">
  <dimension ref="A1"/>
  <sheetViews>
    <sheetView tabSelected="1" workbookViewId="0"/>
  </sheetViews>
  <sheetFormatPr defaultRowHeight="15" x14ac:dyDescent="0.25"/>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43C53-7794-4088-A5FC-660F4F1B3A1F}">
  <dimension ref="A1"/>
  <sheetViews>
    <sheetView workbookViewId="0"/>
  </sheetViews>
  <sheetFormatPr defaultRowHeight="15" x14ac:dyDescent="0.25"/>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5CAC0-EB7D-46E2-B79D-3657294C607D}">
  <dimension ref="A1"/>
  <sheetViews>
    <sheetView workbookViewId="0"/>
  </sheetViews>
  <sheetFormatPr defaultRowHeight="15" x14ac:dyDescent="0.25"/>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E4269-50E8-4024-BB83-A957915ED2C4}">
  <dimension ref="A1"/>
  <sheetViews>
    <sheetView workbookViewId="0"/>
  </sheetViews>
  <sheetFormatPr defaultRowHeight="15" x14ac:dyDescent="0.25"/>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82008-E13B-495B-A3DA-3A44534223CD}">
  <dimension ref="A1"/>
  <sheetViews>
    <sheetView workbookViewId="0"/>
  </sheetViews>
  <sheetFormatPr defaultRowHeight="15" x14ac:dyDescent="0.25"/>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48475-84DD-420B-A709-E4E9961B0656}">
  <dimension ref="A1"/>
  <sheetViews>
    <sheetView workbookViewId="0"/>
  </sheetViews>
  <sheetFormatPr defaultRowHeight="15" x14ac:dyDescent="0.25"/>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55595-A6D5-40F3-B245-D6D7B30A2977}">
  <dimension ref="A1"/>
  <sheetViews>
    <sheetView workbookViewId="0"/>
  </sheetViews>
  <sheetFormatPr defaultRowHeight="15" x14ac:dyDescent="0.25"/>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75F1D-FE7E-407C-B7EE-66CAFA2955E4}">
  <dimension ref="A1"/>
  <sheetViews>
    <sheetView workbookViewId="0"/>
  </sheetViews>
  <sheetFormatPr defaultRowHeight="15" x14ac:dyDescent="0.25"/>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FB225-DA15-42EF-B0D1-AFFD6F2E4199}">
  <dimension ref="A1"/>
  <sheetViews>
    <sheetView workbookViewId="0"/>
  </sheetViews>
  <sheetFormatPr defaultRowHeight="15"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DFB7E-E6A6-4D8E-A2CE-A4953CDE649C}">
  <sheetPr>
    <tabColor rgb="FFFFFF00"/>
  </sheetPr>
  <dimension ref="A1:P14"/>
  <sheetViews>
    <sheetView workbookViewId="0">
      <selection activeCell="J23" sqref="J23"/>
    </sheetView>
  </sheetViews>
  <sheetFormatPr defaultRowHeight="15" x14ac:dyDescent="0.25"/>
  <cols>
    <col min="9" max="11" width="12.85546875" customWidth="1"/>
    <col min="14" max="16" width="11" customWidth="1"/>
  </cols>
  <sheetData>
    <row r="1" spans="1:16" ht="15.75" x14ac:dyDescent="0.25">
      <c r="K1" s="100"/>
      <c r="L1" s="901"/>
      <c r="M1" s="901"/>
      <c r="N1" s="100"/>
      <c r="O1" s="1137" t="s">
        <v>1431</v>
      </c>
      <c r="P1" s="1137"/>
    </row>
    <row r="2" spans="1:16" ht="48" customHeight="1" x14ac:dyDescent="0.25">
      <c r="K2" s="1161" t="s">
        <v>1342</v>
      </c>
      <c r="L2" s="1161"/>
      <c r="M2" s="1161"/>
      <c r="N2" s="1161"/>
      <c r="O2" s="1161"/>
      <c r="P2" s="1161"/>
    </row>
    <row r="3" spans="1:16" ht="18.75" x14ac:dyDescent="0.25">
      <c r="A3" s="544" t="s">
        <v>1205</v>
      </c>
      <c r="B3" s="543"/>
      <c r="C3" s="543"/>
      <c r="D3" s="543"/>
    </row>
    <row r="4" spans="1:16" ht="16.5" thickBot="1" x14ac:dyDescent="0.3">
      <c r="I4" s="764">
        <v>2022</v>
      </c>
      <c r="J4" s="764">
        <v>2023</v>
      </c>
      <c r="K4" s="764">
        <v>2024</v>
      </c>
    </row>
    <row r="5" spans="1:16" ht="19.5" thickBot="1" x14ac:dyDescent="0.35">
      <c r="A5" s="204" t="s">
        <v>1002</v>
      </c>
      <c r="B5" s="25"/>
      <c r="C5" s="101"/>
      <c r="D5" s="101"/>
      <c r="E5" s="101"/>
      <c r="F5" s="101"/>
      <c r="G5" s="101"/>
      <c r="H5" s="102"/>
      <c r="I5" s="930">
        <f>SUM(N7:N14)</f>
        <v>583791.75461993017</v>
      </c>
      <c r="J5" s="930">
        <f>SUM(O7:O14)</f>
        <v>948946.14335846656</v>
      </c>
      <c r="K5" s="930">
        <f>SUM(P7:P14)</f>
        <v>1329894.532097003</v>
      </c>
    </row>
    <row r="6" spans="1:16" ht="18.75" x14ac:dyDescent="0.3">
      <c r="A6" s="547"/>
      <c r="B6" s="548"/>
      <c r="C6" s="549"/>
      <c r="D6" s="549"/>
      <c r="E6" s="549"/>
      <c r="F6" s="549"/>
      <c r="G6" s="549"/>
      <c r="H6" s="550"/>
      <c r="I6" s="551"/>
      <c r="J6" s="552"/>
      <c r="N6" s="929">
        <v>2022</v>
      </c>
      <c r="O6" s="929">
        <v>2023</v>
      </c>
      <c r="P6" s="929">
        <v>2024</v>
      </c>
    </row>
    <row r="7" spans="1:16" x14ac:dyDescent="0.25">
      <c r="A7" s="545" t="s">
        <v>1190</v>
      </c>
      <c r="B7" s="1276" t="s">
        <v>972</v>
      </c>
      <c r="C7" s="1276"/>
      <c r="D7" s="1276"/>
      <c r="E7" s="1276"/>
      <c r="F7" s="1276"/>
      <c r="G7" s="1276"/>
      <c r="H7" s="1276"/>
      <c r="I7" s="1276"/>
      <c r="J7" s="1276"/>
      <c r="K7" s="1276"/>
      <c r="L7" s="1276"/>
      <c r="M7" s="1276"/>
      <c r="N7" s="928">
        <f>'3.6.1.'!F5</f>
        <v>424800</v>
      </c>
      <c r="O7" s="928">
        <f>'3.6.1.'!G5</f>
        <v>781200</v>
      </c>
      <c r="P7" s="928">
        <f>'3.6.1.'!H5</f>
        <v>1137600</v>
      </c>
    </row>
    <row r="8" spans="1:16" x14ac:dyDescent="0.25">
      <c r="A8" s="545" t="s">
        <v>1191</v>
      </c>
      <c r="B8" s="1276" t="s">
        <v>973</v>
      </c>
      <c r="C8" s="1276"/>
      <c r="D8" s="1276"/>
      <c r="E8" s="1276"/>
      <c r="F8" s="1276"/>
      <c r="G8" s="1276"/>
      <c r="H8" s="1276"/>
      <c r="I8" s="1276"/>
      <c r="J8" s="1276"/>
      <c r="K8" s="1276"/>
      <c r="L8" s="1276"/>
      <c r="M8" s="1276"/>
      <c r="N8" s="928">
        <f>'3.6.2.'!G6</f>
        <v>24945</v>
      </c>
      <c r="O8" s="928">
        <f>N8</f>
        <v>24945</v>
      </c>
      <c r="P8" s="928">
        <f>O8</f>
        <v>24945</v>
      </c>
    </row>
    <row r="9" spans="1:16" x14ac:dyDescent="0.25">
      <c r="A9" s="545" t="s">
        <v>1192</v>
      </c>
      <c r="B9" s="1276" t="s">
        <v>1465</v>
      </c>
      <c r="C9" s="1276"/>
      <c r="D9" s="1276"/>
      <c r="E9" s="1276"/>
      <c r="F9" s="1276"/>
      <c r="G9" s="1276"/>
      <c r="H9" s="1276"/>
      <c r="I9" s="1276"/>
      <c r="J9" s="1276"/>
      <c r="K9" s="1276"/>
      <c r="L9" s="1276"/>
      <c r="M9" s="1276"/>
      <c r="N9" s="928">
        <f>'3.6.3.1.'!G6+'3.6.3.2.'!G6</f>
        <v>5202</v>
      </c>
      <c r="O9" s="928">
        <f>'3.6.3.1.'!H6+'3.6.3.2.'!H6</f>
        <v>9319</v>
      </c>
      <c r="P9" s="928">
        <f>'3.6.3.1.'!I6+'3.6.3.2.'!I6</f>
        <v>13437</v>
      </c>
    </row>
    <row r="10" spans="1:16" x14ac:dyDescent="0.25">
      <c r="A10" s="545" t="s">
        <v>1193</v>
      </c>
      <c r="B10" s="1276" t="s">
        <v>1466</v>
      </c>
      <c r="C10" s="1276"/>
      <c r="D10" s="1276"/>
      <c r="E10" s="1276"/>
      <c r="F10" s="1276"/>
      <c r="G10" s="1276"/>
      <c r="H10" s="1276"/>
      <c r="I10" s="1276"/>
      <c r="J10" s="1276"/>
      <c r="K10" s="1276"/>
      <c r="L10" s="1276"/>
      <c r="M10" s="1276"/>
      <c r="N10" s="928">
        <f>'3.6.4.1.'!U17+'3.6.4.2.'!U17</f>
        <v>7372.7546199300996</v>
      </c>
      <c r="O10" s="928">
        <f>'3.6.4.1.'!W17+'3.6.4.2.'!W17</f>
        <v>13577.143358466576</v>
      </c>
      <c r="P10" s="928">
        <f>'3.6.4.1.'!Y17+'3.6.4.2.'!Y17</f>
        <v>19781.532097003052</v>
      </c>
    </row>
    <row r="11" spans="1:16" x14ac:dyDescent="0.25">
      <c r="A11" s="545" t="s">
        <v>1194</v>
      </c>
      <c r="B11" s="1276" t="s">
        <v>976</v>
      </c>
      <c r="C11" s="1276"/>
      <c r="D11" s="1276"/>
      <c r="E11" s="1276"/>
      <c r="F11" s="1276"/>
      <c r="G11" s="1276"/>
      <c r="H11" s="1276"/>
      <c r="I11" s="1276"/>
      <c r="J11" s="1276"/>
      <c r="K11" s="1276"/>
      <c r="L11" s="1276"/>
      <c r="M11" s="1276"/>
      <c r="N11" s="928">
        <f>'3.6.5.'!D6</f>
        <v>1930</v>
      </c>
      <c r="O11" s="928">
        <f>'3.6.5.'!E6</f>
        <v>3592</v>
      </c>
      <c r="P11" s="928">
        <f>'3.6.5.'!F6</f>
        <v>5254</v>
      </c>
    </row>
    <row r="12" spans="1:16" x14ac:dyDescent="0.25">
      <c r="A12" s="545" t="s">
        <v>1195</v>
      </c>
      <c r="B12" s="1276" t="s">
        <v>1003</v>
      </c>
      <c r="C12" s="1276"/>
      <c r="D12" s="1276"/>
      <c r="E12" s="1276"/>
      <c r="F12" s="1276"/>
      <c r="G12" s="1276"/>
      <c r="H12" s="1276"/>
      <c r="I12" s="1276"/>
      <c r="J12" s="1276"/>
      <c r="K12" s="1276"/>
      <c r="L12" s="1276"/>
      <c r="M12" s="1276"/>
      <c r="N12" s="928">
        <f>'3.6.6.'!F6</f>
        <v>25231</v>
      </c>
      <c r="O12" s="928">
        <f>'3.6.6.'!G6</f>
        <v>37795</v>
      </c>
      <c r="P12" s="928">
        <f>'3.6.6.'!H6</f>
        <v>50359</v>
      </c>
    </row>
    <row r="13" spans="1:16" x14ac:dyDescent="0.25">
      <c r="A13" s="545" t="s">
        <v>1196</v>
      </c>
      <c r="B13" s="1276" t="s">
        <v>993</v>
      </c>
      <c r="C13" s="1276"/>
      <c r="D13" s="1276"/>
      <c r="E13" s="1276"/>
      <c r="F13" s="1276"/>
      <c r="G13" s="1276"/>
      <c r="H13" s="1276"/>
      <c r="I13" s="1276"/>
      <c r="J13" s="1276"/>
      <c r="K13" s="1276"/>
      <c r="L13" s="1276"/>
      <c r="M13" s="1276"/>
      <c r="N13" s="928">
        <f>'3.6.7.'!D6</f>
        <v>78518</v>
      </c>
      <c r="O13" s="928">
        <f t="shared" ref="O13:P13" si="0">N13</f>
        <v>78518</v>
      </c>
      <c r="P13" s="928">
        <f t="shared" si="0"/>
        <v>78518</v>
      </c>
    </row>
    <row r="14" spans="1:16" x14ac:dyDescent="0.25">
      <c r="A14" s="545" t="s">
        <v>1197</v>
      </c>
      <c r="B14" s="1276" t="s">
        <v>977</v>
      </c>
      <c r="C14" s="1276"/>
      <c r="D14" s="1276"/>
      <c r="E14" s="1276"/>
      <c r="F14" s="1276"/>
      <c r="G14" s="1276"/>
      <c r="H14" s="1276"/>
      <c r="I14" s="1276"/>
      <c r="J14" s="1276"/>
      <c r="K14" s="1276"/>
      <c r="L14" s="1276"/>
      <c r="M14" s="1276"/>
      <c r="N14" s="928">
        <f>'3.6.8.'!D6</f>
        <v>15793</v>
      </c>
      <c r="O14" s="928">
        <v>0</v>
      </c>
      <c r="P14" s="928">
        <v>0</v>
      </c>
    </row>
  </sheetData>
  <mergeCells count="10">
    <mergeCell ref="O1:P1"/>
    <mergeCell ref="K2:P2"/>
    <mergeCell ref="B13:M13"/>
    <mergeCell ref="B14:M14"/>
    <mergeCell ref="B11:M11"/>
    <mergeCell ref="B8:M8"/>
    <mergeCell ref="B7:M7"/>
    <mergeCell ref="B9:M9"/>
    <mergeCell ref="B10:M10"/>
    <mergeCell ref="B12:M12"/>
  </mergeCells>
  <pageMargins left="0.70866141732283472" right="0.70866141732283472" top="0.74803149606299213" bottom="0.74803149606299213" header="0.31496062992125984" footer="0.31496062992125984"/>
  <pageSetup paperSize="9" scale="7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A224"/>
  <sheetViews>
    <sheetView showGridLines="0" zoomScale="90" zoomScaleNormal="90" workbookViewId="0">
      <selection activeCell="Q3" sqref="Q3"/>
    </sheetView>
  </sheetViews>
  <sheetFormatPr defaultRowHeight="15" x14ac:dyDescent="0.25"/>
  <cols>
    <col min="1" max="1" width="1.7109375" style="207" customWidth="1"/>
    <col min="2" max="2" width="12.42578125" style="207" customWidth="1"/>
    <col min="3" max="3" width="87" style="207" customWidth="1"/>
    <col min="4" max="4" width="12.5703125" style="208" customWidth="1"/>
    <col min="5" max="5" width="12.42578125" style="208" customWidth="1"/>
    <col min="6" max="6" width="15.7109375" style="377" customWidth="1"/>
    <col min="7" max="7" width="4" style="378" customWidth="1"/>
    <col min="8" max="27" width="9.140625" style="210"/>
    <col min="28" max="16384" width="9.140625" style="207"/>
  </cols>
  <sheetData>
    <row r="1" spans="1:27" s="1000" customFormat="1" ht="15.75" customHeight="1" x14ac:dyDescent="0.25">
      <c r="D1" s="901"/>
      <c r="E1" s="998"/>
      <c r="F1" s="1137" t="s">
        <v>1457</v>
      </c>
      <c r="G1" s="1137"/>
      <c r="H1" s="949"/>
      <c r="I1" s="949"/>
      <c r="J1" s="949"/>
      <c r="K1" s="949"/>
      <c r="L1" s="949"/>
      <c r="M1" s="949"/>
      <c r="N1" s="949"/>
      <c r="O1" s="949"/>
      <c r="P1" s="949"/>
      <c r="Q1" s="949"/>
      <c r="R1" s="949"/>
      <c r="S1" s="949"/>
      <c r="T1" s="949"/>
      <c r="U1" s="949"/>
      <c r="V1" s="949"/>
      <c r="W1" s="949"/>
      <c r="X1" s="949"/>
      <c r="Y1" s="949"/>
      <c r="Z1" s="949"/>
      <c r="AA1" s="949"/>
    </row>
    <row r="2" spans="1:27" s="1000" customFormat="1" ht="69" customHeight="1" x14ac:dyDescent="0.25">
      <c r="D2" s="1161" t="s">
        <v>1342</v>
      </c>
      <c r="E2" s="1161"/>
      <c r="F2" s="1161"/>
      <c r="G2" s="1161"/>
      <c r="H2" s="949"/>
      <c r="I2" s="949"/>
      <c r="J2" s="949"/>
      <c r="K2" s="949"/>
      <c r="L2" s="949"/>
      <c r="M2" s="949"/>
      <c r="N2" s="949"/>
      <c r="O2" s="949"/>
      <c r="P2" s="949"/>
      <c r="Q2" s="949"/>
      <c r="R2" s="949"/>
      <c r="S2" s="949"/>
      <c r="T2" s="949"/>
      <c r="U2" s="949"/>
      <c r="V2" s="949"/>
      <c r="W2" s="949"/>
      <c r="X2" s="949"/>
      <c r="Y2" s="949"/>
      <c r="Z2" s="949"/>
      <c r="AA2" s="949"/>
    </row>
    <row r="3" spans="1:27" ht="15" customHeight="1" x14ac:dyDescent="0.25">
      <c r="C3" s="1000"/>
    </row>
    <row r="4" spans="1:27" s="210" customFormat="1" ht="18.75" x14ac:dyDescent="0.3">
      <c r="A4" s="207"/>
      <c r="B4" s="458" t="s">
        <v>916</v>
      </c>
      <c r="C4" s="207"/>
      <c r="D4" s="208"/>
      <c r="E4" s="208"/>
      <c r="F4" s="377"/>
      <c r="G4" s="378"/>
    </row>
    <row r="5" spans="1:27" s="210" customFormat="1" ht="15.75" x14ac:dyDescent="0.25">
      <c r="A5" s="207"/>
      <c r="B5" s="206"/>
      <c r="C5" s="207"/>
      <c r="D5" s="208"/>
      <c r="E5" s="208"/>
      <c r="F5" s="377"/>
      <c r="G5" s="378"/>
    </row>
    <row r="6" spans="1:27" s="210" customFormat="1" x14ac:dyDescent="0.25">
      <c r="A6" s="207"/>
      <c r="B6" s="214" t="s">
        <v>220</v>
      </c>
      <c r="C6" s="207"/>
      <c r="D6" s="208"/>
      <c r="E6" s="208"/>
      <c r="F6" s="377"/>
      <c r="G6" s="378"/>
    </row>
    <row r="7" spans="1:27" s="210" customFormat="1" x14ac:dyDescent="0.25">
      <c r="A7" s="207"/>
      <c r="B7" s="214"/>
      <c r="C7" s="207"/>
      <c r="D7" s="208"/>
      <c r="E7" s="208"/>
      <c r="F7" s="377"/>
      <c r="G7" s="378"/>
    </row>
    <row r="8" spans="1:27" s="210" customFormat="1" x14ac:dyDescent="0.25">
      <c r="A8" s="207"/>
      <c r="B8" s="1489" t="s">
        <v>224</v>
      </c>
      <c r="C8" s="1490" t="s">
        <v>225</v>
      </c>
      <c r="D8" s="1491" t="s">
        <v>226</v>
      </c>
      <c r="E8" s="1492" t="s">
        <v>227</v>
      </c>
      <c r="F8" s="1493" t="s">
        <v>221</v>
      </c>
      <c r="G8" s="215"/>
    </row>
    <row r="9" spans="1:27" s="210" customFormat="1" x14ac:dyDescent="0.25">
      <c r="A9" s="207"/>
      <c r="B9" s="1489"/>
      <c r="C9" s="1490"/>
      <c r="D9" s="1491"/>
      <c r="E9" s="1492"/>
      <c r="F9" s="1493"/>
      <c r="G9" s="215"/>
    </row>
    <row r="10" spans="1:27" s="210" customFormat="1" x14ac:dyDescent="0.25">
      <c r="A10" s="207"/>
      <c r="B10" s="379" t="s">
        <v>511</v>
      </c>
      <c r="C10" s="380" t="s">
        <v>512</v>
      </c>
      <c r="D10" s="285">
        <v>34.9</v>
      </c>
      <c r="E10" s="381">
        <v>1</v>
      </c>
      <c r="F10" s="382">
        <f>D10*E10</f>
        <v>34.9</v>
      </c>
      <c r="G10" s="378"/>
    </row>
    <row r="11" spans="1:27" s="210" customFormat="1" ht="26.25" x14ac:dyDescent="0.25">
      <c r="A11" s="207"/>
      <c r="B11" s="379" t="s">
        <v>513</v>
      </c>
      <c r="C11" s="380" t="s">
        <v>514</v>
      </c>
      <c r="D11" s="285">
        <v>12.670000000000002</v>
      </c>
      <c r="E11" s="381">
        <v>3</v>
      </c>
      <c r="F11" s="382">
        <f t="shared" ref="F11:F13" si="0">D11*E11</f>
        <v>38.010000000000005</v>
      </c>
      <c r="G11" s="378"/>
    </row>
    <row r="12" spans="1:27" s="210" customFormat="1" ht="26.25" x14ac:dyDescent="0.25">
      <c r="A12" s="207"/>
      <c r="B12" s="232" t="s">
        <v>515</v>
      </c>
      <c r="C12" s="380" t="s">
        <v>516</v>
      </c>
      <c r="D12" s="284">
        <v>80.28</v>
      </c>
      <c r="E12" s="270">
        <v>3</v>
      </c>
      <c r="F12" s="382">
        <f t="shared" si="0"/>
        <v>240.84</v>
      </c>
      <c r="G12" s="378"/>
    </row>
    <row r="13" spans="1:27" s="210" customFormat="1" x14ac:dyDescent="0.25">
      <c r="A13" s="207"/>
      <c r="B13" s="232" t="s">
        <v>245</v>
      </c>
      <c r="C13" s="380" t="s">
        <v>517</v>
      </c>
      <c r="D13" s="284">
        <v>14.93</v>
      </c>
      <c r="E13" s="270">
        <v>4</v>
      </c>
      <c r="F13" s="382">
        <f t="shared" si="0"/>
        <v>59.72</v>
      </c>
      <c r="G13" s="378"/>
    </row>
    <row r="14" spans="1:27" s="210" customFormat="1" x14ac:dyDescent="0.25">
      <c r="A14" s="207"/>
      <c r="B14" s="245"/>
      <c r="C14" s="271" t="s">
        <v>246</v>
      </c>
      <c r="D14" s="272"/>
      <c r="E14" s="273">
        <f>E12+E13+E10+E11</f>
        <v>11</v>
      </c>
      <c r="F14" s="383">
        <f t="shared" ref="F14" si="1">F12+F13+F10+F11</f>
        <v>373.46999999999997</v>
      </c>
      <c r="G14" s="378"/>
    </row>
    <row r="15" spans="1:27" s="210" customFormat="1" x14ac:dyDescent="0.25">
      <c r="A15" s="207"/>
      <c r="B15" s="245"/>
      <c r="C15" s="384" t="s">
        <v>247</v>
      </c>
      <c r="D15" s="254"/>
      <c r="E15" s="255">
        <f t="shared" ref="E15:F15" si="2">E14/$F$197</f>
        <v>1.709933157158402E-3</v>
      </c>
      <c r="F15" s="385">
        <f t="shared" si="2"/>
        <v>5.8055339654904392E-2</v>
      </c>
      <c r="G15" s="378"/>
    </row>
    <row r="16" spans="1:27" s="210" customFormat="1" x14ac:dyDescent="0.25">
      <c r="A16" s="207"/>
      <c r="B16" s="245"/>
      <c r="C16" s="167" t="s">
        <v>248</v>
      </c>
      <c r="D16" s="386"/>
      <c r="E16" s="278"/>
      <c r="F16" s="264">
        <f>F14/$F$198</f>
        <v>8.5517036087195443E-3</v>
      </c>
      <c r="G16" s="378"/>
    </row>
    <row r="17" spans="1:7" s="210" customFormat="1" ht="30" x14ac:dyDescent="0.25">
      <c r="A17" s="207"/>
      <c r="B17" s="232" t="s">
        <v>249</v>
      </c>
      <c r="C17" s="387" t="s">
        <v>518</v>
      </c>
      <c r="D17" s="285">
        <v>16.900000000000002</v>
      </c>
      <c r="E17" s="233">
        <v>2</v>
      </c>
      <c r="F17" s="388">
        <f>D17*E17</f>
        <v>33.800000000000004</v>
      </c>
      <c r="G17" s="378"/>
    </row>
    <row r="18" spans="1:7" s="210" customFormat="1" x14ac:dyDescent="0.25">
      <c r="A18" s="207"/>
      <c r="B18" s="232" t="s">
        <v>250</v>
      </c>
      <c r="C18" s="387" t="s">
        <v>519</v>
      </c>
      <c r="D18" s="285">
        <v>4.5999999999999996</v>
      </c>
      <c r="E18" s="233">
        <v>5</v>
      </c>
      <c r="F18" s="388">
        <f t="shared" ref="F18:F44" si="3">D18*E18</f>
        <v>23</v>
      </c>
      <c r="G18" s="378"/>
    </row>
    <row r="19" spans="1:7" s="210" customFormat="1" x14ac:dyDescent="0.25">
      <c r="A19" s="207"/>
      <c r="B19" s="232" t="s">
        <v>520</v>
      </c>
      <c r="C19" s="387" t="s">
        <v>521</v>
      </c>
      <c r="D19" s="285">
        <v>35.019999999999996</v>
      </c>
      <c r="E19" s="233">
        <v>1</v>
      </c>
      <c r="F19" s="388">
        <f t="shared" si="3"/>
        <v>35.019999999999996</v>
      </c>
      <c r="G19" s="378"/>
    </row>
    <row r="20" spans="1:7" s="210" customFormat="1" x14ac:dyDescent="0.25">
      <c r="A20" s="207"/>
      <c r="B20" s="232" t="s">
        <v>522</v>
      </c>
      <c r="C20" s="387" t="s">
        <v>523</v>
      </c>
      <c r="D20" s="285">
        <v>22.55</v>
      </c>
      <c r="E20" s="233">
        <v>1</v>
      </c>
      <c r="F20" s="388">
        <f t="shared" si="3"/>
        <v>22.55</v>
      </c>
      <c r="G20" s="378"/>
    </row>
    <row r="21" spans="1:7" s="210" customFormat="1" x14ac:dyDescent="0.25">
      <c r="A21" s="207"/>
      <c r="B21" s="232" t="s">
        <v>251</v>
      </c>
      <c r="C21" s="387" t="s">
        <v>524</v>
      </c>
      <c r="D21" s="285">
        <v>76.66</v>
      </c>
      <c r="E21" s="233">
        <v>5</v>
      </c>
      <c r="F21" s="388">
        <f t="shared" si="3"/>
        <v>383.29999999999995</v>
      </c>
      <c r="G21" s="378"/>
    </row>
    <row r="22" spans="1:7" s="210" customFormat="1" x14ac:dyDescent="0.25">
      <c r="A22" s="207"/>
      <c r="B22" s="232" t="s">
        <v>525</v>
      </c>
      <c r="C22" s="387" t="s">
        <v>526</v>
      </c>
      <c r="D22" s="285">
        <v>19.330000000000002</v>
      </c>
      <c r="E22" s="233">
        <v>1</v>
      </c>
      <c r="F22" s="388">
        <f t="shared" si="3"/>
        <v>19.330000000000002</v>
      </c>
      <c r="G22" s="378"/>
    </row>
    <row r="23" spans="1:7" s="210" customFormat="1" ht="30" x14ac:dyDescent="0.25">
      <c r="A23" s="207"/>
      <c r="B23" s="232" t="s">
        <v>527</v>
      </c>
      <c r="C23" s="387" t="s">
        <v>528</v>
      </c>
      <c r="D23" s="285">
        <v>10.77</v>
      </c>
      <c r="E23" s="233">
        <v>1</v>
      </c>
      <c r="F23" s="388">
        <f t="shared" si="3"/>
        <v>10.77</v>
      </c>
      <c r="G23" s="378"/>
    </row>
    <row r="24" spans="1:7" s="210" customFormat="1" x14ac:dyDescent="0.25">
      <c r="A24" s="207"/>
      <c r="B24" s="232" t="s">
        <v>252</v>
      </c>
      <c r="C24" s="387" t="s">
        <v>440</v>
      </c>
      <c r="D24" s="285">
        <v>32.99</v>
      </c>
      <c r="E24" s="233">
        <v>25</v>
      </c>
      <c r="F24" s="388">
        <f t="shared" si="3"/>
        <v>824.75</v>
      </c>
      <c r="G24" s="378"/>
    </row>
    <row r="25" spans="1:7" s="210" customFormat="1" ht="30" x14ac:dyDescent="0.25">
      <c r="A25" s="207"/>
      <c r="B25" s="232" t="s">
        <v>529</v>
      </c>
      <c r="C25" s="387" t="s">
        <v>530</v>
      </c>
      <c r="D25" s="285">
        <v>16.7</v>
      </c>
      <c r="E25" s="233">
        <v>7</v>
      </c>
      <c r="F25" s="388">
        <f t="shared" si="3"/>
        <v>116.89999999999999</v>
      </c>
      <c r="G25" s="378"/>
    </row>
    <row r="26" spans="1:7" s="210" customFormat="1" x14ac:dyDescent="0.25">
      <c r="A26" s="207"/>
      <c r="B26" s="232" t="s">
        <v>253</v>
      </c>
      <c r="C26" s="387" t="s">
        <v>441</v>
      </c>
      <c r="D26" s="285">
        <v>83.24</v>
      </c>
      <c r="E26" s="233">
        <v>4</v>
      </c>
      <c r="F26" s="388">
        <f t="shared" si="3"/>
        <v>332.96</v>
      </c>
      <c r="G26" s="378"/>
    </row>
    <row r="27" spans="1:7" s="210" customFormat="1" ht="18.75" customHeight="1" x14ac:dyDescent="0.25">
      <c r="A27" s="207"/>
      <c r="B27" s="232" t="s">
        <v>254</v>
      </c>
      <c r="C27" s="387" t="s">
        <v>442</v>
      </c>
      <c r="D27" s="285">
        <v>39.919999999999995</v>
      </c>
      <c r="E27" s="233">
        <v>2</v>
      </c>
      <c r="F27" s="388">
        <f t="shared" si="3"/>
        <v>79.839999999999989</v>
      </c>
      <c r="G27" s="378"/>
    </row>
    <row r="28" spans="1:7" s="210" customFormat="1" ht="18" customHeight="1" x14ac:dyDescent="0.25">
      <c r="A28" s="207"/>
      <c r="B28" s="232" t="s">
        <v>255</v>
      </c>
      <c r="C28" s="387" t="s">
        <v>531</v>
      </c>
      <c r="D28" s="285">
        <v>91.64</v>
      </c>
      <c r="E28" s="233">
        <v>17</v>
      </c>
      <c r="F28" s="388">
        <f t="shared" si="3"/>
        <v>1557.88</v>
      </c>
      <c r="G28" s="378"/>
    </row>
    <row r="29" spans="1:7" s="210" customFormat="1" ht="30" x14ac:dyDescent="0.25">
      <c r="A29" s="207"/>
      <c r="B29" s="232" t="s">
        <v>532</v>
      </c>
      <c r="C29" s="387" t="s">
        <v>533</v>
      </c>
      <c r="D29" s="285">
        <v>38.169999999999995</v>
      </c>
      <c r="E29" s="233">
        <v>1</v>
      </c>
      <c r="F29" s="388">
        <f t="shared" si="3"/>
        <v>38.169999999999995</v>
      </c>
      <c r="G29" s="378"/>
    </row>
    <row r="30" spans="1:7" s="210" customFormat="1" x14ac:dyDescent="0.25">
      <c r="A30" s="207"/>
      <c r="B30" s="232" t="s">
        <v>256</v>
      </c>
      <c r="C30" s="387" t="s">
        <v>443</v>
      </c>
      <c r="D30" s="285">
        <v>15.99</v>
      </c>
      <c r="E30" s="233">
        <v>4</v>
      </c>
      <c r="F30" s="388">
        <f t="shared" si="3"/>
        <v>63.96</v>
      </c>
      <c r="G30" s="378"/>
    </row>
    <row r="31" spans="1:7" s="210" customFormat="1" ht="30" x14ac:dyDescent="0.25">
      <c r="A31" s="207"/>
      <c r="B31" s="232" t="s">
        <v>257</v>
      </c>
      <c r="C31" s="387" t="s">
        <v>444</v>
      </c>
      <c r="D31" s="285">
        <v>9.82</v>
      </c>
      <c r="E31" s="233">
        <v>3</v>
      </c>
      <c r="F31" s="388">
        <f t="shared" si="3"/>
        <v>29.46</v>
      </c>
      <c r="G31" s="378"/>
    </row>
    <row r="32" spans="1:7" s="210" customFormat="1" x14ac:dyDescent="0.25">
      <c r="A32" s="207"/>
      <c r="B32" s="232" t="s">
        <v>258</v>
      </c>
      <c r="C32" s="387" t="s">
        <v>534</v>
      </c>
      <c r="D32" s="285">
        <v>15.96</v>
      </c>
      <c r="E32" s="233">
        <v>1</v>
      </c>
      <c r="F32" s="388">
        <f t="shared" si="3"/>
        <v>15.96</v>
      </c>
      <c r="G32" s="378"/>
    </row>
    <row r="33" spans="1:7" s="210" customFormat="1" x14ac:dyDescent="0.25">
      <c r="A33" s="207"/>
      <c r="B33" s="232" t="s">
        <v>259</v>
      </c>
      <c r="C33" s="387" t="s">
        <v>447</v>
      </c>
      <c r="D33" s="285">
        <v>21.18</v>
      </c>
      <c r="E33" s="233">
        <v>15</v>
      </c>
      <c r="F33" s="388">
        <f t="shared" si="3"/>
        <v>317.7</v>
      </c>
      <c r="G33" s="378"/>
    </row>
    <row r="34" spans="1:7" s="210" customFormat="1" x14ac:dyDescent="0.25">
      <c r="A34" s="207"/>
      <c r="B34" s="232" t="s">
        <v>260</v>
      </c>
      <c r="C34" s="387" t="s">
        <v>448</v>
      </c>
      <c r="D34" s="285">
        <v>10.76</v>
      </c>
      <c r="E34" s="233">
        <v>5</v>
      </c>
      <c r="F34" s="388">
        <f t="shared" si="3"/>
        <v>53.8</v>
      </c>
      <c r="G34" s="378"/>
    </row>
    <row r="35" spans="1:7" s="210" customFormat="1" x14ac:dyDescent="0.25">
      <c r="A35" s="207"/>
      <c r="B35" s="232" t="s">
        <v>261</v>
      </c>
      <c r="C35" s="389" t="s">
        <v>449</v>
      </c>
      <c r="D35" s="284">
        <v>16.41</v>
      </c>
      <c r="E35" s="270">
        <v>8</v>
      </c>
      <c r="F35" s="388">
        <f t="shared" si="3"/>
        <v>131.28</v>
      </c>
      <c r="G35" s="378"/>
    </row>
    <row r="36" spans="1:7" s="210" customFormat="1" x14ac:dyDescent="0.25">
      <c r="A36" s="207"/>
      <c r="B36" s="232" t="s">
        <v>262</v>
      </c>
      <c r="C36" s="389" t="s">
        <v>535</v>
      </c>
      <c r="D36" s="284">
        <v>16.010000000000002</v>
      </c>
      <c r="E36" s="270">
        <v>2</v>
      </c>
      <c r="F36" s="388">
        <f t="shared" si="3"/>
        <v>32.020000000000003</v>
      </c>
      <c r="G36" s="378"/>
    </row>
    <row r="37" spans="1:7" s="210" customFormat="1" x14ac:dyDescent="0.25">
      <c r="A37" s="207"/>
      <c r="B37" s="232" t="s">
        <v>450</v>
      </c>
      <c r="C37" s="389" t="s">
        <v>451</v>
      </c>
      <c r="D37" s="284">
        <v>47.07</v>
      </c>
      <c r="E37" s="270">
        <v>2</v>
      </c>
      <c r="F37" s="388">
        <f t="shared" si="3"/>
        <v>94.14</v>
      </c>
      <c r="G37" s="378"/>
    </row>
    <row r="38" spans="1:7" s="210" customFormat="1" x14ac:dyDescent="0.25">
      <c r="A38" s="207"/>
      <c r="B38" s="232" t="s">
        <v>536</v>
      </c>
      <c r="C38" s="389" t="s">
        <v>537</v>
      </c>
      <c r="D38" s="284">
        <v>34.96</v>
      </c>
      <c r="E38" s="270">
        <v>1</v>
      </c>
      <c r="F38" s="388">
        <f t="shared" si="3"/>
        <v>34.96</v>
      </c>
      <c r="G38" s="378"/>
    </row>
    <row r="39" spans="1:7" s="210" customFormat="1" x14ac:dyDescent="0.25">
      <c r="A39" s="207"/>
      <c r="B39" s="232" t="s">
        <v>538</v>
      </c>
      <c r="C39" s="389" t="s">
        <v>539</v>
      </c>
      <c r="D39" s="284">
        <v>39</v>
      </c>
      <c r="E39" s="270">
        <v>1</v>
      </c>
      <c r="F39" s="388">
        <f t="shared" si="3"/>
        <v>39</v>
      </c>
      <c r="G39" s="378"/>
    </row>
    <row r="40" spans="1:7" s="210" customFormat="1" x14ac:dyDescent="0.25">
      <c r="A40" s="207"/>
      <c r="B40" s="232" t="s">
        <v>540</v>
      </c>
      <c r="C40" s="389" t="s">
        <v>541</v>
      </c>
      <c r="D40" s="284">
        <v>31.16</v>
      </c>
      <c r="E40" s="270">
        <v>3</v>
      </c>
      <c r="F40" s="388">
        <f t="shared" si="3"/>
        <v>93.48</v>
      </c>
      <c r="G40" s="378"/>
    </row>
    <row r="41" spans="1:7" s="210" customFormat="1" x14ac:dyDescent="0.25">
      <c r="A41" s="207"/>
      <c r="B41" s="232" t="s">
        <v>542</v>
      </c>
      <c r="C41" s="389" t="s">
        <v>543</v>
      </c>
      <c r="D41" s="284">
        <v>107.57</v>
      </c>
      <c r="E41" s="270">
        <v>1</v>
      </c>
      <c r="F41" s="388">
        <f t="shared" si="3"/>
        <v>107.57</v>
      </c>
      <c r="G41" s="378"/>
    </row>
    <row r="42" spans="1:7" s="210" customFormat="1" ht="30" x14ac:dyDescent="0.25">
      <c r="A42" s="207"/>
      <c r="B42" s="232" t="s">
        <v>544</v>
      </c>
      <c r="C42" s="389" t="s">
        <v>545</v>
      </c>
      <c r="D42" s="284">
        <v>9.99</v>
      </c>
      <c r="E42" s="270">
        <v>1</v>
      </c>
      <c r="F42" s="388">
        <f t="shared" si="3"/>
        <v>9.99</v>
      </c>
      <c r="G42" s="378"/>
    </row>
    <row r="43" spans="1:7" s="210" customFormat="1" ht="30" x14ac:dyDescent="0.25">
      <c r="A43" s="207"/>
      <c r="B43" s="232" t="s">
        <v>263</v>
      </c>
      <c r="C43" s="389" t="s">
        <v>452</v>
      </c>
      <c r="D43" s="284">
        <v>76.22</v>
      </c>
      <c r="E43" s="270">
        <v>14</v>
      </c>
      <c r="F43" s="388">
        <f t="shared" si="3"/>
        <v>1067.08</v>
      </c>
      <c r="G43" s="378"/>
    </row>
    <row r="44" spans="1:7" s="210" customFormat="1" ht="30" x14ac:dyDescent="0.25">
      <c r="A44" s="207"/>
      <c r="B44" s="232" t="s">
        <v>264</v>
      </c>
      <c r="C44" s="389" t="s">
        <v>453</v>
      </c>
      <c r="D44" s="284">
        <v>22.75</v>
      </c>
      <c r="E44" s="270">
        <v>313</v>
      </c>
      <c r="F44" s="388">
        <f t="shared" si="3"/>
        <v>7120.75</v>
      </c>
      <c r="G44" s="378"/>
    </row>
    <row r="45" spans="1:7" s="210" customFormat="1" x14ac:dyDescent="0.25">
      <c r="A45" s="207"/>
      <c r="B45" s="245"/>
      <c r="C45" s="246" t="s">
        <v>265</v>
      </c>
      <c r="D45" s="247"/>
      <c r="E45" s="248">
        <f t="shared" ref="E45:F45" si="4">SUM(E17:E44)</f>
        <v>446</v>
      </c>
      <c r="F45" s="390">
        <f t="shared" si="4"/>
        <v>12689.42</v>
      </c>
      <c r="G45" s="378"/>
    </row>
    <row r="46" spans="1:7" s="210" customFormat="1" x14ac:dyDescent="0.25">
      <c r="A46" s="207"/>
      <c r="B46" s="245"/>
      <c r="C46" s="253" t="s">
        <v>247</v>
      </c>
      <c r="D46" s="254"/>
      <c r="E46" s="255">
        <f t="shared" ref="E46:F46" si="5">E45/$F$197</f>
        <v>6.9330017099331578E-2</v>
      </c>
      <c r="F46" s="385">
        <f t="shared" si="5"/>
        <v>1.9725509093735427</v>
      </c>
      <c r="G46" s="378"/>
    </row>
    <row r="47" spans="1:7" s="210" customFormat="1" x14ac:dyDescent="0.25">
      <c r="A47" s="207"/>
      <c r="B47" s="245"/>
      <c r="C47" s="167" t="s">
        <v>248</v>
      </c>
      <c r="D47" s="254"/>
      <c r="E47" s="255"/>
      <c r="F47" s="264">
        <f>F45/$F$198</f>
        <v>0.29056191610185017</v>
      </c>
      <c r="G47" s="378"/>
    </row>
    <row r="48" spans="1:7" s="210" customFormat="1" x14ac:dyDescent="0.25">
      <c r="A48" s="207"/>
      <c r="B48" s="232" t="s">
        <v>266</v>
      </c>
      <c r="C48" s="389" t="s">
        <v>454</v>
      </c>
      <c r="D48" s="284">
        <v>37</v>
      </c>
      <c r="E48" s="270">
        <v>177</v>
      </c>
      <c r="F48" s="382">
        <f t="shared" ref="F48:F157" si="6">D48*E48</f>
        <v>6549</v>
      </c>
      <c r="G48" s="378"/>
    </row>
    <row r="49" spans="1:7" s="210" customFormat="1" ht="30" x14ac:dyDescent="0.25">
      <c r="A49" s="207"/>
      <c r="B49" s="232" t="s">
        <v>546</v>
      </c>
      <c r="C49" s="389" t="s">
        <v>547</v>
      </c>
      <c r="D49" s="284">
        <v>45.47</v>
      </c>
      <c r="E49" s="270">
        <v>3</v>
      </c>
      <c r="F49" s="382">
        <f t="shared" si="6"/>
        <v>136.41</v>
      </c>
      <c r="G49" s="378"/>
    </row>
    <row r="50" spans="1:7" s="210" customFormat="1" x14ac:dyDescent="0.25">
      <c r="A50" s="207"/>
      <c r="B50" s="232" t="s">
        <v>548</v>
      </c>
      <c r="C50" s="389" t="s">
        <v>549</v>
      </c>
      <c r="D50" s="284">
        <v>43.830000000000005</v>
      </c>
      <c r="E50" s="270">
        <v>2</v>
      </c>
      <c r="F50" s="382">
        <f t="shared" si="6"/>
        <v>87.660000000000011</v>
      </c>
      <c r="G50" s="378"/>
    </row>
    <row r="51" spans="1:7" s="210" customFormat="1" x14ac:dyDescent="0.25">
      <c r="A51" s="207"/>
      <c r="B51" s="232" t="s">
        <v>550</v>
      </c>
      <c r="C51" s="389" t="s">
        <v>551</v>
      </c>
      <c r="D51" s="284">
        <v>368.19000000000005</v>
      </c>
      <c r="E51" s="270">
        <v>1</v>
      </c>
      <c r="F51" s="382">
        <f t="shared" si="6"/>
        <v>368.19000000000005</v>
      </c>
      <c r="G51" s="378"/>
    </row>
    <row r="52" spans="1:7" s="210" customFormat="1" x14ac:dyDescent="0.25">
      <c r="A52" s="207"/>
      <c r="B52" s="232" t="s">
        <v>552</v>
      </c>
      <c r="C52" s="389" t="s">
        <v>553</v>
      </c>
      <c r="D52" s="284">
        <v>694.82999999999993</v>
      </c>
      <c r="E52" s="270">
        <v>2</v>
      </c>
      <c r="F52" s="382">
        <f t="shared" si="6"/>
        <v>1389.6599999999999</v>
      </c>
      <c r="G52" s="378"/>
    </row>
    <row r="53" spans="1:7" s="210" customFormat="1" x14ac:dyDescent="0.25">
      <c r="A53" s="207"/>
      <c r="B53" s="232" t="s">
        <v>554</v>
      </c>
      <c r="C53" s="389" t="s">
        <v>555</v>
      </c>
      <c r="D53" s="284">
        <v>168.07999999999998</v>
      </c>
      <c r="E53" s="270">
        <v>2</v>
      </c>
      <c r="F53" s="382">
        <f t="shared" si="6"/>
        <v>336.15999999999997</v>
      </c>
      <c r="G53" s="378"/>
    </row>
    <row r="54" spans="1:7" s="210" customFormat="1" x14ac:dyDescent="0.25">
      <c r="A54" s="207"/>
      <c r="B54" s="232" t="s">
        <v>556</v>
      </c>
      <c r="C54" s="389" t="s">
        <v>557</v>
      </c>
      <c r="D54" s="284">
        <v>242.03</v>
      </c>
      <c r="E54" s="270">
        <v>2</v>
      </c>
      <c r="F54" s="382">
        <f t="shared" si="6"/>
        <v>484.06</v>
      </c>
      <c r="G54" s="378"/>
    </row>
    <row r="55" spans="1:7" s="210" customFormat="1" ht="30" x14ac:dyDescent="0.25">
      <c r="A55" s="207"/>
      <c r="B55" s="232" t="s">
        <v>558</v>
      </c>
      <c r="C55" s="389" t="s">
        <v>559</v>
      </c>
      <c r="D55" s="284">
        <v>14.68</v>
      </c>
      <c r="E55" s="270">
        <v>6</v>
      </c>
      <c r="F55" s="382">
        <f t="shared" si="6"/>
        <v>88.08</v>
      </c>
      <c r="G55" s="378"/>
    </row>
    <row r="56" spans="1:7" s="210" customFormat="1" x14ac:dyDescent="0.25">
      <c r="A56" s="207"/>
      <c r="B56" s="232" t="s">
        <v>560</v>
      </c>
      <c r="C56" s="389" t="s">
        <v>561</v>
      </c>
      <c r="D56" s="284">
        <v>22.570000000000004</v>
      </c>
      <c r="E56" s="270">
        <v>17</v>
      </c>
      <c r="F56" s="382">
        <f t="shared" si="6"/>
        <v>383.69000000000005</v>
      </c>
      <c r="G56" s="378"/>
    </row>
    <row r="57" spans="1:7" s="210" customFormat="1" x14ac:dyDescent="0.25">
      <c r="A57" s="207"/>
      <c r="B57" s="232" t="s">
        <v>562</v>
      </c>
      <c r="C57" s="389" t="s">
        <v>563</v>
      </c>
      <c r="D57" s="284">
        <v>20.43</v>
      </c>
      <c r="E57" s="270">
        <v>2</v>
      </c>
      <c r="F57" s="382">
        <f t="shared" si="6"/>
        <v>40.86</v>
      </c>
      <c r="G57" s="378"/>
    </row>
    <row r="58" spans="1:7" s="210" customFormat="1" ht="30" x14ac:dyDescent="0.25">
      <c r="A58" s="207"/>
      <c r="B58" s="232" t="s">
        <v>267</v>
      </c>
      <c r="C58" s="389" t="s">
        <v>455</v>
      </c>
      <c r="D58" s="284">
        <v>39.06</v>
      </c>
      <c r="E58" s="270">
        <v>50</v>
      </c>
      <c r="F58" s="382">
        <f t="shared" si="6"/>
        <v>1953</v>
      </c>
      <c r="G58" s="378"/>
    </row>
    <row r="59" spans="1:7" s="210" customFormat="1" x14ac:dyDescent="0.25">
      <c r="A59" s="207"/>
      <c r="B59" s="232" t="s">
        <v>268</v>
      </c>
      <c r="C59" s="389" t="s">
        <v>564</v>
      </c>
      <c r="D59" s="284">
        <v>39.72999999999999</v>
      </c>
      <c r="E59" s="270">
        <v>4</v>
      </c>
      <c r="F59" s="382">
        <f t="shared" si="6"/>
        <v>158.91999999999996</v>
      </c>
      <c r="G59" s="378"/>
    </row>
    <row r="60" spans="1:7" s="210" customFormat="1" ht="30" x14ac:dyDescent="0.25">
      <c r="A60" s="207"/>
      <c r="B60" s="232" t="s">
        <v>269</v>
      </c>
      <c r="C60" s="389" t="s">
        <v>565</v>
      </c>
      <c r="D60" s="284">
        <v>31.58</v>
      </c>
      <c r="E60" s="270">
        <v>2</v>
      </c>
      <c r="F60" s="382">
        <f t="shared" si="6"/>
        <v>63.16</v>
      </c>
      <c r="G60" s="378"/>
    </row>
    <row r="61" spans="1:7" s="210" customFormat="1" ht="45" x14ac:dyDescent="0.25">
      <c r="A61" s="207"/>
      <c r="B61" s="232" t="s">
        <v>566</v>
      </c>
      <c r="C61" s="389" t="s">
        <v>567</v>
      </c>
      <c r="D61" s="284">
        <v>48.050000000000004</v>
      </c>
      <c r="E61" s="270">
        <v>1</v>
      </c>
      <c r="F61" s="382">
        <f t="shared" si="6"/>
        <v>48.050000000000004</v>
      </c>
      <c r="G61" s="378"/>
    </row>
    <row r="62" spans="1:7" s="210" customFormat="1" x14ac:dyDescent="0.25">
      <c r="A62" s="207"/>
      <c r="B62" s="232" t="s">
        <v>568</v>
      </c>
      <c r="C62" s="389" t="s">
        <v>569</v>
      </c>
      <c r="D62" s="284">
        <v>20.18</v>
      </c>
      <c r="E62" s="270">
        <v>1</v>
      </c>
      <c r="F62" s="382">
        <f t="shared" si="6"/>
        <v>20.18</v>
      </c>
      <c r="G62" s="378"/>
    </row>
    <row r="63" spans="1:7" s="210" customFormat="1" x14ac:dyDescent="0.25">
      <c r="A63" s="207"/>
      <c r="B63" s="232" t="s">
        <v>570</v>
      </c>
      <c r="C63" s="389" t="s">
        <v>571</v>
      </c>
      <c r="D63" s="284">
        <v>41.82</v>
      </c>
      <c r="E63" s="270">
        <v>7</v>
      </c>
      <c r="F63" s="382">
        <f t="shared" si="6"/>
        <v>292.74</v>
      </c>
      <c r="G63" s="378"/>
    </row>
    <row r="64" spans="1:7" s="210" customFormat="1" x14ac:dyDescent="0.25">
      <c r="A64" s="207"/>
      <c r="B64" s="232" t="s">
        <v>572</v>
      </c>
      <c r="C64" s="389" t="s">
        <v>573</v>
      </c>
      <c r="D64" s="284">
        <v>134.46</v>
      </c>
      <c r="E64" s="270">
        <v>7</v>
      </c>
      <c r="F64" s="382">
        <f t="shared" si="6"/>
        <v>941.22</v>
      </c>
      <c r="G64" s="378"/>
    </row>
    <row r="65" spans="1:7" s="210" customFormat="1" ht="30" x14ac:dyDescent="0.25">
      <c r="A65" s="207"/>
      <c r="B65" s="232" t="s">
        <v>270</v>
      </c>
      <c r="C65" s="389" t="s">
        <v>456</v>
      </c>
      <c r="D65" s="284">
        <v>71.8</v>
      </c>
      <c r="E65" s="270">
        <v>14</v>
      </c>
      <c r="F65" s="382">
        <f t="shared" si="6"/>
        <v>1005.1999999999999</v>
      </c>
      <c r="G65" s="378"/>
    </row>
    <row r="66" spans="1:7" s="210" customFormat="1" x14ac:dyDescent="0.25">
      <c r="A66" s="207"/>
      <c r="B66" s="232" t="s">
        <v>271</v>
      </c>
      <c r="C66" s="389" t="s">
        <v>574</v>
      </c>
      <c r="D66" s="284">
        <v>44.08</v>
      </c>
      <c r="E66" s="270">
        <v>2</v>
      </c>
      <c r="F66" s="382">
        <f t="shared" si="6"/>
        <v>88.16</v>
      </c>
      <c r="G66" s="378"/>
    </row>
    <row r="67" spans="1:7" s="210" customFormat="1" ht="30" x14ac:dyDescent="0.25">
      <c r="A67" s="207"/>
      <c r="B67" s="232" t="s">
        <v>272</v>
      </c>
      <c r="C67" s="389" t="s">
        <v>457</v>
      </c>
      <c r="D67" s="284">
        <v>8.07</v>
      </c>
      <c r="E67" s="270">
        <v>110</v>
      </c>
      <c r="F67" s="382">
        <f t="shared" si="6"/>
        <v>887.7</v>
      </c>
      <c r="G67" s="378"/>
    </row>
    <row r="68" spans="1:7" s="210" customFormat="1" x14ac:dyDescent="0.25">
      <c r="A68" s="207"/>
      <c r="B68" s="232" t="s">
        <v>273</v>
      </c>
      <c r="C68" s="389" t="s">
        <v>458</v>
      </c>
      <c r="D68" s="284">
        <v>5.35</v>
      </c>
      <c r="E68" s="270">
        <v>139</v>
      </c>
      <c r="F68" s="382">
        <f t="shared" si="6"/>
        <v>743.65</v>
      </c>
      <c r="G68" s="378"/>
    </row>
    <row r="69" spans="1:7" s="210" customFormat="1" x14ac:dyDescent="0.25">
      <c r="A69" s="207"/>
      <c r="B69" s="232" t="s">
        <v>575</v>
      </c>
      <c r="C69" s="389" t="s">
        <v>576</v>
      </c>
      <c r="D69" s="284">
        <v>58.03</v>
      </c>
      <c r="E69" s="270">
        <v>3</v>
      </c>
      <c r="F69" s="382">
        <f t="shared" si="6"/>
        <v>174.09</v>
      </c>
      <c r="G69" s="378"/>
    </row>
    <row r="70" spans="1:7" s="210" customFormat="1" x14ac:dyDescent="0.25">
      <c r="A70" s="207"/>
      <c r="B70" s="232" t="s">
        <v>577</v>
      </c>
      <c r="C70" s="389" t="s">
        <v>578</v>
      </c>
      <c r="D70" s="284">
        <v>35.19</v>
      </c>
      <c r="E70" s="270">
        <v>2</v>
      </c>
      <c r="F70" s="382">
        <f t="shared" si="6"/>
        <v>70.38</v>
      </c>
      <c r="G70" s="378"/>
    </row>
    <row r="71" spans="1:7" s="210" customFormat="1" x14ac:dyDescent="0.25">
      <c r="A71" s="207"/>
      <c r="B71" s="232" t="s">
        <v>579</v>
      </c>
      <c r="C71" s="389" t="s">
        <v>580</v>
      </c>
      <c r="D71" s="284">
        <v>26.629999999999995</v>
      </c>
      <c r="E71" s="270">
        <v>1</v>
      </c>
      <c r="F71" s="382">
        <f t="shared" si="6"/>
        <v>26.629999999999995</v>
      </c>
      <c r="G71" s="378"/>
    </row>
    <row r="72" spans="1:7" s="210" customFormat="1" ht="30" x14ac:dyDescent="0.25">
      <c r="A72" s="207"/>
      <c r="B72" s="232" t="s">
        <v>581</v>
      </c>
      <c r="C72" s="389" t="s">
        <v>582</v>
      </c>
      <c r="D72" s="284">
        <v>148.78</v>
      </c>
      <c r="E72" s="270">
        <v>1</v>
      </c>
      <c r="F72" s="382">
        <f t="shared" si="6"/>
        <v>148.78</v>
      </c>
      <c r="G72" s="378"/>
    </row>
    <row r="73" spans="1:7" s="210" customFormat="1" x14ac:dyDescent="0.25">
      <c r="A73" s="207"/>
      <c r="B73" s="232" t="s">
        <v>583</v>
      </c>
      <c r="C73" s="389" t="s">
        <v>584</v>
      </c>
      <c r="D73" s="284">
        <v>119.3</v>
      </c>
      <c r="E73" s="270">
        <v>2</v>
      </c>
      <c r="F73" s="382">
        <f t="shared" si="6"/>
        <v>238.6</v>
      </c>
      <c r="G73" s="378"/>
    </row>
    <row r="74" spans="1:7" s="210" customFormat="1" ht="30" x14ac:dyDescent="0.25">
      <c r="A74" s="207"/>
      <c r="B74" s="232" t="s">
        <v>585</v>
      </c>
      <c r="C74" s="389" t="s">
        <v>586</v>
      </c>
      <c r="D74" s="284">
        <v>69.330000000000013</v>
      </c>
      <c r="E74" s="270">
        <v>7</v>
      </c>
      <c r="F74" s="382">
        <f t="shared" si="6"/>
        <v>485.31000000000006</v>
      </c>
      <c r="G74" s="378"/>
    </row>
    <row r="75" spans="1:7" s="210" customFormat="1" x14ac:dyDescent="0.25">
      <c r="A75" s="207"/>
      <c r="B75" s="232" t="s">
        <v>587</v>
      </c>
      <c r="C75" s="389" t="s">
        <v>588</v>
      </c>
      <c r="D75" s="284">
        <v>11.68</v>
      </c>
      <c r="E75" s="270">
        <v>3</v>
      </c>
      <c r="F75" s="382">
        <f t="shared" si="6"/>
        <v>35.04</v>
      </c>
      <c r="G75" s="378"/>
    </row>
    <row r="76" spans="1:7" s="210" customFormat="1" x14ac:dyDescent="0.25">
      <c r="A76" s="207"/>
      <c r="B76" s="232" t="s">
        <v>589</v>
      </c>
      <c r="C76" s="389" t="s">
        <v>590</v>
      </c>
      <c r="D76" s="284">
        <v>84.77000000000001</v>
      </c>
      <c r="E76" s="270">
        <v>1</v>
      </c>
      <c r="F76" s="382">
        <f t="shared" si="6"/>
        <v>84.77000000000001</v>
      </c>
      <c r="G76" s="378"/>
    </row>
    <row r="77" spans="1:7" s="210" customFormat="1" x14ac:dyDescent="0.25">
      <c r="A77" s="207"/>
      <c r="B77" s="232" t="s">
        <v>591</v>
      </c>
      <c r="C77" s="389" t="s">
        <v>592</v>
      </c>
      <c r="D77" s="284">
        <v>34.339999999999996</v>
      </c>
      <c r="E77" s="270">
        <v>1</v>
      </c>
      <c r="F77" s="382">
        <f t="shared" si="6"/>
        <v>34.339999999999996</v>
      </c>
      <c r="G77" s="378"/>
    </row>
    <row r="78" spans="1:7" s="210" customFormat="1" x14ac:dyDescent="0.25">
      <c r="A78" s="207"/>
      <c r="B78" s="232" t="s">
        <v>274</v>
      </c>
      <c r="C78" s="389" t="s">
        <v>593</v>
      </c>
      <c r="D78" s="284">
        <v>182.28</v>
      </c>
      <c r="E78" s="270">
        <v>5</v>
      </c>
      <c r="F78" s="382">
        <f t="shared" si="6"/>
        <v>911.4</v>
      </c>
      <c r="G78" s="378"/>
    </row>
    <row r="79" spans="1:7" s="210" customFormat="1" x14ac:dyDescent="0.25">
      <c r="A79" s="207"/>
      <c r="B79" s="232" t="s">
        <v>275</v>
      </c>
      <c r="C79" s="389" t="s">
        <v>594</v>
      </c>
      <c r="D79" s="284">
        <v>257.71999999999997</v>
      </c>
      <c r="E79" s="270">
        <v>2</v>
      </c>
      <c r="F79" s="382">
        <f t="shared" si="6"/>
        <v>515.43999999999994</v>
      </c>
      <c r="G79" s="378"/>
    </row>
    <row r="80" spans="1:7" s="210" customFormat="1" x14ac:dyDescent="0.25">
      <c r="A80" s="207"/>
      <c r="B80" s="232" t="s">
        <v>595</v>
      </c>
      <c r="C80" s="389" t="s">
        <v>596</v>
      </c>
      <c r="D80" s="284">
        <v>72.089999999999989</v>
      </c>
      <c r="E80" s="270">
        <v>1</v>
      </c>
      <c r="F80" s="382">
        <f t="shared" si="6"/>
        <v>72.089999999999989</v>
      </c>
      <c r="G80" s="378"/>
    </row>
    <row r="81" spans="1:27" s="210" customFormat="1" x14ac:dyDescent="0.25">
      <c r="A81" s="207"/>
      <c r="B81" s="242" t="s">
        <v>597</v>
      </c>
      <c r="C81" s="391" t="s">
        <v>598</v>
      </c>
      <c r="D81" s="392">
        <v>37.149999999999991</v>
      </c>
      <c r="E81" s="393">
        <v>1</v>
      </c>
      <c r="F81" s="382">
        <f t="shared" si="6"/>
        <v>37.149999999999991</v>
      </c>
      <c r="G81" s="378"/>
    </row>
    <row r="82" spans="1:27" s="210" customFormat="1" x14ac:dyDescent="0.25">
      <c r="A82" s="207"/>
      <c r="B82" s="232" t="s">
        <v>277</v>
      </c>
      <c r="C82" s="389" t="s">
        <v>599</v>
      </c>
      <c r="D82" s="284">
        <v>66.539999999999992</v>
      </c>
      <c r="E82" s="270">
        <v>6</v>
      </c>
      <c r="F82" s="382">
        <f t="shared" si="6"/>
        <v>399.23999999999995</v>
      </c>
      <c r="G82" s="378"/>
    </row>
    <row r="83" spans="1:27" s="210" customFormat="1" x14ac:dyDescent="0.25">
      <c r="A83" s="207"/>
      <c r="B83" s="232" t="s">
        <v>278</v>
      </c>
      <c r="C83" s="389" t="s">
        <v>600</v>
      </c>
      <c r="D83" s="284">
        <v>31.689999999999998</v>
      </c>
      <c r="E83" s="270">
        <v>39</v>
      </c>
      <c r="F83" s="382">
        <f t="shared" si="6"/>
        <v>1235.9099999999999</v>
      </c>
      <c r="G83" s="378"/>
    </row>
    <row r="84" spans="1:27" x14ac:dyDescent="0.25">
      <c r="B84" s="232" t="s">
        <v>279</v>
      </c>
      <c r="C84" s="389" t="s">
        <v>601</v>
      </c>
      <c r="D84" s="284">
        <v>8.07</v>
      </c>
      <c r="E84" s="270">
        <v>20</v>
      </c>
      <c r="F84" s="382">
        <f t="shared" si="6"/>
        <v>161.4</v>
      </c>
    </row>
    <row r="85" spans="1:27" x14ac:dyDescent="0.25">
      <c r="B85" s="245"/>
      <c r="C85" s="271" t="s">
        <v>204</v>
      </c>
      <c r="D85" s="272"/>
      <c r="E85" s="273">
        <f>SUM(E48:E84)</f>
        <v>646</v>
      </c>
      <c r="F85" s="383">
        <f>SUM(F48:F84)</f>
        <v>20696.320000000003</v>
      </c>
    </row>
    <row r="86" spans="1:27" x14ac:dyDescent="0.25">
      <c r="B86" s="245"/>
      <c r="C86" s="277" t="s">
        <v>247</v>
      </c>
      <c r="D86" s="254"/>
      <c r="E86" s="254">
        <f t="shared" ref="E86:F86" si="7">E85/$F$197</f>
        <v>0.10041971086584797</v>
      </c>
      <c r="F86" s="385">
        <f t="shared" si="7"/>
        <v>3.2172112544691438</v>
      </c>
    </row>
    <row r="87" spans="1:27" x14ac:dyDescent="0.25">
      <c r="B87" s="245"/>
      <c r="C87" s="167" t="s">
        <v>248</v>
      </c>
      <c r="D87" s="386"/>
      <c r="E87" s="386"/>
      <c r="F87" s="264">
        <f>F85/$F$198</f>
        <v>0.47390364535629242</v>
      </c>
    </row>
    <row r="88" spans="1:27" s="281" customFormat="1" x14ac:dyDescent="0.25">
      <c r="B88" s="242" t="s">
        <v>602</v>
      </c>
      <c r="C88" s="394" t="s">
        <v>603</v>
      </c>
      <c r="D88" s="395">
        <v>31.67</v>
      </c>
      <c r="E88" s="243">
        <v>2</v>
      </c>
      <c r="F88" s="388">
        <f t="shared" si="6"/>
        <v>63.34</v>
      </c>
      <c r="G88" s="378"/>
      <c r="H88" s="213"/>
      <c r="I88" s="213"/>
      <c r="J88" s="213"/>
      <c r="K88" s="213"/>
      <c r="L88" s="213"/>
      <c r="M88" s="213"/>
      <c r="N88" s="213"/>
      <c r="O88" s="213"/>
      <c r="P88" s="213"/>
      <c r="Q88" s="213"/>
      <c r="R88" s="213"/>
      <c r="S88" s="213"/>
      <c r="T88" s="213"/>
      <c r="U88" s="213"/>
      <c r="V88" s="213"/>
      <c r="W88" s="213"/>
      <c r="X88" s="213"/>
      <c r="Y88" s="213"/>
      <c r="Z88" s="213"/>
      <c r="AA88" s="213"/>
    </row>
    <row r="89" spans="1:27" s="281" customFormat="1" x14ac:dyDescent="0.25">
      <c r="B89" s="242" t="s">
        <v>280</v>
      </c>
      <c r="C89" s="394" t="s">
        <v>604</v>
      </c>
      <c r="D89" s="395">
        <v>13.6</v>
      </c>
      <c r="E89" s="243">
        <v>63</v>
      </c>
      <c r="F89" s="388">
        <f t="shared" si="6"/>
        <v>856.8</v>
      </c>
      <c r="G89" s="378"/>
      <c r="H89" s="213"/>
      <c r="I89" s="213"/>
      <c r="J89" s="213"/>
      <c r="K89" s="213"/>
      <c r="L89" s="213"/>
      <c r="M89" s="213"/>
      <c r="N89" s="213"/>
      <c r="O89" s="213"/>
      <c r="P89" s="213"/>
      <c r="Q89" s="213"/>
      <c r="R89" s="213"/>
      <c r="S89" s="213"/>
      <c r="T89" s="213"/>
      <c r="U89" s="213"/>
      <c r="V89" s="213"/>
      <c r="W89" s="213"/>
      <c r="X89" s="213"/>
      <c r="Y89" s="213"/>
      <c r="Z89" s="213"/>
      <c r="AA89" s="213"/>
    </row>
    <row r="90" spans="1:27" s="281" customFormat="1" x14ac:dyDescent="0.25">
      <c r="B90" s="242" t="s">
        <v>605</v>
      </c>
      <c r="C90" s="394" t="s">
        <v>606</v>
      </c>
      <c r="D90" s="395">
        <v>44.5</v>
      </c>
      <c r="E90" s="243">
        <v>1</v>
      </c>
      <c r="F90" s="388">
        <f t="shared" si="6"/>
        <v>44.5</v>
      </c>
      <c r="G90" s="378"/>
      <c r="H90" s="213"/>
      <c r="I90" s="213"/>
      <c r="J90" s="213"/>
      <c r="K90" s="213"/>
      <c r="L90" s="213"/>
      <c r="M90" s="213"/>
      <c r="N90" s="213"/>
      <c r="O90" s="213"/>
      <c r="P90" s="213"/>
      <c r="Q90" s="213"/>
      <c r="R90" s="213"/>
      <c r="S90" s="213"/>
      <c r="T90" s="213"/>
      <c r="U90" s="213"/>
      <c r="V90" s="213"/>
      <c r="W90" s="213"/>
      <c r="X90" s="213"/>
      <c r="Y90" s="213"/>
      <c r="Z90" s="213"/>
      <c r="AA90" s="213"/>
    </row>
    <row r="91" spans="1:27" s="281" customFormat="1" x14ac:dyDescent="0.25">
      <c r="B91" s="242" t="s">
        <v>281</v>
      </c>
      <c r="C91" s="394" t="s">
        <v>607</v>
      </c>
      <c r="D91" s="395">
        <v>23.81</v>
      </c>
      <c r="E91" s="243">
        <v>21</v>
      </c>
      <c r="F91" s="388">
        <f t="shared" si="6"/>
        <v>500.01</v>
      </c>
      <c r="G91" s="378"/>
      <c r="H91" s="213"/>
      <c r="I91" s="213"/>
      <c r="J91" s="213"/>
      <c r="K91" s="213"/>
      <c r="L91" s="213"/>
      <c r="M91" s="213"/>
      <c r="N91" s="213"/>
      <c r="O91" s="213"/>
      <c r="P91" s="213"/>
      <c r="Q91" s="213"/>
      <c r="R91" s="213"/>
      <c r="S91" s="213"/>
      <c r="T91" s="213"/>
      <c r="U91" s="213"/>
      <c r="V91" s="213"/>
      <c r="W91" s="213"/>
      <c r="X91" s="213"/>
      <c r="Y91" s="213"/>
      <c r="Z91" s="213"/>
      <c r="AA91" s="213"/>
    </row>
    <row r="92" spans="1:27" s="281" customFormat="1" x14ac:dyDescent="0.25">
      <c r="B92" s="242" t="s">
        <v>608</v>
      </c>
      <c r="C92" s="394" t="s">
        <v>609</v>
      </c>
      <c r="D92" s="395">
        <v>28.860000000000003</v>
      </c>
      <c r="E92" s="243">
        <v>4</v>
      </c>
      <c r="F92" s="388">
        <f t="shared" si="6"/>
        <v>115.44000000000001</v>
      </c>
      <c r="G92" s="378"/>
      <c r="H92" s="213"/>
      <c r="I92" s="213"/>
      <c r="J92" s="213"/>
      <c r="K92" s="213"/>
      <c r="L92" s="213"/>
      <c r="M92" s="213"/>
      <c r="N92" s="213"/>
      <c r="O92" s="213"/>
      <c r="P92" s="213"/>
      <c r="Q92" s="213"/>
      <c r="R92" s="213"/>
      <c r="S92" s="213"/>
      <c r="T92" s="213"/>
      <c r="U92" s="213"/>
      <c r="V92" s="213"/>
      <c r="W92" s="213"/>
      <c r="X92" s="213"/>
      <c r="Y92" s="213"/>
      <c r="Z92" s="213"/>
      <c r="AA92" s="213"/>
    </row>
    <row r="93" spans="1:27" s="281" customFormat="1" x14ac:dyDescent="0.25">
      <c r="B93" s="242" t="s">
        <v>610</v>
      </c>
      <c r="C93" s="394" t="s">
        <v>611</v>
      </c>
      <c r="D93" s="395">
        <v>35.49</v>
      </c>
      <c r="E93" s="243">
        <v>1</v>
      </c>
      <c r="F93" s="388">
        <f t="shared" si="6"/>
        <v>35.49</v>
      </c>
      <c r="G93" s="378"/>
      <c r="H93" s="213"/>
      <c r="I93" s="213"/>
      <c r="J93" s="213"/>
      <c r="K93" s="213"/>
      <c r="L93" s="213"/>
      <c r="M93" s="213"/>
      <c r="N93" s="213"/>
      <c r="O93" s="213"/>
      <c r="P93" s="213"/>
      <c r="Q93" s="213"/>
      <c r="R93" s="213"/>
      <c r="S93" s="213"/>
      <c r="T93" s="213"/>
      <c r="U93" s="213"/>
      <c r="V93" s="213"/>
      <c r="W93" s="213"/>
      <c r="X93" s="213"/>
      <c r="Y93" s="213"/>
      <c r="Z93" s="213"/>
      <c r="AA93" s="213"/>
    </row>
    <row r="94" spans="1:27" s="281" customFormat="1" x14ac:dyDescent="0.25">
      <c r="B94" s="242" t="s">
        <v>612</v>
      </c>
      <c r="C94" s="394" t="s">
        <v>613</v>
      </c>
      <c r="D94" s="395">
        <v>12.99</v>
      </c>
      <c r="E94" s="243">
        <v>1</v>
      </c>
      <c r="F94" s="388">
        <f t="shared" si="6"/>
        <v>12.99</v>
      </c>
      <c r="G94" s="378"/>
      <c r="H94" s="213"/>
      <c r="I94" s="213"/>
      <c r="J94" s="213"/>
      <c r="K94" s="213"/>
      <c r="L94" s="213"/>
      <c r="M94" s="213"/>
      <c r="N94" s="213"/>
      <c r="O94" s="213"/>
      <c r="P94" s="213"/>
      <c r="Q94" s="213"/>
      <c r="R94" s="213"/>
      <c r="S94" s="213"/>
      <c r="T94" s="213"/>
      <c r="U94" s="213"/>
      <c r="V94" s="213"/>
      <c r="W94" s="213"/>
      <c r="X94" s="213"/>
      <c r="Y94" s="213"/>
      <c r="Z94" s="213"/>
      <c r="AA94" s="213"/>
    </row>
    <row r="95" spans="1:27" s="281" customFormat="1" x14ac:dyDescent="0.25">
      <c r="B95" s="242" t="s">
        <v>614</v>
      </c>
      <c r="C95" s="394" t="s">
        <v>615</v>
      </c>
      <c r="D95" s="395">
        <v>11.009999999999998</v>
      </c>
      <c r="E95" s="243">
        <v>1</v>
      </c>
      <c r="F95" s="388">
        <f t="shared" si="6"/>
        <v>11.009999999999998</v>
      </c>
      <c r="G95" s="378"/>
      <c r="H95" s="213"/>
      <c r="I95" s="213"/>
      <c r="J95" s="213"/>
      <c r="K95" s="213"/>
      <c r="L95" s="213"/>
      <c r="M95" s="213"/>
      <c r="N95" s="213"/>
      <c r="O95" s="213"/>
      <c r="P95" s="213"/>
      <c r="Q95" s="213"/>
      <c r="R95" s="213"/>
      <c r="S95" s="213"/>
      <c r="T95" s="213"/>
      <c r="U95" s="213"/>
      <c r="V95" s="213"/>
      <c r="W95" s="213"/>
      <c r="X95" s="213"/>
      <c r="Y95" s="213"/>
      <c r="Z95" s="213"/>
      <c r="AA95" s="213"/>
    </row>
    <row r="96" spans="1:27" s="281" customFormat="1" x14ac:dyDescent="0.25">
      <c r="B96" s="242" t="s">
        <v>616</v>
      </c>
      <c r="C96" s="394" t="s">
        <v>617</v>
      </c>
      <c r="D96" s="395">
        <v>27.050000000000004</v>
      </c>
      <c r="E96" s="243">
        <v>1</v>
      </c>
      <c r="F96" s="388">
        <f t="shared" si="6"/>
        <v>27.050000000000004</v>
      </c>
      <c r="G96" s="378"/>
      <c r="H96" s="213"/>
      <c r="I96" s="213"/>
      <c r="J96" s="213"/>
      <c r="K96" s="213"/>
      <c r="L96" s="213"/>
      <c r="M96" s="213"/>
      <c r="N96" s="213"/>
      <c r="O96" s="213"/>
      <c r="P96" s="213"/>
      <c r="Q96" s="213"/>
      <c r="R96" s="213"/>
      <c r="S96" s="213"/>
      <c r="T96" s="213"/>
      <c r="U96" s="213"/>
      <c r="V96" s="213"/>
      <c r="W96" s="213"/>
      <c r="X96" s="213"/>
      <c r="Y96" s="213"/>
      <c r="Z96" s="213"/>
      <c r="AA96" s="213"/>
    </row>
    <row r="97" spans="1:27" s="281" customFormat="1" x14ac:dyDescent="0.25">
      <c r="B97" s="242" t="s">
        <v>618</v>
      </c>
      <c r="C97" s="394" t="s">
        <v>619</v>
      </c>
      <c r="D97" s="395">
        <v>16.21</v>
      </c>
      <c r="E97" s="243">
        <v>6</v>
      </c>
      <c r="F97" s="388">
        <f t="shared" si="6"/>
        <v>97.26</v>
      </c>
      <c r="G97" s="378"/>
      <c r="H97" s="213"/>
      <c r="I97" s="213"/>
      <c r="J97" s="213"/>
      <c r="K97" s="213"/>
      <c r="L97" s="213"/>
      <c r="M97" s="213"/>
      <c r="N97" s="213"/>
      <c r="O97" s="213"/>
      <c r="P97" s="213"/>
      <c r="Q97" s="213"/>
      <c r="R97" s="213"/>
      <c r="S97" s="213"/>
      <c r="T97" s="213"/>
      <c r="U97" s="213"/>
      <c r="V97" s="213"/>
      <c r="W97" s="213"/>
      <c r="X97" s="213"/>
      <c r="Y97" s="213"/>
      <c r="Z97" s="213"/>
      <c r="AA97" s="213"/>
    </row>
    <row r="98" spans="1:27" x14ac:dyDescent="0.25">
      <c r="B98" s="232" t="s">
        <v>620</v>
      </c>
      <c r="C98" s="396" t="s">
        <v>621</v>
      </c>
      <c r="D98" s="285">
        <v>29.04</v>
      </c>
      <c r="E98" s="233">
        <v>3</v>
      </c>
      <c r="F98" s="388">
        <f t="shared" si="6"/>
        <v>87.12</v>
      </c>
    </row>
    <row r="99" spans="1:27" x14ac:dyDescent="0.25">
      <c r="B99" s="232" t="s">
        <v>622</v>
      </c>
      <c r="C99" s="389" t="s">
        <v>623</v>
      </c>
      <c r="D99" s="284">
        <v>9.89</v>
      </c>
      <c r="E99" s="270">
        <v>17</v>
      </c>
      <c r="F99" s="388">
        <f t="shared" si="6"/>
        <v>168.13</v>
      </c>
    </row>
    <row r="100" spans="1:27" s="210" customFormat="1" x14ac:dyDescent="0.25">
      <c r="A100" s="207"/>
      <c r="B100" s="232" t="s">
        <v>282</v>
      </c>
      <c r="C100" s="389" t="s">
        <v>468</v>
      </c>
      <c r="D100" s="284">
        <v>10.510000000000002</v>
      </c>
      <c r="E100" s="270">
        <v>11</v>
      </c>
      <c r="F100" s="388">
        <f t="shared" si="6"/>
        <v>115.61000000000001</v>
      </c>
      <c r="G100" s="378"/>
    </row>
    <row r="101" spans="1:27" s="210" customFormat="1" x14ac:dyDescent="0.25">
      <c r="A101" s="207"/>
      <c r="B101" s="232" t="s">
        <v>469</v>
      </c>
      <c r="C101" s="389" t="s">
        <v>470</v>
      </c>
      <c r="D101" s="284">
        <v>12.530000000000001</v>
      </c>
      <c r="E101" s="270">
        <v>2</v>
      </c>
      <c r="F101" s="388">
        <f t="shared" si="6"/>
        <v>25.060000000000002</v>
      </c>
      <c r="G101" s="378"/>
    </row>
    <row r="102" spans="1:27" s="210" customFormat="1" x14ac:dyDescent="0.25">
      <c r="A102" s="207"/>
      <c r="B102" s="232" t="s">
        <v>624</v>
      </c>
      <c r="C102" s="389" t="s">
        <v>625</v>
      </c>
      <c r="D102" s="284">
        <v>8.7900000000000009</v>
      </c>
      <c r="E102" s="270">
        <v>2</v>
      </c>
      <c r="F102" s="388">
        <f t="shared" si="6"/>
        <v>17.580000000000002</v>
      </c>
      <c r="G102" s="378"/>
    </row>
    <row r="103" spans="1:27" s="210" customFormat="1" x14ac:dyDescent="0.25">
      <c r="A103" s="207"/>
      <c r="B103" s="232" t="s">
        <v>283</v>
      </c>
      <c r="C103" s="389" t="s">
        <v>471</v>
      </c>
      <c r="D103" s="284">
        <v>5.8500000000000005</v>
      </c>
      <c r="E103" s="270">
        <v>23</v>
      </c>
      <c r="F103" s="388">
        <f t="shared" si="6"/>
        <v>134.55000000000001</v>
      </c>
      <c r="G103" s="378"/>
    </row>
    <row r="104" spans="1:27" s="210" customFormat="1" x14ac:dyDescent="0.25">
      <c r="A104" s="207"/>
      <c r="B104" s="232" t="s">
        <v>284</v>
      </c>
      <c r="C104" s="389" t="s">
        <v>472</v>
      </c>
      <c r="D104" s="284">
        <v>5.8500000000000005</v>
      </c>
      <c r="E104" s="270">
        <v>25</v>
      </c>
      <c r="F104" s="388">
        <f t="shared" si="6"/>
        <v>146.25</v>
      </c>
      <c r="G104" s="378"/>
    </row>
    <row r="105" spans="1:27" s="210" customFormat="1" x14ac:dyDescent="0.25">
      <c r="A105" s="207"/>
      <c r="B105" s="232" t="s">
        <v>285</v>
      </c>
      <c r="C105" s="389" t="s">
        <v>473</v>
      </c>
      <c r="D105" s="284">
        <v>5.1999999999999993</v>
      </c>
      <c r="E105" s="270">
        <v>41</v>
      </c>
      <c r="F105" s="388">
        <f t="shared" si="6"/>
        <v>213.19999999999996</v>
      </c>
      <c r="G105" s="378"/>
    </row>
    <row r="106" spans="1:27" s="210" customFormat="1" x14ac:dyDescent="0.25">
      <c r="A106" s="207"/>
      <c r="B106" s="232" t="s">
        <v>626</v>
      </c>
      <c r="C106" s="389" t="s">
        <v>627</v>
      </c>
      <c r="D106" s="284">
        <v>10.84</v>
      </c>
      <c r="E106" s="270">
        <v>1</v>
      </c>
      <c r="F106" s="388">
        <f t="shared" si="6"/>
        <v>10.84</v>
      </c>
      <c r="G106" s="378"/>
    </row>
    <row r="107" spans="1:27" s="210" customFormat="1" x14ac:dyDescent="0.25">
      <c r="A107" s="207"/>
      <c r="B107" s="232" t="s">
        <v>286</v>
      </c>
      <c r="C107" s="389" t="s">
        <v>474</v>
      </c>
      <c r="D107" s="284">
        <v>5.8500000000000005</v>
      </c>
      <c r="E107" s="270">
        <v>17</v>
      </c>
      <c r="F107" s="388">
        <f t="shared" si="6"/>
        <v>99.45</v>
      </c>
      <c r="G107" s="378"/>
    </row>
    <row r="108" spans="1:27" s="210" customFormat="1" x14ac:dyDescent="0.25">
      <c r="A108" s="207"/>
      <c r="B108" s="232" t="s">
        <v>475</v>
      </c>
      <c r="C108" s="389" t="s">
        <v>476</v>
      </c>
      <c r="D108" s="284">
        <v>7.0799999999999992</v>
      </c>
      <c r="E108" s="270">
        <v>6</v>
      </c>
      <c r="F108" s="388">
        <f t="shared" si="6"/>
        <v>42.48</v>
      </c>
      <c r="G108" s="378"/>
    </row>
    <row r="109" spans="1:27" s="210" customFormat="1" x14ac:dyDescent="0.25">
      <c r="A109" s="207"/>
      <c r="B109" s="232" t="s">
        <v>628</v>
      </c>
      <c r="C109" s="389" t="s">
        <v>629</v>
      </c>
      <c r="D109" s="284">
        <v>38.839999999999996</v>
      </c>
      <c r="E109" s="270">
        <v>1</v>
      </c>
      <c r="F109" s="388">
        <f t="shared" si="6"/>
        <v>38.839999999999996</v>
      </c>
      <c r="G109" s="378"/>
    </row>
    <row r="110" spans="1:27" s="210" customFormat="1" x14ac:dyDescent="0.25">
      <c r="A110" s="207"/>
      <c r="B110" s="245"/>
      <c r="C110" s="282" t="s">
        <v>287</v>
      </c>
      <c r="D110" s="272"/>
      <c r="E110" s="273">
        <f>SUM(E88:E109)</f>
        <v>250</v>
      </c>
      <c r="F110" s="383">
        <f>SUM(F88:F109)</f>
        <v>2863.0000000000005</v>
      </c>
      <c r="G110" s="378"/>
    </row>
    <row r="111" spans="1:27" s="210" customFormat="1" x14ac:dyDescent="0.25">
      <c r="A111" s="207"/>
      <c r="B111" s="245"/>
      <c r="C111" s="253" t="s">
        <v>247</v>
      </c>
      <c r="D111" s="254"/>
      <c r="E111" s="254">
        <f t="shared" ref="E111:F111" si="8">E110/$F$197</f>
        <v>3.8862117208145502E-2</v>
      </c>
      <c r="F111" s="385">
        <f t="shared" si="8"/>
        <v>0.44504896626768231</v>
      </c>
      <c r="G111" s="378"/>
    </row>
    <row r="112" spans="1:27" s="210" customFormat="1" x14ac:dyDescent="0.25">
      <c r="A112" s="207"/>
      <c r="B112" s="245"/>
      <c r="C112" s="167" t="s">
        <v>248</v>
      </c>
      <c r="D112" s="386"/>
      <c r="E112" s="386"/>
      <c r="F112" s="264">
        <f>F110/$F$198</f>
        <v>6.5556878549184849E-2</v>
      </c>
      <c r="G112" s="378"/>
    </row>
    <row r="113" spans="1:7" s="210" customFormat="1" x14ac:dyDescent="0.25">
      <c r="A113" s="207"/>
      <c r="B113" s="232" t="s">
        <v>288</v>
      </c>
      <c r="C113" s="397" t="s">
        <v>630</v>
      </c>
      <c r="D113" s="285">
        <v>798</v>
      </c>
      <c r="E113" s="233">
        <v>2</v>
      </c>
      <c r="F113" s="388">
        <f t="shared" si="6"/>
        <v>1596</v>
      </c>
      <c r="G113" s="378"/>
    </row>
    <row r="114" spans="1:7" s="210" customFormat="1" x14ac:dyDescent="0.25">
      <c r="A114" s="207"/>
      <c r="B114" s="232" t="s">
        <v>631</v>
      </c>
      <c r="C114" s="397" t="s">
        <v>632</v>
      </c>
      <c r="D114" s="285">
        <v>1040.03</v>
      </c>
      <c r="E114" s="233">
        <v>1</v>
      </c>
      <c r="F114" s="388">
        <f t="shared" si="6"/>
        <v>1040.03</v>
      </c>
      <c r="G114" s="378"/>
    </row>
    <row r="115" spans="1:7" s="210" customFormat="1" ht="30" x14ac:dyDescent="0.25">
      <c r="A115" s="207"/>
      <c r="B115" s="232" t="s">
        <v>633</v>
      </c>
      <c r="C115" s="397" t="s">
        <v>634</v>
      </c>
      <c r="D115" s="285">
        <v>787.02</v>
      </c>
      <c r="E115" s="233">
        <v>2</v>
      </c>
      <c r="F115" s="388">
        <f t="shared" si="6"/>
        <v>1574.04</v>
      </c>
      <c r="G115" s="378"/>
    </row>
    <row r="116" spans="1:7" s="210" customFormat="1" x14ac:dyDescent="0.25">
      <c r="A116" s="207"/>
      <c r="B116" s="232" t="s">
        <v>635</v>
      </c>
      <c r="C116" s="397" t="s">
        <v>636</v>
      </c>
      <c r="D116" s="285">
        <v>283.83</v>
      </c>
      <c r="E116" s="233">
        <v>2</v>
      </c>
      <c r="F116" s="388">
        <f t="shared" si="6"/>
        <v>567.66</v>
      </c>
      <c r="G116" s="378"/>
    </row>
    <row r="117" spans="1:7" s="210" customFormat="1" x14ac:dyDescent="0.25">
      <c r="A117" s="207"/>
      <c r="B117" s="232" t="s">
        <v>637</v>
      </c>
      <c r="C117" s="397" t="s">
        <v>638</v>
      </c>
      <c r="D117" s="285">
        <v>407.84000000000003</v>
      </c>
      <c r="E117" s="233">
        <v>2</v>
      </c>
      <c r="F117" s="388">
        <f t="shared" si="6"/>
        <v>815.68000000000006</v>
      </c>
      <c r="G117" s="378"/>
    </row>
    <row r="118" spans="1:7" s="210" customFormat="1" x14ac:dyDescent="0.25">
      <c r="A118" s="207"/>
      <c r="B118" s="232" t="s">
        <v>289</v>
      </c>
      <c r="C118" s="397" t="s">
        <v>639</v>
      </c>
      <c r="D118" s="285">
        <v>155.24</v>
      </c>
      <c r="E118" s="233">
        <v>3</v>
      </c>
      <c r="F118" s="388">
        <f t="shared" si="6"/>
        <v>465.72</v>
      </c>
      <c r="G118" s="378"/>
    </row>
    <row r="119" spans="1:7" s="210" customFormat="1" ht="30" x14ac:dyDescent="0.25">
      <c r="A119" s="207"/>
      <c r="B119" s="232" t="s">
        <v>290</v>
      </c>
      <c r="C119" s="397" t="s">
        <v>640</v>
      </c>
      <c r="D119" s="285">
        <v>355.88</v>
      </c>
      <c r="E119" s="233">
        <v>2</v>
      </c>
      <c r="F119" s="388">
        <f t="shared" si="6"/>
        <v>711.76</v>
      </c>
      <c r="G119" s="378"/>
    </row>
    <row r="120" spans="1:7" s="210" customFormat="1" x14ac:dyDescent="0.25">
      <c r="A120" s="207"/>
      <c r="B120" s="232" t="s">
        <v>291</v>
      </c>
      <c r="C120" s="397" t="s">
        <v>641</v>
      </c>
      <c r="D120" s="285">
        <v>650.68999999999994</v>
      </c>
      <c r="E120" s="233">
        <v>2</v>
      </c>
      <c r="F120" s="388">
        <f t="shared" si="6"/>
        <v>1301.3799999999999</v>
      </c>
      <c r="G120" s="378"/>
    </row>
    <row r="121" spans="1:7" s="210" customFormat="1" x14ac:dyDescent="0.25">
      <c r="A121" s="207"/>
      <c r="B121" s="232" t="s">
        <v>642</v>
      </c>
      <c r="C121" s="397" t="s">
        <v>643</v>
      </c>
      <c r="D121" s="285">
        <v>102.19</v>
      </c>
      <c r="E121" s="233">
        <v>5</v>
      </c>
      <c r="F121" s="388">
        <f t="shared" si="6"/>
        <v>510.95</v>
      </c>
      <c r="G121" s="378"/>
    </row>
    <row r="122" spans="1:7" s="210" customFormat="1" x14ac:dyDescent="0.25">
      <c r="A122" s="207"/>
      <c r="B122" s="232" t="s">
        <v>292</v>
      </c>
      <c r="C122" s="397" t="s">
        <v>644</v>
      </c>
      <c r="D122" s="285">
        <v>67.23</v>
      </c>
      <c r="E122" s="233">
        <v>1</v>
      </c>
      <c r="F122" s="388">
        <f t="shared" si="6"/>
        <v>67.23</v>
      </c>
      <c r="G122" s="378"/>
    </row>
    <row r="123" spans="1:7" s="210" customFormat="1" x14ac:dyDescent="0.25">
      <c r="A123" s="207"/>
      <c r="B123" s="232" t="s">
        <v>645</v>
      </c>
      <c r="C123" s="397" t="s">
        <v>646</v>
      </c>
      <c r="D123" s="285">
        <v>26.89</v>
      </c>
      <c r="E123" s="233">
        <v>3</v>
      </c>
      <c r="F123" s="388">
        <f t="shared" si="6"/>
        <v>80.67</v>
      </c>
      <c r="G123" s="378"/>
    </row>
    <row r="124" spans="1:7" s="210" customFormat="1" x14ac:dyDescent="0.25">
      <c r="A124" s="207"/>
      <c r="B124" s="232" t="s">
        <v>647</v>
      </c>
      <c r="C124" s="397" t="s">
        <v>648</v>
      </c>
      <c r="D124" s="285">
        <v>13.45</v>
      </c>
      <c r="E124" s="233">
        <v>1</v>
      </c>
      <c r="F124" s="388">
        <f t="shared" si="6"/>
        <v>13.45</v>
      </c>
      <c r="G124" s="378"/>
    </row>
    <row r="125" spans="1:7" s="210" customFormat="1" x14ac:dyDescent="0.25">
      <c r="A125" s="207"/>
      <c r="B125" s="232" t="s">
        <v>293</v>
      </c>
      <c r="C125" s="397" t="s">
        <v>649</v>
      </c>
      <c r="D125" s="285">
        <v>100.26</v>
      </c>
      <c r="E125" s="233">
        <v>1</v>
      </c>
      <c r="F125" s="388">
        <f t="shared" si="6"/>
        <v>100.26</v>
      </c>
      <c r="G125" s="378"/>
    </row>
    <row r="126" spans="1:7" s="210" customFormat="1" x14ac:dyDescent="0.25">
      <c r="A126" s="207"/>
      <c r="B126" s="232" t="s">
        <v>650</v>
      </c>
      <c r="C126" s="397" t="s">
        <v>651</v>
      </c>
      <c r="D126" s="285">
        <v>100.85</v>
      </c>
      <c r="E126" s="233">
        <v>7</v>
      </c>
      <c r="F126" s="388">
        <f t="shared" si="6"/>
        <v>705.94999999999993</v>
      </c>
      <c r="G126" s="378"/>
    </row>
    <row r="127" spans="1:7" s="210" customFormat="1" x14ac:dyDescent="0.25">
      <c r="A127" s="207"/>
      <c r="B127" s="232" t="s">
        <v>294</v>
      </c>
      <c r="C127" s="397" t="s">
        <v>652</v>
      </c>
      <c r="D127" s="285">
        <v>18.55</v>
      </c>
      <c r="E127" s="233">
        <v>2</v>
      </c>
      <c r="F127" s="388">
        <f t="shared" si="6"/>
        <v>37.1</v>
      </c>
      <c r="G127" s="378"/>
    </row>
    <row r="128" spans="1:7" s="210" customFormat="1" x14ac:dyDescent="0.25">
      <c r="A128" s="207"/>
      <c r="B128" s="232" t="s">
        <v>653</v>
      </c>
      <c r="C128" s="397" t="s">
        <v>654</v>
      </c>
      <c r="D128" s="285">
        <v>15.059999999999999</v>
      </c>
      <c r="E128" s="233">
        <v>1</v>
      </c>
      <c r="F128" s="388">
        <f t="shared" si="6"/>
        <v>15.059999999999999</v>
      </c>
      <c r="G128" s="378"/>
    </row>
    <row r="129" spans="1:7" s="210" customFormat="1" ht="30" x14ac:dyDescent="0.25">
      <c r="A129" s="207"/>
      <c r="B129" s="232" t="s">
        <v>295</v>
      </c>
      <c r="C129" s="397" t="s">
        <v>655</v>
      </c>
      <c r="D129" s="285">
        <v>37.89</v>
      </c>
      <c r="E129" s="233">
        <v>3</v>
      </c>
      <c r="F129" s="388">
        <f t="shared" si="6"/>
        <v>113.67</v>
      </c>
      <c r="G129" s="378"/>
    </row>
    <row r="130" spans="1:7" s="210" customFormat="1" x14ac:dyDescent="0.25">
      <c r="A130" s="207"/>
      <c r="B130" s="232" t="s">
        <v>296</v>
      </c>
      <c r="C130" s="397" t="s">
        <v>656</v>
      </c>
      <c r="D130" s="285">
        <v>12.11</v>
      </c>
      <c r="E130" s="233">
        <v>2</v>
      </c>
      <c r="F130" s="388">
        <f t="shared" si="6"/>
        <v>24.22</v>
      </c>
      <c r="G130" s="378"/>
    </row>
    <row r="131" spans="1:7" s="210" customFormat="1" x14ac:dyDescent="0.25">
      <c r="A131" s="207"/>
      <c r="B131" s="232" t="s">
        <v>657</v>
      </c>
      <c r="C131" s="397" t="s">
        <v>658</v>
      </c>
      <c r="D131" s="285">
        <v>91.98</v>
      </c>
      <c r="E131" s="233">
        <v>1</v>
      </c>
      <c r="F131" s="388">
        <f t="shared" si="6"/>
        <v>91.98</v>
      </c>
      <c r="G131" s="378"/>
    </row>
    <row r="132" spans="1:7" s="210" customFormat="1" x14ac:dyDescent="0.25">
      <c r="A132" s="207"/>
      <c r="B132" s="232" t="s">
        <v>659</v>
      </c>
      <c r="C132" s="397" t="s">
        <v>660</v>
      </c>
      <c r="D132" s="285">
        <v>91.98</v>
      </c>
      <c r="E132" s="233">
        <v>1</v>
      </c>
      <c r="F132" s="388">
        <f t="shared" si="6"/>
        <v>91.98</v>
      </c>
      <c r="G132" s="378"/>
    </row>
    <row r="133" spans="1:7" s="210" customFormat="1" x14ac:dyDescent="0.25">
      <c r="A133" s="207"/>
      <c r="B133" s="232" t="s">
        <v>297</v>
      </c>
      <c r="C133" s="397" t="s">
        <v>477</v>
      </c>
      <c r="D133" s="285">
        <v>12.32</v>
      </c>
      <c r="E133" s="233">
        <v>219</v>
      </c>
      <c r="F133" s="388">
        <f t="shared" si="6"/>
        <v>2698.08</v>
      </c>
      <c r="G133" s="378"/>
    </row>
    <row r="134" spans="1:7" s="210" customFormat="1" x14ac:dyDescent="0.25">
      <c r="A134" s="207"/>
      <c r="B134" s="232" t="s">
        <v>298</v>
      </c>
      <c r="C134" s="397" t="s">
        <v>478</v>
      </c>
      <c r="D134" s="285">
        <v>25.530000000000005</v>
      </c>
      <c r="E134" s="233">
        <v>91</v>
      </c>
      <c r="F134" s="388">
        <f t="shared" si="6"/>
        <v>2323.2300000000005</v>
      </c>
      <c r="G134" s="378"/>
    </row>
    <row r="135" spans="1:7" s="210" customFormat="1" x14ac:dyDescent="0.25">
      <c r="A135" s="207"/>
      <c r="B135" s="232" t="s">
        <v>299</v>
      </c>
      <c r="C135" s="397" t="s">
        <v>479</v>
      </c>
      <c r="D135" s="285">
        <v>27.66</v>
      </c>
      <c r="E135" s="233">
        <v>114</v>
      </c>
      <c r="F135" s="388">
        <f t="shared" si="6"/>
        <v>3153.2400000000002</v>
      </c>
      <c r="G135" s="378"/>
    </row>
    <row r="136" spans="1:7" s="210" customFormat="1" x14ac:dyDescent="0.25">
      <c r="A136" s="207"/>
      <c r="B136" s="232" t="s">
        <v>300</v>
      </c>
      <c r="C136" s="397" t="s">
        <v>480</v>
      </c>
      <c r="D136" s="285">
        <v>20.67</v>
      </c>
      <c r="E136" s="233">
        <v>40</v>
      </c>
      <c r="F136" s="388">
        <f t="shared" si="6"/>
        <v>826.80000000000007</v>
      </c>
      <c r="G136" s="378"/>
    </row>
    <row r="137" spans="1:7" s="210" customFormat="1" x14ac:dyDescent="0.25">
      <c r="A137" s="207"/>
      <c r="B137" s="232" t="s">
        <v>301</v>
      </c>
      <c r="C137" s="397" t="s">
        <v>481</v>
      </c>
      <c r="D137" s="285">
        <v>28.4</v>
      </c>
      <c r="E137" s="233">
        <v>14</v>
      </c>
      <c r="F137" s="388">
        <f t="shared" si="6"/>
        <v>397.59999999999997</v>
      </c>
      <c r="G137" s="378"/>
    </row>
    <row r="138" spans="1:7" s="210" customFormat="1" x14ac:dyDescent="0.25">
      <c r="A138" s="207"/>
      <c r="B138" s="232" t="s">
        <v>302</v>
      </c>
      <c r="C138" s="397" t="s">
        <v>482</v>
      </c>
      <c r="D138" s="285">
        <v>20.43</v>
      </c>
      <c r="E138" s="233">
        <v>43</v>
      </c>
      <c r="F138" s="388">
        <f t="shared" si="6"/>
        <v>878.49</v>
      </c>
      <c r="G138" s="378"/>
    </row>
    <row r="139" spans="1:7" s="210" customFormat="1" x14ac:dyDescent="0.25">
      <c r="A139" s="207"/>
      <c r="B139" s="232" t="s">
        <v>661</v>
      </c>
      <c r="C139" s="397" t="s">
        <v>662</v>
      </c>
      <c r="D139" s="285">
        <v>73.329999999999984</v>
      </c>
      <c r="E139" s="233">
        <v>1</v>
      </c>
      <c r="F139" s="388">
        <f t="shared" si="6"/>
        <v>73.329999999999984</v>
      </c>
      <c r="G139" s="378"/>
    </row>
    <row r="140" spans="1:7" s="210" customFormat="1" x14ac:dyDescent="0.25">
      <c r="A140" s="207"/>
      <c r="B140" s="232" t="s">
        <v>303</v>
      </c>
      <c r="C140" s="397" t="s">
        <v>483</v>
      </c>
      <c r="D140" s="285">
        <v>71.570000000000007</v>
      </c>
      <c r="E140" s="233">
        <v>7</v>
      </c>
      <c r="F140" s="388">
        <f t="shared" si="6"/>
        <v>500.99000000000007</v>
      </c>
      <c r="G140" s="378"/>
    </row>
    <row r="141" spans="1:7" s="210" customFormat="1" x14ac:dyDescent="0.25">
      <c r="A141" s="207"/>
      <c r="B141" s="232" t="s">
        <v>304</v>
      </c>
      <c r="C141" s="397" t="s">
        <v>484</v>
      </c>
      <c r="D141" s="285">
        <v>14.41</v>
      </c>
      <c r="E141" s="233">
        <v>80</v>
      </c>
      <c r="F141" s="388">
        <f t="shared" si="6"/>
        <v>1152.8</v>
      </c>
      <c r="G141" s="378"/>
    </row>
    <row r="142" spans="1:7" s="210" customFormat="1" x14ac:dyDescent="0.25">
      <c r="A142" s="207"/>
      <c r="B142" s="232" t="s">
        <v>663</v>
      </c>
      <c r="C142" s="397" t="s">
        <v>664</v>
      </c>
      <c r="D142" s="285">
        <v>5.94</v>
      </c>
      <c r="E142" s="233">
        <v>1</v>
      </c>
      <c r="F142" s="388">
        <f t="shared" si="6"/>
        <v>5.94</v>
      </c>
      <c r="G142" s="378"/>
    </row>
    <row r="143" spans="1:7" s="210" customFormat="1" x14ac:dyDescent="0.25">
      <c r="A143" s="207"/>
      <c r="B143" s="232" t="s">
        <v>305</v>
      </c>
      <c r="C143" s="397" t="s">
        <v>485</v>
      </c>
      <c r="D143" s="285">
        <v>18.489999999999998</v>
      </c>
      <c r="E143" s="233">
        <v>1</v>
      </c>
      <c r="F143" s="388">
        <f t="shared" si="6"/>
        <v>18.489999999999998</v>
      </c>
      <c r="G143" s="378"/>
    </row>
    <row r="144" spans="1:7" s="210" customFormat="1" x14ac:dyDescent="0.25">
      <c r="A144" s="207"/>
      <c r="B144" s="232" t="s">
        <v>306</v>
      </c>
      <c r="C144" s="397" t="s">
        <v>486</v>
      </c>
      <c r="D144" s="285">
        <v>38.03</v>
      </c>
      <c r="E144" s="233">
        <v>4</v>
      </c>
      <c r="F144" s="388">
        <f t="shared" si="6"/>
        <v>152.12</v>
      </c>
      <c r="G144" s="378"/>
    </row>
    <row r="145" spans="1:7" s="210" customFormat="1" x14ac:dyDescent="0.25">
      <c r="A145" s="207"/>
      <c r="B145" s="232" t="s">
        <v>307</v>
      </c>
      <c r="C145" s="397" t="s">
        <v>665</v>
      </c>
      <c r="D145" s="285">
        <v>40.53</v>
      </c>
      <c r="E145" s="233">
        <v>21</v>
      </c>
      <c r="F145" s="388">
        <f t="shared" si="6"/>
        <v>851.13</v>
      </c>
      <c r="G145" s="378"/>
    </row>
    <row r="146" spans="1:7" s="210" customFormat="1" x14ac:dyDescent="0.25">
      <c r="A146" s="207"/>
      <c r="B146" s="232" t="s">
        <v>308</v>
      </c>
      <c r="C146" s="397" t="s">
        <v>666</v>
      </c>
      <c r="D146" s="284">
        <v>21.14</v>
      </c>
      <c r="E146" s="270">
        <v>2</v>
      </c>
      <c r="F146" s="388">
        <f t="shared" si="6"/>
        <v>42.28</v>
      </c>
      <c r="G146" s="378"/>
    </row>
    <row r="147" spans="1:7" s="210" customFormat="1" x14ac:dyDescent="0.25">
      <c r="A147" s="207"/>
      <c r="B147" s="232" t="s">
        <v>309</v>
      </c>
      <c r="C147" s="397" t="s">
        <v>667</v>
      </c>
      <c r="D147" s="284">
        <v>42.74</v>
      </c>
      <c r="E147" s="270">
        <v>6</v>
      </c>
      <c r="F147" s="388">
        <f t="shared" si="6"/>
        <v>256.44</v>
      </c>
      <c r="G147" s="378"/>
    </row>
    <row r="148" spans="1:7" s="210" customFormat="1" x14ac:dyDescent="0.25">
      <c r="A148" s="207"/>
      <c r="B148" s="232" t="s">
        <v>310</v>
      </c>
      <c r="C148" s="397" t="s">
        <v>668</v>
      </c>
      <c r="D148" s="284">
        <v>22.39</v>
      </c>
      <c r="E148" s="270">
        <v>2</v>
      </c>
      <c r="F148" s="388">
        <f t="shared" si="6"/>
        <v>44.78</v>
      </c>
      <c r="G148" s="378"/>
    </row>
    <row r="149" spans="1:7" s="210" customFormat="1" x14ac:dyDescent="0.25">
      <c r="A149" s="207"/>
      <c r="B149" s="232" t="s">
        <v>311</v>
      </c>
      <c r="C149" s="397" t="s">
        <v>669</v>
      </c>
      <c r="D149" s="284">
        <v>44.85</v>
      </c>
      <c r="E149" s="270">
        <v>26</v>
      </c>
      <c r="F149" s="388">
        <f t="shared" si="6"/>
        <v>1166.1000000000001</v>
      </c>
      <c r="G149" s="378"/>
    </row>
    <row r="150" spans="1:7" s="210" customFormat="1" x14ac:dyDescent="0.25">
      <c r="A150" s="207"/>
      <c r="B150" s="232" t="s">
        <v>312</v>
      </c>
      <c r="C150" s="397" t="s">
        <v>487</v>
      </c>
      <c r="D150" s="284">
        <v>54.89</v>
      </c>
      <c r="E150" s="270">
        <v>6</v>
      </c>
      <c r="F150" s="388">
        <f t="shared" si="6"/>
        <v>329.34000000000003</v>
      </c>
      <c r="G150" s="378"/>
    </row>
    <row r="151" spans="1:7" s="210" customFormat="1" x14ac:dyDescent="0.25">
      <c r="A151" s="207"/>
      <c r="B151" s="232" t="s">
        <v>313</v>
      </c>
      <c r="C151" s="397" t="s">
        <v>670</v>
      </c>
      <c r="D151" s="284">
        <v>61.39</v>
      </c>
      <c r="E151" s="270">
        <v>22</v>
      </c>
      <c r="F151" s="388">
        <f t="shared" si="6"/>
        <v>1350.58</v>
      </c>
      <c r="G151" s="378"/>
    </row>
    <row r="152" spans="1:7" s="210" customFormat="1" ht="45" x14ac:dyDescent="0.25">
      <c r="A152" s="207"/>
      <c r="B152" s="232" t="s">
        <v>314</v>
      </c>
      <c r="C152" s="397" t="s">
        <v>488</v>
      </c>
      <c r="D152" s="284">
        <v>11.9</v>
      </c>
      <c r="E152" s="270">
        <v>148</v>
      </c>
      <c r="F152" s="388">
        <f t="shared" si="6"/>
        <v>1761.2</v>
      </c>
      <c r="G152" s="378"/>
    </row>
    <row r="153" spans="1:7" s="210" customFormat="1" ht="45" x14ac:dyDescent="0.25">
      <c r="A153" s="207"/>
      <c r="B153" s="232" t="s">
        <v>315</v>
      </c>
      <c r="C153" s="389" t="s">
        <v>489</v>
      </c>
      <c r="D153" s="284">
        <v>20.74</v>
      </c>
      <c r="E153" s="270">
        <v>332</v>
      </c>
      <c r="F153" s="388">
        <f t="shared" si="6"/>
        <v>6885.6799999999994</v>
      </c>
      <c r="G153" s="378"/>
    </row>
    <row r="154" spans="1:7" s="210" customFormat="1" ht="30" x14ac:dyDescent="0.25">
      <c r="A154" s="207"/>
      <c r="B154" s="232" t="s">
        <v>316</v>
      </c>
      <c r="C154" s="389" t="s">
        <v>671</v>
      </c>
      <c r="D154" s="284">
        <v>25.08</v>
      </c>
      <c r="E154" s="270">
        <v>2</v>
      </c>
      <c r="F154" s="388">
        <f t="shared" si="6"/>
        <v>50.16</v>
      </c>
      <c r="G154" s="378"/>
    </row>
    <row r="155" spans="1:7" s="210" customFormat="1" x14ac:dyDescent="0.25">
      <c r="A155" s="207"/>
      <c r="B155" s="232" t="s">
        <v>317</v>
      </c>
      <c r="C155" s="389" t="s">
        <v>490</v>
      </c>
      <c r="D155" s="284">
        <v>37.72</v>
      </c>
      <c r="E155" s="270">
        <v>45</v>
      </c>
      <c r="F155" s="388">
        <f t="shared" si="6"/>
        <v>1697.3999999999999</v>
      </c>
      <c r="G155" s="378"/>
    </row>
    <row r="156" spans="1:7" s="210" customFormat="1" x14ac:dyDescent="0.25">
      <c r="A156" s="207"/>
      <c r="B156" s="232" t="s">
        <v>318</v>
      </c>
      <c r="C156" s="389" t="s">
        <v>491</v>
      </c>
      <c r="D156" s="284">
        <v>44.440000000000005</v>
      </c>
      <c r="E156" s="270">
        <v>156</v>
      </c>
      <c r="F156" s="388">
        <f t="shared" si="6"/>
        <v>6932.64</v>
      </c>
      <c r="G156" s="378"/>
    </row>
    <row r="157" spans="1:7" s="210" customFormat="1" x14ac:dyDescent="0.25">
      <c r="A157" s="207"/>
      <c r="B157" s="232" t="s">
        <v>672</v>
      </c>
      <c r="C157" s="389" t="s">
        <v>673</v>
      </c>
      <c r="D157" s="284">
        <v>80.47999999999999</v>
      </c>
      <c r="E157" s="270">
        <v>2</v>
      </c>
      <c r="F157" s="388">
        <f t="shared" si="6"/>
        <v>160.95999999999998</v>
      </c>
      <c r="G157" s="378"/>
    </row>
    <row r="158" spans="1:7" s="210" customFormat="1" ht="30" x14ac:dyDescent="0.25">
      <c r="A158" s="207"/>
      <c r="B158" s="232" t="s">
        <v>319</v>
      </c>
      <c r="C158" s="389" t="s">
        <v>492</v>
      </c>
      <c r="D158" s="284">
        <v>11.9</v>
      </c>
      <c r="E158" s="270">
        <v>29</v>
      </c>
      <c r="F158" s="388">
        <f t="shared" ref="F158:F172" si="9">D158*E158</f>
        <v>345.1</v>
      </c>
      <c r="G158" s="378"/>
    </row>
    <row r="159" spans="1:7" s="210" customFormat="1" ht="30" x14ac:dyDescent="0.25">
      <c r="A159" s="207"/>
      <c r="B159" s="232" t="s">
        <v>320</v>
      </c>
      <c r="C159" s="389" t="s">
        <v>493</v>
      </c>
      <c r="D159" s="284">
        <v>20.74</v>
      </c>
      <c r="E159" s="270">
        <v>172</v>
      </c>
      <c r="F159" s="388">
        <f t="shared" si="9"/>
        <v>3567.2799999999997</v>
      </c>
      <c r="G159" s="378"/>
    </row>
    <row r="160" spans="1:7" s="210" customFormat="1" ht="30" x14ac:dyDescent="0.25">
      <c r="A160" s="207"/>
      <c r="B160" s="232" t="s">
        <v>321</v>
      </c>
      <c r="C160" s="389" t="s">
        <v>674</v>
      </c>
      <c r="D160" s="284">
        <v>26.63</v>
      </c>
      <c r="E160" s="270">
        <v>8</v>
      </c>
      <c r="F160" s="388">
        <f t="shared" si="9"/>
        <v>213.04</v>
      </c>
      <c r="G160" s="378"/>
    </row>
    <row r="161" spans="1:27" s="210" customFormat="1" ht="30" x14ac:dyDescent="0.25">
      <c r="A161" s="207"/>
      <c r="B161" s="232" t="s">
        <v>675</v>
      </c>
      <c r="C161" s="389" t="s">
        <v>676</v>
      </c>
      <c r="D161" s="284">
        <v>24.31</v>
      </c>
      <c r="E161" s="270">
        <v>3</v>
      </c>
      <c r="F161" s="388">
        <f t="shared" si="9"/>
        <v>72.929999999999993</v>
      </c>
      <c r="G161" s="378"/>
    </row>
    <row r="162" spans="1:27" s="210" customFormat="1" x14ac:dyDescent="0.25">
      <c r="A162" s="207"/>
      <c r="B162" s="232" t="s">
        <v>322</v>
      </c>
      <c r="C162" s="389" t="s">
        <v>677</v>
      </c>
      <c r="D162" s="284">
        <v>32.770000000000003</v>
      </c>
      <c r="E162" s="270">
        <v>13</v>
      </c>
      <c r="F162" s="388">
        <f t="shared" si="9"/>
        <v>426.01000000000005</v>
      </c>
      <c r="G162" s="378"/>
    </row>
    <row r="163" spans="1:27" s="210" customFormat="1" x14ac:dyDescent="0.25">
      <c r="A163" s="207"/>
      <c r="B163" s="232" t="s">
        <v>323</v>
      </c>
      <c r="C163" s="389" t="s">
        <v>678</v>
      </c>
      <c r="D163" s="284">
        <v>53.78</v>
      </c>
      <c r="E163" s="270">
        <v>9</v>
      </c>
      <c r="F163" s="388">
        <f t="shared" si="9"/>
        <v>484.02</v>
      </c>
      <c r="G163" s="378"/>
    </row>
    <row r="164" spans="1:27" x14ac:dyDescent="0.25">
      <c r="B164" s="232" t="s">
        <v>324</v>
      </c>
      <c r="C164" s="389" t="s">
        <v>679</v>
      </c>
      <c r="D164" s="284">
        <v>121.02</v>
      </c>
      <c r="E164" s="270">
        <v>9</v>
      </c>
      <c r="F164" s="388">
        <f t="shared" si="9"/>
        <v>1089.18</v>
      </c>
    </row>
    <row r="165" spans="1:27" x14ac:dyDescent="0.25">
      <c r="B165" s="232" t="s">
        <v>680</v>
      </c>
      <c r="C165" s="389" t="s">
        <v>681</v>
      </c>
      <c r="D165" s="284">
        <v>16.14</v>
      </c>
      <c r="E165" s="270">
        <v>3</v>
      </c>
      <c r="F165" s="388">
        <f t="shared" si="9"/>
        <v>48.42</v>
      </c>
    </row>
    <row r="166" spans="1:27" ht="30" x14ac:dyDescent="0.25">
      <c r="B166" s="232" t="s">
        <v>325</v>
      </c>
      <c r="C166" s="389" t="s">
        <v>494</v>
      </c>
      <c r="D166" s="284">
        <v>64.25</v>
      </c>
      <c r="E166" s="270">
        <v>1</v>
      </c>
      <c r="F166" s="388">
        <f t="shared" si="9"/>
        <v>64.25</v>
      </c>
    </row>
    <row r="167" spans="1:27" ht="45" x14ac:dyDescent="0.25">
      <c r="B167" s="232" t="s">
        <v>326</v>
      </c>
      <c r="C167" s="389" t="s">
        <v>495</v>
      </c>
      <c r="D167" s="284">
        <v>86.31</v>
      </c>
      <c r="E167" s="270">
        <v>14</v>
      </c>
      <c r="F167" s="388">
        <f t="shared" si="9"/>
        <v>1208.3400000000001</v>
      </c>
    </row>
    <row r="168" spans="1:27" ht="30" x14ac:dyDescent="0.25">
      <c r="B168" s="232" t="s">
        <v>327</v>
      </c>
      <c r="C168" s="389" t="s">
        <v>682</v>
      </c>
      <c r="D168" s="284">
        <v>98.740000000000009</v>
      </c>
      <c r="E168" s="270">
        <v>1</v>
      </c>
      <c r="F168" s="388">
        <f t="shared" si="9"/>
        <v>98.740000000000009</v>
      </c>
    </row>
    <row r="169" spans="1:27" x14ac:dyDescent="0.25">
      <c r="B169" s="232" t="s">
        <v>328</v>
      </c>
      <c r="C169" s="389" t="s">
        <v>683</v>
      </c>
      <c r="D169" s="284">
        <v>18.5</v>
      </c>
      <c r="E169" s="270">
        <v>2</v>
      </c>
      <c r="F169" s="388">
        <f t="shared" si="9"/>
        <v>37</v>
      </c>
    </row>
    <row r="170" spans="1:27" x14ac:dyDescent="0.25">
      <c r="B170" s="232" t="s">
        <v>329</v>
      </c>
      <c r="C170" s="389" t="s">
        <v>496</v>
      </c>
      <c r="D170" s="284">
        <v>1.02</v>
      </c>
      <c r="E170" s="270">
        <v>1</v>
      </c>
      <c r="F170" s="388">
        <f t="shared" si="9"/>
        <v>1.02</v>
      </c>
    </row>
    <row r="171" spans="1:27" x14ac:dyDescent="0.25">
      <c r="B171" s="232" t="s">
        <v>330</v>
      </c>
      <c r="C171" s="389" t="s">
        <v>497</v>
      </c>
      <c r="D171" s="284">
        <v>67.88</v>
      </c>
      <c r="E171" s="270">
        <v>3</v>
      </c>
      <c r="F171" s="388">
        <f t="shared" si="9"/>
        <v>203.64</v>
      </c>
    </row>
    <row r="172" spans="1:27" x14ac:dyDescent="0.25">
      <c r="B172" s="232" t="s">
        <v>684</v>
      </c>
      <c r="C172" s="398" t="s">
        <v>685</v>
      </c>
      <c r="D172" s="284">
        <v>127.46</v>
      </c>
      <c r="E172" s="270">
        <v>1</v>
      </c>
      <c r="F172" s="388">
        <f t="shared" si="9"/>
        <v>127.46</v>
      </c>
    </row>
    <row r="173" spans="1:27" x14ac:dyDescent="0.25">
      <c r="B173" s="245"/>
      <c r="C173" s="271" t="s">
        <v>331</v>
      </c>
      <c r="D173" s="272"/>
      <c r="E173" s="273">
        <f>SUM(E113:E172)</f>
        <v>1698</v>
      </c>
      <c r="F173" s="383">
        <f>SUM(F113:F172)</f>
        <v>51621.02</v>
      </c>
    </row>
    <row r="174" spans="1:27" x14ac:dyDescent="0.25">
      <c r="B174" s="245"/>
      <c r="C174" s="277" t="s">
        <v>247</v>
      </c>
      <c r="D174" s="254"/>
      <c r="E174" s="254">
        <f t="shared" ref="E174:F174" si="10">E173/$F$197</f>
        <v>0.26395150007772422</v>
      </c>
      <c r="F174" s="385">
        <f t="shared" si="10"/>
        <v>8.0244085185760916</v>
      </c>
    </row>
    <row r="175" spans="1:27" x14ac:dyDescent="0.25">
      <c r="B175" s="245"/>
      <c r="C175" s="167" t="s">
        <v>248</v>
      </c>
      <c r="D175" s="386"/>
      <c r="E175" s="386"/>
      <c r="F175" s="264">
        <f>F173/$F$198</f>
        <v>1.1820163949441289</v>
      </c>
    </row>
    <row r="176" spans="1:27" s="281" customFormat="1" ht="30" x14ac:dyDescent="0.25">
      <c r="B176" s="242" t="s">
        <v>332</v>
      </c>
      <c r="C176" s="399" t="s">
        <v>686</v>
      </c>
      <c r="D176" s="395">
        <v>76.819999999999993</v>
      </c>
      <c r="E176" s="243">
        <v>4</v>
      </c>
      <c r="F176" s="388">
        <f t="shared" ref="F176:F184" si="11">D176*E176</f>
        <v>307.27999999999997</v>
      </c>
      <c r="G176" s="378"/>
      <c r="H176" s="213"/>
      <c r="I176" s="213"/>
      <c r="J176" s="213"/>
      <c r="K176" s="213"/>
      <c r="L176" s="213"/>
      <c r="M176" s="213"/>
      <c r="N176" s="213"/>
      <c r="O176" s="213"/>
      <c r="P176" s="213"/>
      <c r="Q176" s="213"/>
      <c r="R176" s="213"/>
      <c r="S176" s="213"/>
      <c r="T176" s="213"/>
      <c r="U176" s="213"/>
      <c r="V176" s="213"/>
      <c r="W176" s="213"/>
      <c r="X176" s="213"/>
      <c r="Y176" s="213"/>
      <c r="Z176" s="213"/>
      <c r="AA176" s="213"/>
    </row>
    <row r="177" spans="2:27" s="281" customFormat="1" ht="30" x14ac:dyDescent="0.25">
      <c r="B177" s="242" t="s">
        <v>687</v>
      </c>
      <c r="C177" s="399" t="s">
        <v>688</v>
      </c>
      <c r="D177" s="395">
        <v>93.42</v>
      </c>
      <c r="E177" s="243">
        <v>1</v>
      </c>
      <c r="F177" s="388">
        <f t="shared" si="11"/>
        <v>93.42</v>
      </c>
      <c r="G177" s="378"/>
      <c r="H177" s="213"/>
      <c r="I177" s="213"/>
      <c r="J177" s="213"/>
      <c r="K177" s="213"/>
      <c r="L177" s="213"/>
      <c r="M177" s="213"/>
      <c r="N177" s="213"/>
      <c r="O177" s="213"/>
      <c r="P177" s="213"/>
      <c r="Q177" s="213"/>
      <c r="R177" s="213"/>
      <c r="S177" s="213"/>
      <c r="T177" s="213"/>
      <c r="U177" s="213"/>
      <c r="V177" s="213"/>
      <c r="W177" s="213"/>
      <c r="X177" s="213"/>
      <c r="Y177" s="213"/>
      <c r="Z177" s="213"/>
      <c r="AA177" s="213"/>
    </row>
    <row r="178" spans="2:27" s="281" customFormat="1" ht="45" x14ac:dyDescent="0.25">
      <c r="B178" s="242" t="s">
        <v>689</v>
      </c>
      <c r="C178" s="399" t="s">
        <v>690</v>
      </c>
      <c r="D178" s="395">
        <v>104</v>
      </c>
      <c r="E178" s="243">
        <v>1</v>
      </c>
      <c r="F178" s="388">
        <f t="shared" si="11"/>
        <v>104</v>
      </c>
      <c r="G178" s="378"/>
      <c r="H178" s="213"/>
      <c r="I178" s="213"/>
      <c r="J178" s="213"/>
      <c r="K178" s="213"/>
      <c r="L178" s="213"/>
      <c r="M178" s="213"/>
      <c r="N178" s="213"/>
      <c r="O178" s="213"/>
      <c r="P178" s="213"/>
      <c r="Q178" s="213"/>
      <c r="R178" s="213"/>
      <c r="S178" s="213"/>
      <c r="T178" s="213"/>
      <c r="U178" s="213"/>
      <c r="V178" s="213"/>
      <c r="W178" s="213"/>
      <c r="X178" s="213"/>
      <c r="Y178" s="213"/>
      <c r="Z178" s="213"/>
      <c r="AA178" s="213"/>
    </row>
    <row r="179" spans="2:27" s="281" customFormat="1" ht="45" x14ac:dyDescent="0.25">
      <c r="B179" s="242" t="s">
        <v>333</v>
      </c>
      <c r="C179" s="399" t="s">
        <v>691</v>
      </c>
      <c r="D179" s="395">
        <v>17.690000000000001</v>
      </c>
      <c r="E179" s="243">
        <v>6</v>
      </c>
      <c r="F179" s="388">
        <f t="shared" si="11"/>
        <v>106.14000000000001</v>
      </c>
      <c r="G179" s="378"/>
      <c r="H179" s="213"/>
      <c r="I179" s="213"/>
      <c r="J179" s="213"/>
      <c r="K179" s="213"/>
      <c r="L179" s="213"/>
      <c r="M179" s="213"/>
      <c r="N179" s="213"/>
      <c r="O179" s="213"/>
      <c r="P179" s="213"/>
      <c r="Q179" s="213"/>
      <c r="R179" s="213"/>
      <c r="S179" s="213"/>
      <c r="T179" s="213"/>
      <c r="U179" s="213"/>
      <c r="V179" s="213"/>
      <c r="W179" s="213"/>
      <c r="X179" s="213"/>
      <c r="Y179" s="213"/>
      <c r="Z179" s="213"/>
      <c r="AA179" s="213"/>
    </row>
    <row r="180" spans="2:27" ht="75" x14ac:dyDescent="0.25">
      <c r="B180" s="232" t="s">
        <v>334</v>
      </c>
      <c r="C180" s="396" t="s">
        <v>692</v>
      </c>
      <c r="D180" s="285">
        <v>22.099999999999998</v>
      </c>
      <c r="E180" s="233">
        <v>4</v>
      </c>
      <c r="F180" s="388">
        <f t="shared" si="11"/>
        <v>88.399999999999991</v>
      </c>
    </row>
    <row r="181" spans="2:27" ht="150" x14ac:dyDescent="0.25">
      <c r="B181" s="232" t="s">
        <v>335</v>
      </c>
      <c r="C181" s="389" t="s">
        <v>498</v>
      </c>
      <c r="D181" s="284">
        <v>33.32</v>
      </c>
      <c r="E181" s="270">
        <v>30</v>
      </c>
      <c r="F181" s="388">
        <f t="shared" si="11"/>
        <v>999.6</v>
      </c>
    </row>
    <row r="182" spans="2:27" ht="105" x14ac:dyDescent="0.25">
      <c r="B182" s="232" t="s">
        <v>336</v>
      </c>
      <c r="C182" s="389" t="s">
        <v>693</v>
      </c>
      <c r="D182" s="284">
        <v>63.46</v>
      </c>
      <c r="E182" s="270">
        <v>1</v>
      </c>
      <c r="F182" s="382">
        <f t="shared" si="11"/>
        <v>63.46</v>
      </c>
    </row>
    <row r="183" spans="2:27" x14ac:dyDescent="0.25">
      <c r="B183" s="232" t="s">
        <v>337</v>
      </c>
      <c r="C183" s="389" t="s">
        <v>694</v>
      </c>
      <c r="D183" s="284">
        <v>112.74000000000002</v>
      </c>
      <c r="E183" s="270">
        <v>7</v>
      </c>
      <c r="F183" s="382">
        <f t="shared" si="11"/>
        <v>789.18000000000018</v>
      </c>
    </row>
    <row r="184" spans="2:27" x14ac:dyDescent="0.25">
      <c r="B184" s="232" t="s">
        <v>695</v>
      </c>
      <c r="C184" s="389" t="s">
        <v>696</v>
      </c>
      <c r="D184" s="284">
        <v>17.38</v>
      </c>
      <c r="E184" s="270">
        <v>1</v>
      </c>
      <c r="F184" s="382">
        <f t="shared" si="11"/>
        <v>17.38</v>
      </c>
    </row>
    <row r="185" spans="2:27" x14ac:dyDescent="0.25">
      <c r="B185" s="245"/>
      <c r="C185" s="283" t="s">
        <v>338</v>
      </c>
      <c r="D185" s="272"/>
      <c r="E185" s="273">
        <f>SUM(E176:E184)</f>
        <v>55</v>
      </c>
      <c r="F185" s="383">
        <f t="shared" ref="F185" si="12">SUM(F176:F184)</f>
        <v>2568.8600000000006</v>
      </c>
    </row>
    <row r="186" spans="2:27" x14ac:dyDescent="0.25">
      <c r="B186" s="245"/>
      <c r="C186" s="277" t="s">
        <v>247</v>
      </c>
      <c r="D186" s="284"/>
      <c r="E186" s="254">
        <f t="shared" ref="E186:F186" si="13">E185/$F$197</f>
        <v>8.5496657857920093E-3</v>
      </c>
      <c r="F186" s="385">
        <f t="shared" si="13"/>
        <v>0.39932535364526667</v>
      </c>
    </row>
    <row r="187" spans="2:27" x14ac:dyDescent="0.25">
      <c r="B187" s="245"/>
      <c r="C187" s="167" t="s">
        <v>248</v>
      </c>
      <c r="D187" s="285"/>
      <c r="E187" s="386"/>
      <c r="F187" s="264">
        <f>F185/$F$198</f>
        <v>5.8821670635647569E-2</v>
      </c>
    </row>
    <row r="188" spans="2:27" s="281" customFormat="1" x14ac:dyDescent="0.25">
      <c r="B188" s="242" t="s">
        <v>697</v>
      </c>
      <c r="C188" s="399" t="s">
        <v>698</v>
      </c>
      <c r="D188" s="395">
        <v>1.25</v>
      </c>
      <c r="E188" s="243">
        <v>1</v>
      </c>
      <c r="F188" s="400">
        <f>D188*E188</f>
        <v>1.25</v>
      </c>
      <c r="G188" s="378"/>
      <c r="H188" s="213"/>
      <c r="I188" s="213"/>
      <c r="J188" s="213"/>
      <c r="K188" s="213"/>
      <c r="L188" s="213"/>
      <c r="M188" s="213"/>
      <c r="N188" s="213"/>
      <c r="O188" s="213"/>
      <c r="P188" s="213"/>
      <c r="Q188" s="213"/>
      <c r="R188" s="213"/>
      <c r="S188" s="213"/>
      <c r="T188" s="213"/>
      <c r="U188" s="213"/>
      <c r="V188" s="213"/>
      <c r="W188" s="213"/>
      <c r="X188" s="213"/>
      <c r="Y188" s="213"/>
      <c r="Z188" s="213"/>
      <c r="AA188" s="213"/>
    </row>
    <row r="189" spans="2:27" s="281" customFormat="1" ht="60" x14ac:dyDescent="0.25">
      <c r="B189" s="242" t="s">
        <v>699</v>
      </c>
      <c r="C189" s="401" t="s">
        <v>700</v>
      </c>
      <c r="D189" s="395">
        <v>80.680000000000007</v>
      </c>
      <c r="E189" s="243">
        <v>88</v>
      </c>
      <c r="F189" s="400">
        <f t="shared" ref="F189" si="14">D189*E189</f>
        <v>7099.84</v>
      </c>
      <c r="G189" s="378"/>
      <c r="H189" s="213"/>
      <c r="I189" s="213"/>
      <c r="J189" s="213"/>
      <c r="K189" s="213"/>
      <c r="L189" s="213"/>
      <c r="M189" s="213"/>
      <c r="N189" s="213"/>
      <c r="O189" s="213"/>
      <c r="P189" s="213"/>
      <c r="Q189" s="213"/>
      <c r="R189" s="213"/>
      <c r="S189" s="213"/>
      <c r="T189" s="213"/>
      <c r="U189" s="213"/>
      <c r="V189" s="213"/>
      <c r="W189" s="213"/>
      <c r="X189" s="213"/>
      <c r="Y189" s="213"/>
      <c r="Z189" s="213"/>
      <c r="AA189" s="213"/>
    </row>
    <row r="190" spans="2:27" s="281" customFormat="1" x14ac:dyDescent="0.25">
      <c r="B190" s="402"/>
      <c r="C190" s="403" t="s">
        <v>701</v>
      </c>
      <c r="D190" s="294"/>
      <c r="E190" s="404">
        <f t="shared" ref="E190:F190" si="15">SUM(E188:E189)</f>
        <v>89</v>
      </c>
      <c r="F190" s="405">
        <f t="shared" si="15"/>
        <v>7101.09</v>
      </c>
      <c r="G190" s="378"/>
      <c r="H190" s="213"/>
      <c r="I190" s="213"/>
      <c r="J190" s="213"/>
      <c r="K190" s="213"/>
      <c r="L190" s="213"/>
      <c r="M190" s="213"/>
      <c r="N190" s="213"/>
      <c r="O190" s="213"/>
      <c r="P190" s="213"/>
      <c r="Q190" s="213"/>
      <c r="R190" s="213"/>
      <c r="S190" s="213"/>
      <c r="T190" s="213"/>
      <c r="U190" s="213"/>
      <c r="V190" s="213"/>
      <c r="W190" s="213"/>
      <c r="X190" s="213"/>
      <c r="Y190" s="213"/>
      <c r="Z190" s="213"/>
      <c r="AA190" s="213"/>
    </row>
    <row r="191" spans="2:27" s="281" customFormat="1" x14ac:dyDescent="0.25">
      <c r="B191" s="406"/>
      <c r="C191" s="277" t="s">
        <v>247</v>
      </c>
      <c r="D191" s="395"/>
      <c r="E191" s="395"/>
      <c r="F191" s="407"/>
      <c r="G191" s="378"/>
      <c r="H191" s="213"/>
      <c r="I191" s="213"/>
      <c r="J191" s="213"/>
      <c r="K191" s="213"/>
      <c r="L191" s="213"/>
      <c r="M191" s="213"/>
      <c r="N191" s="213"/>
      <c r="O191" s="213"/>
      <c r="P191" s="213"/>
      <c r="Q191" s="213"/>
      <c r="R191" s="213"/>
      <c r="S191" s="213"/>
      <c r="T191" s="213"/>
      <c r="U191" s="213"/>
      <c r="V191" s="213"/>
      <c r="W191" s="213"/>
      <c r="X191" s="213"/>
      <c r="Y191" s="213"/>
      <c r="Z191" s="213"/>
      <c r="AA191" s="213"/>
    </row>
    <row r="192" spans="2:27" s="281" customFormat="1" x14ac:dyDescent="0.25">
      <c r="B192" s="406"/>
      <c r="C192" s="167" t="s">
        <v>248</v>
      </c>
      <c r="D192" s="395"/>
      <c r="E192" s="395"/>
      <c r="F192" s="264">
        <f>F190/$F$198</f>
        <v>0.16260052207363987</v>
      </c>
      <c r="G192" s="378"/>
      <c r="H192" s="213"/>
      <c r="I192" s="213"/>
      <c r="J192" s="213"/>
      <c r="K192" s="213"/>
      <c r="L192" s="213"/>
      <c r="M192" s="213"/>
      <c r="N192" s="213"/>
      <c r="O192" s="213"/>
      <c r="P192" s="213"/>
      <c r="Q192" s="213"/>
      <c r="R192" s="213"/>
      <c r="S192" s="213"/>
      <c r="T192" s="213"/>
      <c r="U192" s="213"/>
      <c r="V192" s="213"/>
      <c r="W192" s="213"/>
      <c r="X192" s="213"/>
      <c r="Y192" s="213"/>
      <c r="Z192" s="213"/>
      <c r="AA192" s="213"/>
    </row>
    <row r="193" spans="1:7" x14ac:dyDescent="0.25">
      <c r="B193" s="232"/>
      <c r="C193" s="292" t="s">
        <v>501</v>
      </c>
      <c r="D193" s="293"/>
      <c r="E193" s="294">
        <f>E14+E45+E85+E173+E185+E190+E110</f>
        <v>3195</v>
      </c>
      <c r="F193" s="408">
        <f t="shared" ref="F193" si="16">F14+F45+F85+F173+F185+F190+F110</f>
        <v>97913.180000000008</v>
      </c>
    </row>
    <row r="194" spans="1:7" x14ac:dyDescent="0.25">
      <c r="C194" s="298" t="s">
        <v>247</v>
      </c>
      <c r="D194" s="299"/>
      <c r="E194" s="301">
        <f>E193/$F$197</f>
        <v>0.49665785792009948</v>
      </c>
      <c r="F194" s="409">
        <f>F193/$F$197</f>
        <v>15.220453909528992</v>
      </c>
      <c r="G194" s="410"/>
    </row>
    <row r="195" spans="1:7" x14ac:dyDescent="0.25">
      <c r="F195" s="411"/>
      <c r="G195" s="410"/>
    </row>
    <row r="196" spans="1:7" s="210" customFormat="1" x14ac:dyDescent="0.25">
      <c r="A196" s="207"/>
      <c r="B196" s="207"/>
      <c r="C196" s="207"/>
      <c r="D196" s="208"/>
      <c r="E196" s="208"/>
      <c r="F196" s="412"/>
      <c r="G196" s="378"/>
    </row>
    <row r="197" spans="1:7" s="210" customFormat="1" ht="15.75" x14ac:dyDescent="0.25">
      <c r="A197" s="207"/>
      <c r="B197" s="1500" t="s">
        <v>339</v>
      </c>
      <c r="C197" s="1500"/>
      <c r="D197" s="1500"/>
      <c r="E197" s="321"/>
      <c r="F197" s="413">
        <v>6433</v>
      </c>
      <c r="G197" s="414"/>
    </row>
    <row r="198" spans="1:7" s="210" customFormat="1" x14ac:dyDescent="0.25">
      <c r="A198" s="207"/>
      <c r="B198" s="325"/>
      <c r="C198" s="1501" t="s">
        <v>340</v>
      </c>
      <c r="D198" s="1501"/>
      <c r="E198" s="321"/>
      <c r="F198" s="329">
        <v>43672</v>
      </c>
      <c r="G198" s="415"/>
    </row>
    <row r="199" spans="1:7" s="210" customFormat="1" x14ac:dyDescent="0.25">
      <c r="A199" s="207"/>
      <c r="B199" s="325"/>
      <c r="C199" s="328"/>
      <c r="D199" s="208"/>
      <c r="E199" s="321"/>
      <c r="F199" s="329"/>
      <c r="G199" s="415"/>
    </row>
    <row r="200" spans="1:7" s="210" customFormat="1" ht="15.75" x14ac:dyDescent="0.25">
      <c r="A200" s="207"/>
      <c r="B200" s="331"/>
      <c r="C200" s="1502" t="s">
        <v>114</v>
      </c>
      <c r="D200" s="1502"/>
      <c r="E200" s="332"/>
      <c r="F200" s="333">
        <f>ROUND(F198/F197,1)</f>
        <v>6.8</v>
      </c>
      <c r="G200" s="414"/>
    </row>
    <row r="201" spans="1:7" s="210" customFormat="1" x14ac:dyDescent="0.25">
      <c r="A201" s="207"/>
      <c r="B201" s="207"/>
      <c r="C201" s="207"/>
      <c r="D201" s="208"/>
      <c r="E201" s="208"/>
      <c r="F201" s="412"/>
      <c r="G201" s="378"/>
    </row>
    <row r="202" spans="1:7" s="210" customFormat="1" x14ac:dyDescent="0.25">
      <c r="A202" s="207"/>
      <c r="B202" s="207"/>
      <c r="C202" s="207"/>
      <c r="D202" s="208"/>
      <c r="E202" s="208"/>
      <c r="F202" s="377"/>
      <c r="G202" s="378"/>
    </row>
    <row r="203" spans="1:7" s="210" customFormat="1" x14ac:dyDescent="0.25">
      <c r="A203" s="207"/>
      <c r="B203" s="207"/>
      <c r="C203" s="207"/>
      <c r="D203" s="208"/>
      <c r="E203" s="208"/>
      <c r="F203" s="377"/>
      <c r="G203" s="378"/>
    </row>
    <row r="204" spans="1:7" s="210" customFormat="1" x14ac:dyDescent="0.25">
      <c r="A204" s="207"/>
      <c r="B204" s="335"/>
      <c r="C204" s="335" t="s">
        <v>502</v>
      </c>
      <c r="D204" s="336"/>
      <c r="E204" s="336"/>
      <c r="F204" s="416"/>
      <c r="G204" s="417"/>
    </row>
    <row r="205" spans="1:7" s="210" customFormat="1" x14ac:dyDescent="0.25">
      <c r="A205" s="207"/>
      <c r="B205" s="342" t="s">
        <v>341</v>
      </c>
      <c r="C205" s="343" t="s">
        <v>342</v>
      </c>
      <c r="D205" s="344">
        <v>15.939999999999998</v>
      </c>
      <c r="E205" s="345">
        <v>97</v>
      </c>
      <c r="F205" s="418">
        <f>D205*E205</f>
        <v>1546.1799999999998</v>
      </c>
      <c r="G205" s="417"/>
    </row>
    <row r="206" spans="1:7" s="210" customFormat="1" x14ac:dyDescent="0.25">
      <c r="A206" s="207"/>
      <c r="B206" s="342" t="s">
        <v>343</v>
      </c>
      <c r="C206" s="343" t="s">
        <v>344</v>
      </c>
      <c r="D206" s="344">
        <v>3.9799999999999995</v>
      </c>
      <c r="E206" s="345">
        <v>6437</v>
      </c>
      <c r="F206" s="418">
        <f>D206*E206</f>
        <v>25619.26</v>
      </c>
      <c r="G206" s="417"/>
    </row>
    <row r="207" spans="1:7" s="210" customFormat="1" ht="25.5" x14ac:dyDescent="0.25">
      <c r="A207" s="207"/>
      <c r="B207" s="342" t="s">
        <v>345</v>
      </c>
      <c r="C207" s="343" t="s">
        <v>346</v>
      </c>
      <c r="D207" s="344">
        <v>3.7399999999999998</v>
      </c>
      <c r="E207" s="345">
        <v>457</v>
      </c>
      <c r="F207" s="418">
        <f>D207*E207</f>
        <v>1709.1799999999998</v>
      </c>
      <c r="G207" s="417"/>
    </row>
    <row r="208" spans="1:7" s="210" customFormat="1" x14ac:dyDescent="0.25">
      <c r="A208" s="207"/>
      <c r="B208" s="338"/>
      <c r="C208" s="354" t="s">
        <v>347</v>
      </c>
      <c r="D208" s="355"/>
      <c r="E208" s="355">
        <f>SUM(E205:E207)</f>
        <v>6991</v>
      </c>
      <c r="F208" s="419">
        <f>SUM(F205:F207)</f>
        <v>28874.62</v>
      </c>
      <c r="G208" s="417"/>
    </row>
    <row r="209" spans="1:7" s="210" customFormat="1" x14ac:dyDescent="0.25">
      <c r="A209" s="207"/>
      <c r="B209" s="338"/>
      <c r="C209" s="277" t="s">
        <v>247</v>
      </c>
      <c r="D209" s="420"/>
      <c r="E209" s="421">
        <f>E208/$F$213</f>
        <v>1.4489119170984457</v>
      </c>
      <c r="F209" s="422">
        <f>F208/$F$213</f>
        <v>5.9843772020725385</v>
      </c>
      <c r="G209" s="417"/>
    </row>
    <row r="210" spans="1:7" s="210" customFormat="1" x14ac:dyDescent="0.25">
      <c r="A210" s="207"/>
      <c r="B210" s="338"/>
      <c r="C210" s="167" t="s">
        <v>248</v>
      </c>
      <c r="D210" s="336"/>
      <c r="E210" s="336"/>
      <c r="F210" s="264">
        <f>F208/$F$214</f>
        <v>0.89044993369722758</v>
      </c>
      <c r="G210" s="417"/>
    </row>
    <row r="211" spans="1:7" s="210" customFormat="1" x14ac:dyDescent="0.25">
      <c r="A211" s="207"/>
      <c r="B211" s="338"/>
      <c r="C211" s="338"/>
      <c r="D211" s="336"/>
      <c r="E211" s="336"/>
      <c r="F211" s="416"/>
      <c r="G211" s="417"/>
    </row>
    <row r="212" spans="1:7" s="210" customFormat="1" x14ac:dyDescent="0.25">
      <c r="A212" s="207"/>
      <c r="B212" s="338"/>
      <c r="C212" s="338"/>
      <c r="D212" s="336"/>
      <c r="E212" s="336"/>
      <c r="F212" s="416"/>
      <c r="G212" s="417"/>
    </row>
    <row r="213" spans="1:7" s="210" customFormat="1" ht="15.75" x14ac:dyDescent="0.25">
      <c r="A213" s="207"/>
      <c r="B213" s="1500" t="s">
        <v>339</v>
      </c>
      <c r="C213" s="1500"/>
      <c r="D213" s="1500"/>
      <c r="E213" s="370"/>
      <c r="F213" s="423">
        <v>4825</v>
      </c>
      <c r="G213" s="414"/>
    </row>
    <row r="214" spans="1:7" s="210" customFormat="1" x14ac:dyDescent="0.25">
      <c r="A214" s="207"/>
      <c r="B214" s="325"/>
      <c r="C214" s="1501" t="s">
        <v>340</v>
      </c>
      <c r="D214" s="1501"/>
      <c r="E214" s="370"/>
      <c r="F214" s="329">
        <v>32427</v>
      </c>
      <c r="G214" s="415"/>
    </row>
    <row r="215" spans="1:7" s="210" customFormat="1" x14ac:dyDescent="0.25">
      <c r="A215" s="207"/>
      <c r="B215" s="325"/>
      <c r="C215" s="328"/>
      <c r="D215" s="208"/>
      <c r="E215" s="370"/>
      <c r="F215" s="377"/>
      <c r="G215" s="378"/>
    </row>
    <row r="216" spans="1:7" s="210" customFormat="1" ht="15.75" x14ac:dyDescent="0.25">
      <c r="A216" s="207"/>
      <c r="B216" s="331"/>
      <c r="C216" s="1499" t="s">
        <v>114</v>
      </c>
      <c r="D216" s="1499"/>
      <c r="E216" s="370"/>
      <c r="F216" s="424">
        <f>ROUND(F214/F213,1)</f>
        <v>6.7</v>
      </c>
      <c r="G216" s="414"/>
    </row>
    <row r="222" spans="1:7" s="210" customFormat="1" x14ac:dyDescent="0.25">
      <c r="A222" s="207"/>
      <c r="B222" s="207"/>
      <c r="C222" s="207"/>
      <c r="D222" s="208"/>
      <c r="E222" s="208"/>
      <c r="F222" s="377"/>
      <c r="G222" s="378"/>
    </row>
    <row r="223" spans="1:7" s="210" customFormat="1" x14ac:dyDescent="0.25">
      <c r="A223" s="207"/>
      <c r="B223" s="207"/>
      <c r="C223" s="207"/>
      <c r="D223" s="208"/>
      <c r="E223" s="208"/>
      <c r="F223" s="377"/>
      <c r="G223" s="378"/>
    </row>
    <row r="224" spans="1:7" s="210" customFormat="1" x14ac:dyDescent="0.25">
      <c r="A224" s="207"/>
      <c r="B224" s="207"/>
      <c r="C224" s="207"/>
      <c r="D224" s="208"/>
      <c r="E224" s="208"/>
      <c r="F224" s="377"/>
      <c r="G224" s="378"/>
    </row>
  </sheetData>
  <mergeCells count="13">
    <mergeCell ref="F1:G1"/>
    <mergeCell ref="D2:G2"/>
    <mergeCell ref="C216:D216"/>
    <mergeCell ref="B197:D197"/>
    <mergeCell ref="C198:D198"/>
    <mergeCell ref="C200:D200"/>
    <mergeCell ref="B213:D213"/>
    <mergeCell ref="C214:D214"/>
    <mergeCell ref="B8:B9"/>
    <mergeCell ref="C8:C9"/>
    <mergeCell ref="D8:D9"/>
    <mergeCell ref="E8:E9"/>
    <mergeCell ref="F8:F9"/>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W106"/>
  <sheetViews>
    <sheetView showGridLines="0" topLeftCell="C1" zoomScale="90" zoomScaleNormal="90" workbookViewId="0">
      <selection activeCell="G1" sqref="G1:L2"/>
    </sheetView>
  </sheetViews>
  <sheetFormatPr defaultRowHeight="15.75" x14ac:dyDescent="0.25"/>
  <cols>
    <col min="1" max="1" width="12.42578125" style="100" hidden="1" customWidth="1"/>
    <col min="2" max="2" width="110.7109375" style="100" hidden="1" customWidth="1"/>
    <col min="3" max="3" width="5.5703125" style="174" customWidth="1"/>
    <col min="4" max="4" width="28.28515625" style="100" bestFit="1" customWidth="1"/>
    <col min="5" max="5" width="10.7109375" style="100" bestFit="1" customWidth="1"/>
    <col min="6" max="6" width="21.7109375" style="100" bestFit="1" customWidth="1"/>
    <col min="7" max="7" width="27.5703125" style="100" bestFit="1" customWidth="1"/>
    <col min="8" max="16384" width="9.140625" style="100"/>
  </cols>
  <sheetData>
    <row r="1" spans="1:23" x14ac:dyDescent="0.25">
      <c r="G1" s="901"/>
      <c r="H1" s="998"/>
      <c r="I1" s="1137" t="s">
        <v>1458</v>
      </c>
      <c r="J1" s="1137"/>
      <c r="K1" s="1137"/>
      <c r="L1" s="1137"/>
    </row>
    <row r="2" spans="1:23" ht="42.75" customHeight="1" x14ac:dyDescent="0.25">
      <c r="G2" s="1161" t="s">
        <v>1342</v>
      </c>
      <c r="H2" s="1161"/>
      <c r="I2" s="1161"/>
      <c r="J2" s="1161"/>
      <c r="K2" s="1161"/>
      <c r="L2" s="1161"/>
    </row>
    <row r="3" spans="1:23" x14ac:dyDescent="0.25">
      <c r="C3" s="100"/>
    </row>
    <row r="4" spans="1:23" s="133" customFormat="1" ht="20.25" x14ac:dyDescent="0.25">
      <c r="B4" s="453" t="s">
        <v>910</v>
      </c>
      <c r="D4" s="459" t="s">
        <v>917</v>
      </c>
      <c r="E4" s="155"/>
      <c r="G4" s="156"/>
      <c r="H4" s="157"/>
      <c r="I4" s="155"/>
      <c r="J4" s="155"/>
      <c r="K4" s="158"/>
      <c r="L4" s="159"/>
      <c r="M4" s="159"/>
      <c r="Q4" s="160"/>
      <c r="V4" s="161"/>
      <c r="W4" s="161"/>
    </row>
    <row r="6" spans="1:23" x14ac:dyDescent="0.25">
      <c r="A6" s="1464" t="s">
        <v>702</v>
      </c>
      <c r="B6" s="1464"/>
      <c r="C6" s="171"/>
      <c r="D6" s="172" t="s">
        <v>503</v>
      </c>
      <c r="E6" s="172" t="s">
        <v>349</v>
      </c>
      <c r="F6" s="172" t="s">
        <v>350</v>
      </c>
      <c r="G6" s="172" t="s">
        <v>351</v>
      </c>
    </row>
    <row r="7" spans="1:23" x14ac:dyDescent="0.25">
      <c r="A7" s="105" t="s">
        <v>703</v>
      </c>
      <c r="B7" s="173" t="s">
        <v>704</v>
      </c>
      <c r="D7" s="1465" t="s">
        <v>354</v>
      </c>
      <c r="E7" s="1465"/>
      <c r="F7" s="1465"/>
      <c r="G7" s="1465"/>
    </row>
    <row r="8" spans="1:23" x14ac:dyDescent="0.25">
      <c r="A8" s="105" t="s">
        <v>705</v>
      </c>
      <c r="B8" s="173" t="s">
        <v>706</v>
      </c>
      <c r="D8" s="105" t="s">
        <v>504</v>
      </c>
      <c r="E8" s="104">
        <v>26.33</v>
      </c>
      <c r="F8" s="105">
        <f>360*2</f>
        <v>720</v>
      </c>
      <c r="G8" s="175">
        <f t="shared" ref="G8:G14" si="0">E8/F8</f>
        <v>3.6569444444444439E-2</v>
      </c>
      <c r="H8" s="100" t="s">
        <v>505</v>
      </c>
    </row>
    <row r="9" spans="1:23" x14ac:dyDescent="0.25">
      <c r="A9" s="105" t="s">
        <v>707</v>
      </c>
      <c r="B9" s="173" t="s">
        <v>708</v>
      </c>
      <c r="D9" s="105" t="s">
        <v>506</v>
      </c>
      <c r="E9" s="104">
        <v>24.8</v>
      </c>
      <c r="F9" s="105">
        <f>360*2</f>
        <v>720</v>
      </c>
      <c r="G9" s="175">
        <f t="shared" si="0"/>
        <v>3.4444444444444444E-2</v>
      </c>
      <c r="H9" s="100" t="s">
        <v>505</v>
      </c>
    </row>
    <row r="10" spans="1:23" x14ac:dyDescent="0.25">
      <c r="A10" s="105" t="s">
        <v>709</v>
      </c>
      <c r="B10" s="173" t="s">
        <v>710</v>
      </c>
      <c r="D10" s="105" t="s">
        <v>507</v>
      </c>
      <c r="E10" s="104">
        <v>209</v>
      </c>
      <c r="F10" s="105">
        <f>360*5</f>
        <v>1800</v>
      </c>
      <c r="G10" s="175">
        <f t="shared" si="0"/>
        <v>0.11611111111111111</v>
      </c>
      <c r="H10" s="100" t="s">
        <v>358</v>
      </c>
    </row>
    <row r="11" spans="1:23" x14ac:dyDescent="0.25">
      <c r="A11" s="105" t="s">
        <v>711</v>
      </c>
      <c r="B11" s="173" t="s">
        <v>712</v>
      </c>
      <c r="D11" s="105" t="s">
        <v>357</v>
      </c>
      <c r="E11" s="105">
        <v>131.55000000000001</v>
      </c>
      <c r="F11" s="105">
        <f>360*5</f>
        <v>1800</v>
      </c>
      <c r="G11" s="175">
        <f t="shared" si="0"/>
        <v>7.3083333333333333E-2</v>
      </c>
      <c r="H11" s="100" t="s">
        <v>358</v>
      </c>
    </row>
    <row r="12" spans="1:23" x14ac:dyDescent="0.25">
      <c r="A12" s="105" t="s">
        <v>713</v>
      </c>
      <c r="B12" s="173" t="s">
        <v>714</v>
      </c>
      <c r="D12" s="105" t="s">
        <v>361</v>
      </c>
      <c r="E12" s="104">
        <v>1492.5</v>
      </c>
      <c r="F12" s="105">
        <f>360*5</f>
        <v>1800</v>
      </c>
      <c r="G12" s="175">
        <f t="shared" si="0"/>
        <v>0.82916666666666672</v>
      </c>
      <c r="H12" s="100" t="s">
        <v>358</v>
      </c>
    </row>
    <row r="13" spans="1:23" x14ac:dyDescent="0.25">
      <c r="A13" s="105" t="s">
        <v>715</v>
      </c>
      <c r="B13" s="173" t="s">
        <v>716</v>
      </c>
      <c r="D13" s="105" t="s">
        <v>364</v>
      </c>
      <c r="E13" s="105">
        <v>1065.25</v>
      </c>
      <c r="F13" s="105">
        <f>360*6</f>
        <v>2160</v>
      </c>
      <c r="G13" s="175">
        <f t="shared" si="0"/>
        <v>0.4931712962962963</v>
      </c>
      <c r="H13" s="100" t="s">
        <v>365</v>
      </c>
    </row>
    <row r="14" spans="1:23" x14ac:dyDescent="0.25">
      <c r="A14" s="105" t="s">
        <v>717</v>
      </c>
      <c r="B14" s="173" t="s">
        <v>718</v>
      </c>
      <c r="D14" s="105" t="s">
        <v>368</v>
      </c>
      <c r="E14" s="104">
        <v>500</v>
      </c>
      <c r="F14" s="105">
        <f>360*5</f>
        <v>1800</v>
      </c>
      <c r="G14" s="175">
        <f t="shared" si="0"/>
        <v>0.27777777777777779</v>
      </c>
      <c r="H14" s="100" t="s">
        <v>358</v>
      </c>
    </row>
    <row r="15" spans="1:23" x14ac:dyDescent="0.25">
      <c r="A15" s="105" t="s">
        <v>719</v>
      </c>
      <c r="B15" s="173" t="s">
        <v>720</v>
      </c>
      <c r="D15" s="1465" t="s">
        <v>371</v>
      </c>
      <c r="E15" s="1465"/>
      <c r="F15" s="1465"/>
      <c r="G15" s="1465"/>
    </row>
    <row r="16" spans="1:23" x14ac:dyDescent="0.25">
      <c r="A16" s="105" t="s">
        <v>721</v>
      </c>
      <c r="B16" s="173" t="s">
        <v>722</v>
      </c>
      <c r="D16" s="105" t="s">
        <v>374</v>
      </c>
      <c r="E16" s="104">
        <v>100</v>
      </c>
      <c r="F16" s="105">
        <f>360*3</f>
        <v>1080</v>
      </c>
      <c r="G16" s="175">
        <f>E16/F16</f>
        <v>9.2592592592592587E-2</v>
      </c>
      <c r="H16" s="100" t="s">
        <v>358</v>
      </c>
    </row>
    <row r="17" spans="1:8" x14ac:dyDescent="0.25">
      <c r="A17" s="105" t="s">
        <v>723</v>
      </c>
      <c r="B17" s="173" t="s">
        <v>724</v>
      </c>
      <c r="D17" s="105" t="s">
        <v>377</v>
      </c>
      <c r="E17" s="104">
        <v>184.4</v>
      </c>
      <c r="F17" s="105">
        <f>360*4</f>
        <v>1440</v>
      </c>
      <c r="G17" s="175">
        <f>E17/F17</f>
        <v>0.12805555555555556</v>
      </c>
      <c r="H17" s="100" t="s">
        <v>378</v>
      </c>
    </row>
    <row r="18" spans="1:8" x14ac:dyDescent="0.25">
      <c r="A18" s="105" t="s">
        <v>725</v>
      </c>
      <c r="B18" s="173" t="s">
        <v>726</v>
      </c>
      <c r="D18" s="105" t="s">
        <v>381</v>
      </c>
      <c r="E18" s="105">
        <v>164.96</v>
      </c>
      <c r="F18" s="105">
        <f>360*5</f>
        <v>1800</v>
      </c>
      <c r="G18" s="175">
        <f>E18/F18</f>
        <v>9.1644444444444445E-2</v>
      </c>
      <c r="H18" s="100" t="s">
        <v>382</v>
      </c>
    </row>
    <row r="19" spans="1:8" x14ac:dyDescent="0.25">
      <c r="A19" s="105" t="s">
        <v>727</v>
      </c>
      <c r="B19" s="173" t="s">
        <v>728</v>
      </c>
      <c r="F19" s="176" t="s">
        <v>102</v>
      </c>
      <c r="G19" s="177">
        <f>SUM(G8:G14,G16:G18)</f>
        <v>2.1726166666666664</v>
      </c>
    </row>
    <row r="20" spans="1:8" x14ac:dyDescent="0.25">
      <c r="A20" s="105" t="s">
        <v>729</v>
      </c>
      <c r="B20" s="173" t="s">
        <v>730</v>
      </c>
      <c r="F20" s="178"/>
      <c r="G20" s="179"/>
    </row>
    <row r="21" spans="1:8" x14ac:dyDescent="0.25">
      <c r="A21" s="105" t="s">
        <v>731</v>
      </c>
      <c r="B21" s="173" t="s">
        <v>732</v>
      </c>
    </row>
    <row r="22" spans="1:8" x14ac:dyDescent="0.25">
      <c r="A22" s="105" t="s">
        <v>733</v>
      </c>
      <c r="B22" s="425" t="s">
        <v>734</v>
      </c>
    </row>
    <row r="23" spans="1:8" x14ac:dyDescent="0.25">
      <c r="A23" s="173" t="s">
        <v>735</v>
      </c>
      <c r="B23" s="173" t="s">
        <v>736</v>
      </c>
      <c r="E23" s="117"/>
    </row>
    <row r="24" spans="1:8" x14ac:dyDescent="0.25">
      <c r="A24" s="173" t="s">
        <v>737</v>
      </c>
      <c r="B24" s="173" t="s">
        <v>738</v>
      </c>
    </row>
    <row r="25" spans="1:8" x14ac:dyDescent="0.25">
      <c r="A25" s="173" t="s">
        <v>739</v>
      </c>
      <c r="B25" s="173" t="s">
        <v>740</v>
      </c>
      <c r="E25" s="117"/>
    </row>
    <row r="26" spans="1:8" x14ac:dyDescent="0.25">
      <c r="A26" s="173" t="s">
        <v>741</v>
      </c>
      <c r="B26" s="173" t="s">
        <v>742</v>
      </c>
    </row>
    <row r="27" spans="1:8" x14ac:dyDescent="0.25">
      <c r="A27" s="173" t="s">
        <v>743</v>
      </c>
      <c r="B27" s="173" t="s">
        <v>744</v>
      </c>
      <c r="E27" s="117"/>
    </row>
    <row r="28" spans="1:8" x14ac:dyDescent="0.25">
      <c r="A28" s="173" t="s">
        <v>745</v>
      </c>
      <c r="B28" s="173" t="s">
        <v>360</v>
      </c>
      <c r="D28" s="103"/>
      <c r="E28" s="103"/>
      <c r="F28" s="103"/>
      <c r="G28" s="103"/>
    </row>
    <row r="29" spans="1:8" x14ac:dyDescent="0.25">
      <c r="A29" s="173" t="s">
        <v>746</v>
      </c>
      <c r="B29" s="173" t="s">
        <v>747</v>
      </c>
      <c r="E29" s="117"/>
    </row>
    <row r="30" spans="1:8" x14ac:dyDescent="0.25">
      <c r="A30" s="173" t="s">
        <v>748</v>
      </c>
      <c r="B30" s="173" t="s">
        <v>749</v>
      </c>
    </row>
    <row r="31" spans="1:8" x14ac:dyDescent="0.25">
      <c r="A31" s="173" t="s">
        <v>750</v>
      </c>
      <c r="B31" s="173" t="s">
        <v>751</v>
      </c>
    </row>
    <row r="32" spans="1:8" x14ac:dyDescent="0.25">
      <c r="A32" s="173" t="s">
        <v>752</v>
      </c>
      <c r="B32" s="173" t="s">
        <v>753</v>
      </c>
    </row>
    <row r="33" spans="1:8" x14ac:dyDescent="0.25">
      <c r="A33" s="173" t="s">
        <v>754</v>
      </c>
      <c r="B33" s="173" t="s">
        <v>755</v>
      </c>
      <c r="F33" s="180"/>
    </row>
    <row r="34" spans="1:8" x14ac:dyDescent="0.25">
      <c r="A34" s="105" t="s">
        <v>366</v>
      </c>
      <c r="B34" s="426" t="s">
        <v>367</v>
      </c>
    </row>
    <row r="35" spans="1:8" x14ac:dyDescent="0.25">
      <c r="A35" s="105" t="s">
        <v>756</v>
      </c>
      <c r="B35" s="173" t="s">
        <v>757</v>
      </c>
    </row>
    <row r="36" spans="1:8" x14ac:dyDescent="0.25">
      <c r="A36" s="105" t="s">
        <v>758</v>
      </c>
      <c r="B36" s="173" t="s">
        <v>759</v>
      </c>
    </row>
    <row r="37" spans="1:8" s="174" customFormat="1" x14ac:dyDescent="0.25">
      <c r="A37" s="105" t="s">
        <v>372</v>
      </c>
      <c r="B37" s="173" t="s">
        <v>373</v>
      </c>
      <c r="D37" s="100"/>
      <c r="E37" s="100"/>
      <c r="F37" s="100"/>
      <c r="G37" s="100"/>
      <c r="H37" s="100"/>
    </row>
    <row r="38" spans="1:8" s="174" customFormat="1" x14ac:dyDescent="0.25">
      <c r="A38" s="105" t="s">
        <v>760</v>
      </c>
      <c r="B38" s="173" t="s">
        <v>761</v>
      </c>
      <c r="D38" s="100"/>
      <c r="E38" s="100"/>
      <c r="F38" s="100"/>
      <c r="G38" s="100"/>
      <c r="H38" s="100"/>
    </row>
    <row r="39" spans="1:8" s="174" customFormat="1" x14ac:dyDescent="0.25">
      <c r="A39" s="105" t="s">
        <v>762</v>
      </c>
      <c r="B39" s="173" t="s">
        <v>763</v>
      </c>
      <c r="D39" s="100"/>
      <c r="E39" s="100"/>
      <c r="F39" s="100"/>
      <c r="G39" s="100"/>
      <c r="H39" s="100"/>
    </row>
    <row r="40" spans="1:8" s="174" customFormat="1" x14ac:dyDescent="0.25">
      <c r="A40" s="105" t="s">
        <v>764</v>
      </c>
      <c r="B40" s="173" t="s">
        <v>765</v>
      </c>
      <c r="D40" s="100"/>
      <c r="E40" s="100"/>
      <c r="F40" s="100"/>
      <c r="G40" s="100"/>
      <c r="H40" s="100"/>
    </row>
    <row r="41" spans="1:8" s="174" customFormat="1" x14ac:dyDescent="0.25">
      <c r="A41" s="105" t="s">
        <v>766</v>
      </c>
      <c r="B41" s="173" t="s">
        <v>767</v>
      </c>
      <c r="D41" s="100"/>
      <c r="E41" s="100"/>
      <c r="F41" s="100"/>
      <c r="G41" s="100"/>
      <c r="H41" s="100"/>
    </row>
    <row r="42" spans="1:8" s="174" customFormat="1" x14ac:dyDescent="0.25">
      <c r="A42" s="105" t="s">
        <v>768</v>
      </c>
      <c r="B42" s="173" t="s">
        <v>769</v>
      </c>
      <c r="D42" s="100"/>
      <c r="E42" s="100"/>
      <c r="F42" s="100"/>
      <c r="G42" s="100"/>
      <c r="H42" s="100"/>
    </row>
    <row r="43" spans="1:8" s="174" customFormat="1" x14ac:dyDescent="0.25">
      <c r="A43" s="105" t="s">
        <v>770</v>
      </c>
      <c r="B43" s="173" t="s">
        <v>771</v>
      </c>
      <c r="D43" s="100"/>
      <c r="E43" s="100"/>
      <c r="F43" s="100"/>
      <c r="G43" s="100"/>
      <c r="H43" s="100"/>
    </row>
    <row r="44" spans="1:8" s="174" customFormat="1" x14ac:dyDescent="0.25">
      <c r="A44" s="105" t="s">
        <v>772</v>
      </c>
      <c r="B44" s="173" t="s">
        <v>773</v>
      </c>
      <c r="D44" s="100"/>
      <c r="E44" s="100"/>
      <c r="F44" s="100"/>
      <c r="G44" s="100"/>
      <c r="H44" s="100"/>
    </row>
    <row r="45" spans="1:8" s="174" customFormat="1" x14ac:dyDescent="0.25">
      <c r="A45" s="105" t="s">
        <v>774</v>
      </c>
      <c r="B45" s="173" t="s">
        <v>775</v>
      </c>
      <c r="D45" s="100"/>
      <c r="E45" s="100"/>
      <c r="F45" s="100"/>
      <c r="G45" s="100"/>
      <c r="H45" s="100"/>
    </row>
    <row r="46" spans="1:8" s="174" customFormat="1" x14ac:dyDescent="0.25">
      <c r="A46" s="105" t="s">
        <v>776</v>
      </c>
      <c r="B46" s="173" t="s">
        <v>777</v>
      </c>
      <c r="D46" s="100"/>
      <c r="E46" s="100"/>
      <c r="F46" s="100"/>
      <c r="G46" s="100"/>
      <c r="H46" s="100"/>
    </row>
    <row r="47" spans="1:8" s="174" customFormat="1" x14ac:dyDescent="0.25">
      <c r="A47" s="105" t="s">
        <v>778</v>
      </c>
      <c r="B47" s="173" t="s">
        <v>779</v>
      </c>
      <c r="D47" s="100"/>
      <c r="E47" s="100"/>
      <c r="F47" s="100"/>
      <c r="G47" s="100"/>
      <c r="H47" s="100"/>
    </row>
    <row r="48" spans="1:8" s="174" customFormat="1" x14ac:dyDescent="0.25">
      <c r="A48" s="105" t="s">
        <v>780</v>
      </c>
      <c r="B48" s="173" t="s">
        <v>781</v>
      </c>
      <c r="D48" s="100"/>
      <c r="E48" s="100"/>
      <c r="F48" s="100"/>
      <c r="G48" s="100"/>
      <c r="H48" s="100"/>
    </row>
    <row r="49" spans="1:8" s="174" customFormat="1" x14ac:dyDescent="0.25">
      <c r="A49" s="105" t="s">
        <v>782</v>
      </c>
      <c r="B49" s="173" t="s">
        <v>783</v>
      </c>
      <c r="D49" s="100"/>
      <c r="E49" s="100"/>
      <c r="F49" s="100"/>
      <c r="G49" s="100"/>
      <c r="H49" s="100"/>
    </row>
    <row r="50" spans="1:8" s="174" customFormat="1" x14ac:dyDescent="0.25">
      <c r="A50" s="105" t="s">
        <v>784</v>
      </c>
      <c r="B50" s="173" t="s">
        <v>785</v>
      </c>
      <c r="D50" s="100"/>
      <c r="E50" s="100"/>
      <c r="F50" s="100"/>
      <c r="G50" s="100"/>
      <c r="H50" s="100"/>
    </row>
    <row r="51" spans="1:8" s="174" customFormat="1" x14ac:dyDescent="0.25">
      <c r="A51" s="105" t="s">
        <v>786</v>
      </c>
      <c r="B51" s="173" t="s">
        <v>787</v>
      </c>
      <c r="D51" s="100"/>
      <c r="E51" s="100"/>
      <c r="F51" s="100"/>
      <c r="G51" s="100"/>
      <c r="H51" s="100"/>
    </row>
    <row r="52" spans="1:8" s="174" customFormat="1" x14ac:dyDescent="0.25">
      <c r="A52" s="105" t="s">
        <v>788</v>
      </c>
      <c r="B52" s="173" t="s">
        <v>789</v>
      </c>
      <c r="D52" s="100"/>
      <c r="E52" s="100"/>
      <c r="F52" s="100"/>
      <c r="G52" s="100"/>
      <c r="H52" s="100"/>
    </row>
    <row r="53" spans="1:8" s="174" customFormat="1" x14ac:dyDescent="0.25">
      <c r="A53" s="105" t="s">
        <v>790</v>
      </c>
      <c r="B53" s="173" t="s">
        <v>791</v>
      </c>
      <c r="D53" s="100"/>
      <c r="E53" s="100"/>
      <c r="F53" s="100"/>
      <c r="G53" s="100"/>
      <c r="H53" s="100"/>
    </row>
    <row r="54" spans="1:8" s="174" customFormat="1" x14ac:dyDescent="0.25">
      <c r="A54" s="105" t="s">
        <v>792</v>
      </c>
      <c r="B54" s="173" t="s">
        <v>793</v>
      </c>
      <c r="D54" s="100"/>
      <c r="E54" s="100"/>
      <c r="F54" s="100"/>
      <c r="G54" s="100"/>
      <c r="H54" s="100"/>
    </row>
    <row r="55" spans="1:8" s="174" customFormat="1" x14ac:dyDescent="0.25">
      <c r="A55" s="105" t="s">
        <v>794</v>
      </c>
      <c r="B55" s="173" t="s">
        <v>795</v>
      </c>
      <c r="D55" s="100"/>
      <c r="E55" s="100"/>
      <c r="F55" s="100"/>
      <c r="G55" s="100"/>
      <c r="H55" s="100"/>
    </row>
    <row r="56" spans="1:8" s="174" customFormat="1" x14ac:dyDescent="0.25">
      <c r="A56" s="105" t="s">
        <v>796</v>
      </c>
      <c r="B56" s="173" t="s">
        <v>797</v>
      </c>
      <c r="D56" s="100"/>
      <c r="E56" s="100"/>
      <c r="F56" s="100"/>
      <c r="G56" s="100"/>
      <c r="H56" s="100"/>
    </row>
    <row r="57" spans="1:8" s="174" customFormat="1" x14ac:dyDescent="0.25">
      <c r="A57" s="105" t="s">
        <v>397</v>
      </c>
      <c r="B57" s="173" t="s">
        <v>398</v>
      </c>
      <c r="D57" s="100"/>
      <c r="E57" s="100"/>
      <c r="F57" s="100"/>
      <c r="G57" s="100"/>
      <c r="H57" s="100"/>
    </row>
    <row r="58" spans="1:8" s="174" customFormat="1" x14ac:dyDescent="0.25">
      <c r="A58" s="105" t="s">
        <v>798</v>
      </c>
      <c r="B58" s="173" t="s">
        <v>799</v>
      </c>
      <c r="D58" s="100"/>
      <c r="E58" s="100"/>
      <c r="F58" s="100"/>
      <c r="G58" s="100"/>
      <c r="H58" s="100"/>
    </row>
    <row r="59" spans="1:8" s="174" customFormat="1" x14ac:dyDescent="0.25">
      <c r="A59" s="105" t="s">
        <v>800</v>
      </c>
      <c r="B59" s="173" t="s">
        <v>801</v>
      </c>
      <c r="D59" s="100"/>
      <c r="E59" s="100"/>
      <c r="F59" s="100"/>
      <c r="G59" s="100"/>
      <c r="H59" s="100"/>
    </row>
    <row r="60" spans="1:8" s="174" customFormat="1" x14ac:dyDescent="0.25">
      <c r="A60" s="105" t="s">
        <v>802</v>
      </c>
      <c r="B60" s="173" t="s">
        <v>803</v>
      </c>
      <c r="D60" s="100"/>
      <c r="E60" s="100"/>
      <c r="F60" s="100"/>
      <c r="G60" s="100"/>
      <c r="H60" s="100"/>
    </row>
    <row r="61" spans="1:8" s="174" customFormat="1" x14ac:dyDescent="0.25">
      <c r="A61" s="105" t="s">
        <v>804</v>
      </c>
      <c r="B61" s="173" t="s">
        <v>805</v>
      </c>
      <c r="D61" s="100"/>
      <c r="E61" s="100"/>
      <c r="F61" s="100"/>
      <c r="G61" s="100"/>
      <c r="H61" s="100"/>
    </row>
    <row r="62" spans="1:8" s="174" customFormat="1" x14ac:dyDescent="0.25">
      <c r="A62" s="105" t="s">
        <v>806</v>
      </c>
      <c r="B62" s="173" t="s">
        <v>807</v>
      </c>
      <c r="D62" s="100"/>
      <c r="E62" s="100"/>
      <c r="F62" s="100"/>
      <c r="G62" s="100"/>
      <c r="H62" s="100"/>
    </row>
    <row r="63" spans="1:8" s="174" customFormat="1" x14ac:dyDescent="0.25">
      <c r="A63" s="105" t="s">
        <v>808</v>
      </c>
      <c r="B63" s="173" t="s">
        <v>809</v>
      </c>
      <c r="D63" s="100"/>
      <c r="E63" s="100"/>
      <c r="F63" s="100"/>
      <c r="G63" s="100"/>
      <c r="H63" s="100"/>
    </row>
    <row r="64" spans="1:8" s="174" customFormat="1" x14ac:dyDescent="0.25">
      <c r="A64" s="105" t="s">
        <v>810</v>
      </c>
      <c r="B64" s="173" t="s">
        <v>811</v>
      </c>
      <c r="D64" s="100"/>
      <c r="E64" s="100"/>
      <c r="F64" s="100"/>
      <c r="G64" s="100"/>
      <c r="H64" s="100"/>
    </row>
    <row r="65" spans="1:8" s="174" customFormat="1" x14ac:dyDescent="0.25">
      <c r="A65" s="105" t="s">
        <v>812</v>
      </c>
      <c r="B65" s="173" t="s">
        <v>813</v>
      </c>
      <c r="D65" s="100"/>
      <c r="E65" s="100"/>
      <c r="F65" s="100"/>
      <c r="G65" s="100"/>
      <c r="H65" s="100"/>
    </row>
    <row r="66" spans="1:8" s="174" customFormat="1" x14ac:dyDescent="0.25">
      <c r="A66" s="105" t="s">
        <v>814</v>
      </c>
      <c r="B66" s="173" t="s">
        <v>815</v>
      </c>
      <c r="D66" s="100"/>
      <c r="E66" s="100"/>
      <c r="F66" s="100"/>
      <c r="G66" s="100"/>
      <c r="H66" s="100"/>
    </row>
    <row r="67" spans="1:8" s="174" customFormat="1" x14ac:dyDescent="0.25">
      <c r="A67" s="105" t="s">
        <v>816</v>
      </c>
      <c r="B67" s="173" t="s">
        <v>817</v>
      </c>
      <c r="D67" s="100"/>
      <c r="E67" s="100"/>
      <c r="F67" s="100"/>
      <c r="G67" s="100"/>
      <c r="H67" s="100"/>
    </row>
    <row r="68" spans="1:8" s="174" customFormat="1" x14ac:dyDescent="0.25">
      <c r="A68" s="105" t="s">
        <v>818</v>
      </c>
      <c r="B68" s="173" t="s">
        <v>819</v>
      </c>
      <c r="D68" s="100"/>
      <c r="E68" s="100"/>
      <c r="F68" s="100"/>
      <c r="G68" s="100"/>
      <c r="H68" s="100"/>
    </row>
    <row r="69" spans="1:8" s="174" customFormat="1" x14ac:dyDescent="0.25">
      <c r="A69" s="105" t="s">
        <v>820</v>
      </c>
      <c r="B69" s="173" t="s">
        <v>821</v>
      </c>
      <c r="D69" s="100"/>
      <c r="E69" s="100"/>
      <c r="F69" s="100"/>
      <c r="G69" s="100"/>
      <c r="H69" s="100"/>
    </row>
    <row r="70" spans="1:8" s="174" customFormat="1" x14ac:dyDescent="0.25">
      <c r="A70" s="105" t="s">
        <v>822</v>
      </c>
      <c r="B70" s="173" t="s">
        <v>823</v>
      </c>
      <c r="D70" s="100"/>
      <c r="E70" s="100"/>
      <c r="F70" s="100"/>
      <c r="G70" s="100"/>
      <c r="H70" s="100"/>
    </row>
    <row r="71" spans="1:8" s="174" customFormat="1" x14ac:dyDescent="0.25">
      <c r="A71" s="105" t="s">
        <v>824</v>
      </c>
      <c r="B71" s="173" t="s">
        <v>825</v>
      </c>
      <c r="D71" s="100"/>
      <c r="E71" s="100"/>
      <c r="F71" s="100"/>
      <c r="G71" s="100"/>
      <c r="H71" s="100"/>
    </row>
    <row r="72" spans="1:8" s="174" customFormat="1" x14ac:dyDescent="0.25">
      <c r="A72" s="105" t="s">
        <v>826</v>
      </c>
      <c r="B72" s="173" t="s">
        <v>827</v>
      </c>
      <c r="D72" s="100"/>
      <c r="E72" s="100"/>
      <c r="F72" s="100"/>
      <c r="G72" s="100"/>
      <c r="H72" s="100"/>
    </row>
    <row r="73" spans="1:8" s="174" customFormat="1" x14ac:dyDescent="0.25">
      <c r="A73" s="105" t="s">
        <v>828</v>
      </c>
      <c r="B73" s="173" t="s">
        <v>829</v>
      </c>
      <c r="D73" s="100"/>
      <c r="E73" s="100"/>
      <c r="F73" s="100"/>
      <c r="G73" s="100"/>
      <c r="H73" s="100"/>
    </row>
    <row r="74" spans="1:8" s="174" customFormat="1" x14ac:dyDescent="0.25">
      <c r="A74" s="105" t="s">
        <v>830</v>
      </c>
      <c r="B74" s="173" t="s">
        <v>831</v>
      </c>
      <c r="D74" s="100"/>
      <c r="E74" s="100"/>
      <c r="F74" s="100"/>
      <c r="G74" s="100"/>
      <c r="H74" s="100"/>
    </row>
    <row r="75" spans="1:8" s="174" customFormat="1" x14ac:dyDescent="0.25">
      <c r="A75" s="105" t="s">
        <v>832</v>
      </c>
      <c r="B75" s="173" t="s">
        <v>833</v>
      </c>
      <c r="D75" s="100"/>
      <c r="E75" s="100"/>
      <c r="F75" s="100"/>
      <c r="G75" s="100"/>
      <c r="H75" s="100"/>
    </row>
    <row r="76" spans="1:8" s="174" customFormat="1" x14ac:dyDescent="0.25">
      <c r="A76" s="105" t="s">
        <v>834</v>
      </c>
      <c r="B76" s="173" t="s">
        <v>835</v>
      </c>
      <c r="D76" s="100"/>
      <c r="E76" s="100"/>
      <c r="F76" s="100"/>
      <c r="G76" s="100"/>
      <c r="H76" s="100"/>
    </row>
    <row r="77" spans="1:8" s="174" customFormat="1" x14ac:dyDescent="0.25">
      <c r="A77" s="105" t="s">
        <v>836</v>
      </c>
      <c r="B77" s="173" t="s">
        <v>837</v>
      </c>
      <c r="D77" s="100"/>
      <c r="E77" s="100"/>
      <c r="F77" s="100"/>
      <c r="G77" s="100"/>
      <c r="H77" s="100"/>
    </row>
    <row r="78" spans="1:8" s="174" customFormat="1" x14ac:dyDescent="0.25">
      <c r="A78" s="105" t="s">
        <v>838</v>
      </c>
      <c r="B78" s="173" t="s">
        <v>839</v>
      </c>
      <c r="D78" s="100"/>
      <c r="E78" s="100"/>
      <c r="F78" s="100"/>
      <c r="G78" s="100"/>
      <c r="H78" s="100"/>
    </row>
    <row r="79" spans="1:8" s="174" customFormat="1" x14ac:dyDescent="0.25">
      <c r="A79" s="105" t="s">
        <v>840</v>
      </c>
      <c r="B79" s="173" t="s">
        <v>841</v>
      </c>
      <c r="D79" s="100"/>
      <c r="E79" s="100"/>
      <c r="F79" s="100"/>
      <c r="G79" s="100"/>
      <c r="H79" s="100"/>
    </row>
    <row r="80" spans="1:8" s="174" customFormat="1" x14ac:dyDescent="0.25">
      <c r="A80" s="105" t="s">
        <v>842</v>
      </c>
      <c r="B80" s="173" t="s">
        <v>843</v>
      </c>
      <c r="D80" s="100"/>
      <c r="E80" s="100"/>
      <c r="F80" s="100"/>
      <c r="G80" s="100"/>
      <c r="H80" s="100"/>
    </row>
    <row r="81" spans="1:8" s="174" customFormat="1" x14ac:dyDescent="0.25">
      <c r="A81" s="105" t="s">
        <v>844</v>
      </c>
      <c r="B81" s="173" t="s">
        <v>845</v>
      </c>
      <c r="D81" s="100"/>
      <c r="E81" s="100"/>
      <c r="F81" s="100"/>
      <c r="G81" s="100"/>
      <c r="H81" s="100"/>
    </row>
    <row r="82" spans="1:8" s="174" customFormat="1" x14ac:dyDescent="0.25">
      <c r="A82" s="105" t="s">
        <v>846</v>
      </c>
      <c r="B82" s="173" t="s">
        <v>847</v>
      </c>
      <c r="D82" s="100"/>
      <c r="E82" s="100"/>
      <c r="F82" s="100"/>
      <c r="G82" s="100"/>
      <c r="H82" s="100"/>
    </row>
    <row r="83" spans="1:8" s="174" customFormat="1" x14ac:dyDescent="0.25">
      <c r="A83" s="105" t="s">
        <v>848</v>
      </c>
      <c r="B83" s="173" t="s">
        <v>849</v>
      </c>
      <c r="D83" s="100"/>
      <c r="E83" s="100"/>
      <c r="F83" s="100"/>
      <c r="G83" s="100"/>
      <c r="H83" s="100"/>
    </row>
    <row r="84" spans="1:8" s="174" customFormat="1" x14ac:dyDescent="0.25">
      <c r="A84" s="105" t="s">
        <v>850</v>
      </c>
      <c r="B84" s="173" t="s">
        <v>851</v>
      </c>
      <c r="D84" s="100"/>
      <c r="E84" s="100"/>
      <c r="F84" s="100"/>
      <c r="G84" s="100"/>
      <c r="H84" s="100"/>
    </row>
    <row r="85" spans="1:8" s="174" customFormat="1" x14ac:dyDescent="0.25">
      <c r="A85" s="105" t="s">
        <v>852</v>
      </c>
      <c r="B85" s="173" t="s">
        <v>853</v>
      </c>
      <c r="D85" s="100"/>
      <c r="E85" s="100"/>
      <c r="F85" s="100"/>
      <c r="G85" s="100"/>
      <c r="H85" s="100"/>
    </row>
    <row r="86" spans="1:8" s="174" customFormat="1" x14ac:dyDescent="0.25">
      <c r="A86" s="105" t="s">
        <v>854</v>
      </c>
      <c r="B86" s="173" t="s">
        <v>855</v>
      </c>
      <c r="D86" s="100"/>
      <c r="E86" s="100"/>
      <c r="F86" s="100"/>
      <c r="G86" s="100"/>
      <c r="H86" s="100"/>
    </row>
    <row r="87" spans="1:8" s="174" customFormat="1" x14ac:dyDescent="0.25">
      <c r="A87" s="105" t="s">
        <v>856</v>
      </c>
      <c r="B87" s="173" t="s">
        <v>857</v>
      </c>
      <c r="D87" s="100"/>
      <c r="E87" s="100"/>
      <c r="F87" s="100"/>
      <c r="G87" s="100"/>
      <c r="H87" s="100"/>
    </row>
    <row r="88" spans="1:8" s="174" customFormat="1" x14ac:dyDescent="0.25">
      <c r="A88" s="105" t="s">
        <v>858</v>
      </c>
      <c r="B88" s="173" t="s">
        <v>859</v>
      </c>
      <c r="D88" s="100"/>
      <c r="E88" s="100"/>
      <c r="F88" s="100"/>
      <c r="G88" s="100"/>
      <c r="H88" s="100"/>
    </row>
    <row r="89" spans="1:8" s="174" customFormat="1" x14ac:dyDescent="0.25">
      <c r="A89" s="105" t="s">
        <v>860</v>
      </c>
      <c r="B89" s="173" t="s">
        <v>861</v>
      </c>
      <c r="D89" s="100"/>
      <c r="E89" s="100"/>
      <c r="F89" s="100"/>
      <c r="G89" s="100"/>
      <c r="H89" s="100"/>
    </row>
    <row r="90" spans="1:8" s="174" customFormat="1" x14ac:dyDescent="0.25">
      <c r="A90" s="105" t="s">
        <v>862</v>
      </c>
      <c r="B90" s="173" t="s">
        <v>863</v>
      </c>
      <c r="D90" s="100"/>
      <c r="E90" s="100"/>
      <c r="F90" s="100"/>
      <c r="G90" s="100"/>
      <c r="H90" s="100"/>
    </row>
    <row r="91" spans="1:8" s="174" customFormat="1" x14ac:dyDescent="0.25">
      <c r="A91" s="105" t="s">
        <v>864</v>
      </c>
      <c r="B91" s="173" t="s">
        <v>865</v>
      </c>
      <c r="D91" s="100"/>
      <c r="E91" s="100"/>
      <c r="F91" s="100"/>
      <c r="G91" s="100"/>
      <c r="H91" s="100"/>
    </row>
    <row r="92" spans="1:8" s="174" customFormat="1" x14ac:dyDescent="0.25">
      <c r="A92" s="105" t="s">
        <v>866</v>
      </c>
      <c r="B92" s="173" t="s">
        <v>867</v>
      </c>
      <c r="D92" s="100"/>
      <c r="E92" s="100"/>
      <c r="F92" s="100"/>
      <c r="G92" s="100"/>
      <c r="H92" s="100"/>
    </row>
    <row r="93" spans="1:8" s="174" customFormat="1" x14ac:dyDescent="0.25">
      <c r="A93" s="105" t="s">
        <v>868</v>
      </c>
      <c r="B93" s="173" t="s">
        <v>869</v>
      </c>
      <c r="D93" s="100"/>
      <c r="E93" s="100"/>
      <c r="F93" s="100"/>
      <c r="G93" s="100"/>
      <c r="H93" s="100"/>
    </row>
    <row r="94" spans="1:8" s="174" customFormat="1" x14ac:dyDescent="0.25">
      <c r="A94" s="105" t="s">
        <v>870</v>
      </c>
      <c r="B94" s="173" t="s">
        <v>871</v>
      </c>
      <c r="D94" s="100"/>
      <c r="E94" s="100"/>
      <c r="F94" s="100"/>
      <c r="G94" s="100"/>
      <c r="H94" s="100"/>
    </row>
    <row r="95" spans="1:8" s="174" customFormat="1" x14ac:dyDescent="0.25">
      <c r="A95" s="105" t="s">
        <v>872</v>
      </c>
      <c r="B95" s="173" t="s">
        <v>873</v>
      </c>
      <c r="D95" s="100"/>
      <c r="E95" s="100"/>
      <c r="F95" s="100"/>
      <c r="G95" s="100"/>
      <c r="H95" s="100"/>
    </row>
    <row r="96" spans="1:8" s="174" customFormat="1" x14ac:dyDescent="0.25">
      <c r="A96" s="105" t="s">
        <v>874</v>
      </c>
      <c r="B96" s="173" t="s">
        <v>875</v>
      </c>
      <c r="D96" s="100"/>
      <c r="E96" s="100"/>
      <c r="F96" s="100"/>
      <c r="G96" s="100"/>
      <c r="H96" s="100"/>
    </row>
    <row r="97" spans="1:8" s="174" customFormat="1" x14ac:dyDescent="0.25">
      <c r="A97" s="105" t="s">
        <v>876</v>
      </c>
      <c r="B97" s="173" t="s">
        <v>877</v>
      </c>
      <c r="D97" s="100"/>
      <c r="E97" s="100"/>
      <c r="F97" s="100"/>
      <c r="G97" s="100"/>
      <c r="H97" s="100"/>
    </row>
    <row r="98" spans="1:8" s="174" customFormat="1" x14ac:dyDescent="0.25">
      <c r="A98" s="105" t="s">
        <v>878</v>
      </c>
      <c r="B98" s="173" t="s">
        <v>879</v>
      </c>
      <c r="D98" s="100"/>
      <c r="E98" s="100"/>
      <c r="F98" s="100"/>
      <c r="G98" s="100"/>
      <c r="H98" s="100"/>
    </row>
    <row r="99" spans="1:8" s="174" customFormat="1" x14ac:dyDescent="0.25">
      <c r="A99" s="105" t="s">
        <v>880</v>
      </c>
      <c r="B99" s="173" t="s">
        <v>881</v>
      </c>
      <c r="D99" s="100"/>
      <c r="E99" s="100"/>
      <c r="F99" s="100"/>
      <c r="G99" s="100"/>
      <c r="H99" s="100"/>
    </row>
    <row r="100" spans="1:8" s="174" customFormat="1" x14ac:dyDescent="0.25">
      <c r="A100" s="105" t="s">
        <v>882</v>
      </c>
      <c r="B100" s="173" t="s">
        <v>883</v>
      </c>
      <c r="D100" s="100"/>
      <c r="E100" s="100"/>
      <c r="F100" s="100"/>
      <c r="G100" s="100"/>
      <c r="H100" s="100"/>
    </row>
    <row r="101" spans="1:8" s="174" customFormat="1" x14ac:dyDescent="0.25">
      <c r="A101" s="105" t="s">
        <v>884</v>
      </c>
      <c r="B101" s="173" t="s">
        <v>885</v>
      </c>
      <c r="D101" s="100"/>
      <c r="E101" s="100"/>
      <c r="F101" s="100"/>
      <c r="G101" s="100"/>
      <c r="H101" s="100"/>
    </row>
    <row r="102" spans="1:8" s="174" customFormat="1" x14ac:dyDescent="0.25">
      <c r="A102" s="105" t="s">
        <v>886</v>
      </c>
      <c r="B102" s="173" t="s">
        <v>887</v>
      </c>
      <c r="D102" s="100"/>
      <c r="E102" s="100"/>
      <c r="F102" s="100"/>
      <c r="G102" s="100"/>
      <c r="H102" s="100"/>
    </row>
    <row r="103" spans="1:8" s="174" customFormat="1" x14ac:dyDescent="0.25">
      <c r="A103" s="105" t="s">
        <v>888</v>
      </c>
      <c r="B103" s="173" t="s">
        <v>889</v>
      </c>
      <c r="D103" s="100"/>
      <c r="E103" s="100"/>
      <c r="F103" s="100"/>
      <c r="G103" s="100"/>
      <c r="H103" s="100"/>
    </row>
    <row r="104" spans="1:8" s="174" customFormat="1" x14ac:dyDescent="0.25">
      <c r="A104" s="105" t="s">
        <v>890</v>
      </c>
      <c r="B104" s="173" t="s">
        <v>891</v>
      </c>
      <c r="D104" s="100"/>
      <c r="E104" s="100"/>
      <c r="F104" s="100"/>
      <c r="G104" s="100"/>
      <c r="H104" s="100"/>
    </row>
    <row r="105" spans="1:8" s="174" customFormat="1" x14ac:dyDescent="0.25">
      <c r="A105" s="105" t="s">
        <v>892</v>
      </c>
      <c r="B105" s="173" t="s">
        <v>893</v>
      </c>
      <c r="D105" s="100"/>
      <c r="E105" s="100"/>
      <c r="F105" s="100"/>
      <c r="G105" s="100"/>
      <c r="H105" s="100"/>
    </row>
    <row r="106" spans="1:8" s="174" customFormat="1" x14ac:dyDescent="0.25">
      <c r="A106" s="105" t="s">
        <v>894</v>
      </c>
      <c r="B106" s="173" t="s">
        <v>895</v>
      </c>
      <c r="D106" s="100"/>
      <c r="E106" s="100"/>
      <c r="F106" s="100"/>
      <c r="G106" s="100"/>
      <c r="H106" s="100"/>
    </row>
  </sheetData>
  <mergeCells count="5">
    <mergeCell ref="A6:B6"/>
    <mergeCell ref="D7:G7"/>
    <mergeCell ref="D15:G15"/>
    <mergeCell ref="I1:L1"/>
    <mergeCell ref="G2:L2"/>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K24"/>
  <sheetViews>
    <sheetView showGridLines="0" zoomScale="90" zoomScaleNormal="90" workbookViewId="0">
      <selection activeCell="F2" sqref="F2:K2"/>
    </sheetView>
  </sheetViews>
  <sheetFormatPr defaultRowHeight="15" x14ac:dyDescent="0.25"/>
  <cols>
    <col min="1" max="1" width="5.140625" customWidth="1"/>
    <col min="4" max="4" width="27.28515625" customWidth="1"/>
    <col min="5" max="5" width="23.42578125" customWidth="1"/>
    <col min="6" max="8" width="22.28515625" customWidth="1"/>
  </cols>
  <sheetData>
    <row r="1" spans="2:11" ht="15.75" x14ac:dyDescent="0.25">
      <c r="F1" s="901"/>
      <c r="G1" s="998"/>
      <c r="H1" s="1137" t="s">
        <v>1459</v>
      </c>
      <c r="I1" s="1137"/>
      <c r="J1" s="1137"/>
      <c r="K1" s="1137"/>
    </row>
    <row r="2" spans="2:11" ht="36" customHeight="1" x14ac:dyDescent="0.25">
      <c r="F2" s="1161" t="s">
        <v>1342</v>
      </c>
      <c r="G2" s="1161"/>
      <c r="H2" s="1161"/>
      <c r="I2" s="1161"/>
      <c r="J2" s="1161"/>
      <c r="K2" s="1161"/>
    </row>
    <row r="4" spans="2:11" ht="37.5" customHeight="1" x14ac:dyDescent="0.25">
      <c r="B4" s="1511" t="s">
        <v>913</v>
      </c>
      <c r="C4" s="1511"/>
      <c r="D4" s="1511"/>
      <c r="E4" s="1511"/>
      <c r="F4" s="1511"/>
      <c r="G4" s="1511"/>
      <c r="H4" s="1511"/>
    </row>
    <row r="6" spans="2:11" ht="30" x14ac:dyDescent="0.25">
      <c r="B6" s="183" t="s">
        <v>409</v>
      </c>
      <c r="C6" s="183" t="s">
        <v>410</v>
      </c>
      <c r="D6" s="183" t="s">
        <v>137</v>
      </c>
      <c r="E6" s="183" t="s">
        <v>411</v>
      </c>
      <c r="F6" s="183" t="s">
        <v>412</v>
      </c>
      <c r="G6" s="183" t="s">
        <v>413</v>
      </c>
      <c r="H6" s="183" t="s">
        <v>414</v>
      </c>
    </row>
    <row r="7" spans="2:11" x14ac:dyDescent="0.25">
      <c r="B7" s="184">
        <v>1</v>
      </c>
      <c r="C7" s="185" t="s">
        <v>415</v>
      </c>
      <c r="D7" s="185" t="s">
        <v>416</v>
      </c>
      <c r="E7" s="186">
        <v>120</v>
      </c>
      <c r="F7" s="186">
        <v>1</v>
      </c>
      <c r="G7" s="187">
        <v>0.40498496541559992</v>
      </c>
      <c r="H7" s="188">
        <f>G7*E7</f>
        <v>48.598195849871992</v>
      </c>
      <c r="I7" s="189">
        <f>E7/F7</f>
        <v>120</v>
      </c>
    </row>
    <row r="8" spans="2:11" x14ac:dyDescent="0.25">
      <c r="B8" s="184">
        <v>2</v>
      </c>
      <c r="C8" s="185" t="s">
        <v>415</v>
      </c>
      <c r="D8" s="185" t="s">
        <v>417</v>
      </c>
      <c r="E8" s="186">
        <v>94</v>
      </c>
      <c r="F8" s="186">
        <v>4</v>
      </c>
      <c r="G8" s="187">
        <v>0.74226239724069154</v>
      </c>
      <c r="H8" s="188">
        <f t="shared" ref="H8:H9" si="0">G8*E8</f>
        <v>69.772665340625011</v>
      </c>
      <c r="I8" s="189">
        <f t="shared" ref="I8:I12" si="1">E8/F8</f>
        <v>23.5</v>
      </c>
    </row>
    <row r="9" spans="2:11" x14ac:dyDescent="0.25">
      <c r="B9" s="190">
        <v>3</v>
      </c>
      <c r="C9" s="185" t="s">
        <v>415</v>
      </c>
      <c r="D9" s="185" t="s">
        <v>418</v>
      </c>
      <c r="E9" s="186">
        <v>108</v>
      </c>
      <c r="F9" s="186">
        <v>1</v>
      </c>
      <c r="G9" s="187">
        <v>0.36140676033854174</v>
      </c>
      <c r="H9" s="188">
        <f t="shared" si="0"/>
        <v>39.031930116562506</v>
      </c>
      <c r="I9" s="189">
        <f t="shared" si="1"/>
        <v>108</v>
      </c>
    </row>
    <row r="10" spans="2:11" x14ac:dyDescent="0.25">
      <c r="B10" s="184">
        <v>4</v>
      </c>
      <c r="C10" s="185" t="s">
        <v>415</v>
      </c>
      <c r="D10" s="185" t="s">
        <v>419</v>
      </c>
      <c r="E10" s="191">
        <v>134.81</v>
      </c>
      <c r="F10" s="186">
        <v>9</v>
      </c>
      <c r="G10" s="187">
        <v>0.81327828151472081</v>
      </c>
      <c r="H10" s="188">
        <f>G10*E10</f>
        <v>109.63804513099952</v>
      </c>
      <c r="I10" s="189">
        <f t="shared" si="1"/>
        <v>14.978888888888889</v>
      </c>
    </row>
    <row r="11" spans="2:11" x14ac:dyDescent="0.25">
      <c r="B11" s="184">
        <v>5</v>
      </c>
      <c r="C11" s="185" t="s">
        <v>415</v>
      </c>
      <c r="D11" s="185" t="s">
        <v>420</v>
      </c>
      <c r="E11" s="186">
        <v>407</v>
      </c>
      <c r="F11" s="186">
        <v>25</v>
      </c>
      <c r="G11" s="187">
        <v>0.86293233902134503</v>
      </c>
      <c r="H11" s="188">
        <f>G11*E11</f>
        <v>351.21346198168743</v>
      </c>
      <c r="I11" s="189">
        <f t="shared" si="1"/>
        <v>16.28</v>
      </c>
    </row>
    <row r="12" spans="2:11" x14ac:dyDescent="0.25">
      <c r="B12" s="190">
        <v>6</v>
      </c>
      <c r="C12" s="185" t="s">
        <v>415</v>
      </c>
      <c r="D12" s="185" t="s">
        <v>421</v>
      </c>
      <c r="E12" s="186">
        <v>97</v>
      </c>
      <c r="F12" s="186">
        <v>3</v>
      </c>
      <c r="G12" s="187">
        <v>0.35261853881739685</v>
      </c>
      <c r="H12" s="188">
        <f>G12*E12</f>
        <v>34.203998265287495</v>
      </c>
      <c r="I12" s="189">
        <f t="shared" si="1"/>
        <v>32.333333333333336</v>
      </c>
    </row>
    <row r="13" spans="2:11" x14ac:dyDescent="0.25">
      <c r="B13" s="1467" t="s">
        <v>196</v>
      </c>
      <c r="C13" s="1468"/>
      <c r="D13" s="1469"/>
      <c r="E13" s="192">
        <f>SUM(E7:E12)</f>
        <v>960.81</v>
      </c>
      <c r="F13" s="193">
        <f t="shared" ref="F13:H13" si="2">SUM(F7:F12)</f>
        <v>43</v>
      </c>
      <c r="G13" s="194">
        <f>AVERAGE(G7:G12)</f>
        <v>0.58958054705804941</v>
      </c>
      <c r="H13" s="195">
        <f t="shared" si="2"/>
        <v>652.45829668503393</v>
      </c>
      <c r="I13" s="189">
        <f>AVERAGE(I7:I12)</f>
        <v>52.51537037037037</v>
      </c>
    </row>
    <row r="14" spans="2:11" ht="8.25" customHeight="1" x14ac:dyDescent="0.25">
      <c r="D14" s="196"/>
    </row>
    <row r="15" spans="2:11" x14ac:dyDescent="0.25">
      <c r="B15" s="197" t="s">
        <v>422</v>
      </c>
      <c r="F15" s="153" t="s">
        <v>423</v>
      </c>
      <c r="G15" s="198">
        <f>I13</f>
        <v>52.51537037037037</v>
      </c>
      <c r="J15" s="199"/>
    </row>
    <row r="16" spans="2:11" x14ac:dyDescent="0.25">
      <c r="F16" s="200" t="s">
        <v>424</v>
      </c>
      <c r="G16" s="201">
        <f>G13*G15</f>
        <v>30.962040791919041</v>
      </c>
    </row>
    <row r="18" spans="6:8" x14ac:dyDescent="0.25">
      <c r="F18" s="153" t="s">
        <v>198</v>
      </c>
      <c r="G18" s="154">
        <f>'[6](Pr Pal)'!F156</f>
        <v>9.3179999999999996</v>
      </c>
    </row>
    <row r="19" spans="6:8" x14ac:dyDescent="0.25">
      <c r="F19" s="153" t="s">
        <v>425</v>
      </c>
      <c r="G19" s="154">
        <f>'[6](Pr Hr)'!F197</f>
        <v>6.8</v>
      </c>
      <c r="H19" s="189"/>
    </row>
    <row r="20" spans="6:8" x14ac:dyDescent="0.25">
      <c r="F20" s="153" t="s">
        <v>426</v>
      </c>
      <c r="G20" s="202">
        <f>'[6](Pr Apr)'!F83</f>
        <v>9.6999999999999993</v>
      </c>
    </row>
    <row r="22" spans="6:8" x14ac:dyDescent="0.25">
      <c r="F22" s="153" t="s">
        <v>427</v>
      </c>
      <c r="G22" s="203">
        <f>$G$16/G18</f>
        <v>3.3228204327021937</v>
      </c>
    </row>
    <row r="23" spans="6:8" x14ac:dyDescent="0.25">
      <c r="F23" s="153" t="s">
        <v>428</v>
      </c>
      <c r="G23" s="203">
        <f>$G$16/G19</f>
        <v>4.5532412929292709</v>
      </c>
    </row>
    <row r="24" spans="6:8" x14ac:dyDescent="0.25">
      <c r="F24" s="153" t="s">
        <v>429</v>
      </c>
      <c r="G24" s="203">
        <f>$G$16/G20</f>
        <v>3.1919629682390767</v>
      </c>
    </row>
  </sheetData>
  <mergeCells count="4">
    <mergeCell ref="B4:H4"/>
    <mergeCell ref="B13:D13"/>
    <mergeCell ref="H1:K1"/>
    <mergeCell ref="F2:K2"/>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EEB02-6E29-4DF1-8FB2-1678B5FDF3DE}">
  <sheetPr>
    <tabColor rgb="FFFFFF00"/>
  </sheetPr>
  <dimension ref="A1:T63"/>
  <sheetViews>
    <sheetView zoomScale="80" zoomScaleNormal="80" workbookViewId="0">
      <selection activeCell="R26" sqref="R26"/>
    </sheetView>
  </sheetViews>
  <sheetFormatPr defaultRowHeight="15" x14ac:dyDescent="0.25"/>
  <cols>
    <col min="1" max="1" width="14.42578125" customWidth="1"/>
    <col min="2" max="2" width="28" customWidth="1"/>
    <col min="3" max="3" width="17.140625" customWidth="1"/>
    <col min="4" max="4" width="13.42578125" customWidth="1"/>
    <col min="5" max="5" width="13.5703125" customWidth="1"/>
    <col min="6" max="6" width="16.28515625" customWidth="1"/>
    <col min="7" max="7" width="15.42578125" customWidth="1"/>
    <col min="8" max="8" width="14" customWidth="1"/>
    <col min="9" max="9" width="17.28515625" customWidth="1"/>
    <col min="10" max="10" width="14.28515625" customWidth="1"/>
    <col min="11" max="11" width="13.28515625" customWidth="1"/>
    <col min="12" max="12" width="16.28515625" customWidth="1"/>
    <col min="13" max="13" width="18.28515625" customWidth="1"/>
    <col min="14" max="14" width="13.5703125" customWidth="1"/>
    <col min="15" max="15" width="12.5703125" customWidth="1"/>
    <col min="16" max="16" width="12.140625" customWidth="1"/>
    <col min="17" max="17" width="11.28515625" customWidth="1"/>
    <col min="18" max="18" width="17.28515625" customWidth="1"/>
    <col min="19" max="19" width="16.5703125" customWidth="1"/>
    <col min="20" max="20" width="13.42578125" customWidth="1"/>
  </cols>
  <sheetData>
    <row r="1" spans="1:20" ht="15.75" x14ac:dyDescent="0.25">
      <c r="I1" s="901"/>
      <c r="J1" s="998"/>
      <c r="K1" s="1137" t="s">
        <v>1460</v>
      </c>
      <c r="L1" s="1137"/>
      <c r="M1" s="1137"/>
      <c r="N1" s="1137"/>
    </row>
    <row r="2" spans="1:20" ht="46.5" customHeight="1" x14ac:dyDescent="0.25">
      <c r="I2" s="1161" t="s">
        <v>1342</v>
      </c>
      <c r="J2" s="1161"/>
      <c r="K2" s="1161"/>
      <c r="L2" s="1161"/>
      <c r="M2" s="1161"/>
      <c r="N2" s="1161"/>
    </row>
    <row r="4" spans="1:20" ht="20.25" x14ac:dyDescent="0.3">
      <c r="B4" s="22" t="s">
        <v>1227</v>
      </c>
      <c r="C4" s="4"/>
      <c r="D4" s="4"/>
      <c r="E4" s="2"/>
      <c r="F4" s="2"/>
      <c r="G4" s="2"/>
      <c r="H4" s="100"/>
      <c r="I4" s="100"/>
      <c r="J4" s="100"/>
      <c r="K4" s="100"/>
      <c r="L4" s="100"/>
      <c r="M4" s="100"/>
      <c r="N4" s="100"/>
      <c r="O4" s="100"/>
    </row>
    <row r="5" spans="1:20" ht="21" thickBot="1" x14ac:dyDescent="0.35">
      <c r="B5" s="22"/>
      <c r="C5" s="4"/>
      <c r="D5" s="4"/>
      <c r="E5" s="2"/>
      <c r="F5" s="2"/>
      <c r="G5" s="2"/>
      <c r="H5" s="100"/>
      <c r="I5" s="100"/>
      <c r="J5" s="100"/>
      <c r="K5" s="100"/>
      <c r="L5" s="461"/>
      <c r="M5" s="100"/>
      <c r="N5" s="461"/>
      <c r="O5" s="100"/>
    </row>
    <row r="6" spans="1:20" ht="19.5" thickBot="1" x14ac:dyDescent="0.35">
      <c r="B6" s="23" t="s">
        <v>1228</v>
      </c>
      <c r="C6" s="101"/>
      <c r="D6" s="101"/>
      <c r="E6" s="101"/>
      <c r="F6" s="101"/>
      <c r="G6" s="101"/>
      <c r="H6" s="101"/>
      <c r="I6" s="101"/>
      <c r="J6" s="101"/>
      <c r="K6" s="102"/>
      <c r="L6" s="540">
        <f>ROUND(H8+J30+H48,0)</f>
        <v>76246</v>
      </c>
      <c r="M6" s="103" t="s">
        <v>6</v>
      </c>
      <c r="N6" s="100"/>
      <c r="O6" s="8"/>
    </row>
    <row r="7" spans="1:20" ht="15.75" x14ac:dyDescent="0.25">
      <c r="B7" s="100"/>
      <c r="C7" s="100"/>
      <c r="D7" s="100"/>
      <c r="E7" s="100"/>
      <c r="F7" s="100"/>
      <c r="G7" s="100"/>
      <c r="H7" s="100"/>
      <c r="I7" s="100"/>
      <c r="J7" s="100"/>
      <c r="K7" s="100"/>
      <c r="L7" s="100"/>
      <c r="M7" s="100"/>
      <c r="N7" s="100"/>
      <c r="O7" s="100"/>
    </row>
    <row r="8" spans="1:20" ht="19.5" x14ac:dyDescent="0.3">
      <c r="A8" s="12"/>
      <c r="B8" s="805" t="s">
        <v>1244</v>
      </c>
      <c r="C8" s="12"/>
      <c r="D8" s="12"/>
      <c r="E8" s="12"/>
      <c r="F8" s="12"/>
      <c r="G8" s="12"/>
      <c r="H8" s="889">
        <f>M28</f>
        <v>18242.72</v>
      </c>
      <c r="I8" s="12"/>
      <c r="J8" s="12"/>
      <c r="K8" s="12"/>
      <c r="L8" s="12"/>
      <c r="M8" s="12"/>
      <c r="N8" s="12"/>
      <c r="O8" s="12"/>
      <c r="P8" s="12"/>
      <c r="Q8" s="12"/>
      <c r="R8" s="12"/>
      <c r="S8" s="12"/>
      <c r="T8" s="12"/>
    </row>
    <row r="9" spans="1:20" ht="19.5" x14ac:dyDescent="0.3">
      <c r="A9" s="12"/>
      <c r="B9" s="805"/>
      <c r="C9" s="12"/>
      <c r="D9" s="12"/>
      <c r="E9" s="12"/>
      <c r="F9" s="12"/>
      <c r="G9" s="12"/>
      <c r="H9" s="12"/>
      <c r="I9" s="12"/>
      <c r="J9" s="12"/>
      <c r="K9" s="12"/>
      <c r="L9" s="12"/>
      <c r="M9" s="12"/>
      <c r="N9" s="12"/>
      <c r="O9" s="12"/>
      <c r="P9" s="12"/>
      <c r="Q9" s="12"/>
      <c r="R9" s="12"/>
      <c r="S9" s="12"/>
      <c r="T9" s="12"/>
    </row>
    <row r="10" spans="1:20" ht="19.5" x14ac:dyDescent="0.25">
      <c r="A10" s="12"/>
      <c r="B10" s="806"/>
      <c r="C10" s="12"/>
      <c r="D10" s="12"/>
      <c r="E10" s="12"/>
      <c r="F10" s="825"/>
      <c r="H10" s="12"/>
      <c r="I10" s="12"/>
      <c r="J10" s="12"/>
      <c r="K10" s="12"/>
      <c r="L10" s="12"/>
      <c r="M10" s="12"/>
      <c r="N10" s="12"/>
      <c r="O10" s="12"/>
      <c r="P10" s="12"/>
      <c r="Q10" s="12"/>
      <c r="R10" s="12"/>
      <c r="S10" s="12"/>
      <c r="T10" s="12"/>
    </row>
    <row r="11" spans="1:20" ht="16.5" x14ac:dyDescent="0.25">
      <c r="A11" s="12"/>
      <c r="B11" s="807"/>
      <c r="C11" s="12"/>
      <c r="D11" s="12"/>
      <c r="E11" s="12"/>
      <c r="F11" s="12"/>
      <c r="G11" s="214"/>
      <c r="H11" s="12"/>
      <c r="I11" s="12"/>
      <c r="J11" s="12"/>
      <c r="K11" s="12"/>
      <c r="L11" s="12"/>
      <c r="M11" s="12"/>
      <c r="N11" s="12"/>
      <c r="O11" s="12"/>
      <c r="P11" s="12"/>
      <c r="Q11" s="12"/>
      <c r="R11" s="12"/>
      <c r="S11" s="12"/>
      <c r="T11" s="12"/>
    </row>
    <row r="12" spans="1:20" x14ac:dyDescent="0.25">
      <c r="A12" s="12"/>
      <c r="B12" s="12"/>
      <c r="C12" s="12"/>
      <c r="D12" s="12"/>
      <c r="E12" s="12"/>
      <c r="F12" s="12"/>
      <c r="G12" s="12"/>
      <c r="H12" s="12"/>
      <c r="I12" s="12"/>
      <c r="J12" s="12"/>
      <c r="K12" s="12"/>
      <c r="L12" s="12"/>
      <c r="M12" s="12"/>
      <c r="N12" s="12"/>
      <c r="O12" s="12"/>
      <c r="P12" s="12"/>
      <c r="Q12" s="12"/>
      <c r="R12" s="12"/>
      <c r="S12" s="12"/>
      <c r="T12" s="12"/>
    </row>
    <row r="13" spans="1:20" ht="75" x14ac:dyDescent="0.25">
      <c r="A13" s="214"/>
      <c r="B13" s="214"/>
      <c r="C13" s="214"/>
      <c r="D13" s="214"/>
      <c r="E13" s="214"/>
      <c r="F13" s="772" t="s">
        <v>64</v>
      </c>
      <c r="G13" s="772" t="s">
        <v>65</v>
      </c>
      <c r="H13" s="772" t="s">
        <v>66</v>
      </c>
      <c r="I13" s="1317" t="s">
        <v>67</v>
      </c>
      <c r="J13" s="661"/>
      <c r="K13" s="214"/>
      <c r="L13" s="214"/>
      <c r="M13" s="214"/>
      <c r="N13" s="214"/>
      <c r="O13" s="1317" t="s">
        <v>68</v>
      </c>
      <c r="P13" s="1317" t="s">
        <v>69</v>
      </c>
      <c r="Q13" s="1317" t="s">
        <v>70</v>
      </c>
      <c r="R13" s="808"/>
      <c r="S13" s="214"/>
    </row>
    <row r="14" spans="1:20" x14ac:dyDescent="0.25">
      <c r="A14" s="214"/>
      <c r="B14" s="214"/>
      <c r="C14" s="214"/>
      <c r="D14" s="214"/>
      <c r="E14" s="662" t="s">
        <v>71</v>
      </c>
      <c r="F14" s="72">
        <v>1485</v>
      </c>
      <c r="G14" s="72">
        <v>891</v>
      </c>
      <c r="H14" s="72">
        <v>594</v>
      </c>
      <c r="I14" s="1327"/>
      <c r="J14" s="214"/>
      <c r="K14" s="214"/>
      <c r="L14" s="214"/>
      <c r="M14" s="214"/>
      <c r="N14" s="214"/>
      <c r="O14" s="1327"/>
      <c r="P14" s="1327"/>
      <c r="Q14" s="1327"/>
      <c r="R14" s="808"/>
      <c r="S14" s="214"/>
    </row>
    <row r="15" spans="1:20" x14ac:dyDescent="0.25">
      <c r="A15" s="214"/>
      <c r="B15" s="214"/>
      <c r="C15" s="214"/>
      <c r="D15" s="214"/>
      <c r="E15" s="662" t="s">
        <v>72</v>
      </c>
      <c r="F15" s="72">
        <f>ROUND(F14/9600,4)</f>
        <v>0.1547</v>
      </c>
      <c r="G15" s="72">
        <f t="shared" ref="G15" si="0">ROUND(G14/9600,4)</f>
        <v>9.2799999999999994E-2</v>
      </c>
      <c r="H15" s="72">
        <f>ROUND(H14/9600,4)</f>
        <v>6.1899999999999997E-2</v>
      </c>
      <c r="I15" s="72">
        <v>0.2359</v>
      </c>
      <c r="J15" s="214"/>
      <c r="K15" s="214"/>
      <c r="L15" s="214"/>
      <c r="N15" s="662" t="s">
        <v>73</v>
      </c>
      <c r="O15" s="72">
        <v>0.2898</v>
      </c>
      <c r="P15" s="72">
        <v>3.15E-2</v>
      </c>
      <c r="Q15" s="72">
        <v>5.0200000000000002E-2</v>
      </c>
      <c r="R15" s="214"/>
      <c r="S15" s="214"/>
    </row>
    <row r="16" spans="1:20" x14ac:dyDescent="0.25">
      <c r="A16" s="214"/>
      <c r="B16" s="214"/>
      <c r="C16" s="214"/>
      <c r="D16" s="214"/>
      <c r="E16" s="214"/>
      <c r="F16" s="214"/>
      <c r="G16" s="214"/>
      <c r="H16" s="214"/>
      <c r="I16" s="214"/>
      <c r="J16" s="214"/>
      <c r="K16" s="214"/>
      <c r="L16" s="214"/>
      <c r="M16" s="214"/>
      <c r="N16" s="214"/>
      <c r="O16" s="214"/>
      <c r="P16" s="214"/>
      <c r="Q16" s="214"/>
      <c r="R16" s="214"/>
      <c r="S16" s="214"/>
    </row>
    <row r="17" spans="1:20" ht="60" customHeight="1" x14ac:dyDescent="0.25">
      <c r="A17" s="1410" t="s">
        <v>104</v>
      </c>
      <c r="B17" s="1414" t="s">
        <v>105</v>
      </c>
      <c r="C17" s="1410" t="s">
        <v>76</v>
      </c>
      <c r="D17" s="1410"/>
      <c r="E17" s="1410"/>
      <c r="F17" s="1410" t="s">
        <v>77</v>
      </c>
      <c r="G17" s="1410"/>
      <c r="H17" s="1410"/>
      <c r="I17" s="773" t="s">
        <v>78</v>
      </c>
      <c r="J17" s="1410" t="s">
        <v>79</v>
      </c>
      <c r="K17" s="1410"/>
      <c r="L17" s="1410"/>
      <c r="M17" s="1410" t="s">
        <v>107</v>
      </c>
      <c r="N17" s="1410" t="s">
        <v>81</v>
      </c>
      <c r="O17" s="1410" t="s">
        <v>82</v>
      </c>
      <c r="P17" s="1410" t="s">
        <v>83</v>
      </c>
      <c r="Q17" s="1410" t="s">
        <v>84</v>
      </c>
      <c r="R17" s="1517" t="s">
        <v>1229</v>
      </c>
      <c r="S17" s="1512" t="s">
        <v>1230</v>
      </c>
      <c r="T17" s="1512" t="s">
        <v>1231</v>
      </c>
    </row>
    <row r="18" spans="1:20" ht="55.5" customHeight="1" x14ac:dyDescent="0.25">
      <c r="A18" s="1410"/>
      <c r="B18" s="1415"/>
      <c r="C18" s="773" t="s">
        <v>90</v>
      </c>
      <c r="D18" s="773" t="s">
        <v>91</v>
      </c>
      <c r="E18" s="773" t="s">
        <v>92</v>
      </c>
      <c r="F18" s="773" t="s">
        <v>90</v>
      </c>
      <c r="G18" s="773" t="s">
        <v>91</v>
      </c>
      <c r="H18" s="773" t="s">
        <v>93</v>
      </c>
      <c r="I18" s="773" t="s">
        <v>94</v>
      </c>
      <c r="J18" s="773" t="s">
        <v>95</v>
      </c>
      <c r="K18" s="92" t="s">
        <v>96</v>
      </c>
      <c r="L18" s="93" t="s">
        <v>97</v>
      </c>
      <c r="M18" s="1410"/>
      <c r="N18" s="1410"/>
      <c r="O18" s="1410"/>
      <c r="P18" s="1410"/>
      <c r="Q18" s="1410"/>
      <c r="R18" s="1517"/>
      <c r="S18" s="1513"/>
      <c r="T18" s="1513"/>
    </row>
    <row r="19" spans="1:20" x14ac:dyDescent="0.25">
      <c r="A19" s="75">
        <v>1</v>
      </c>
      <c r="B19" s="76">
        <v>2</v>
      </c>
      <c r="C19" s="76">
        <v>3</v>
      </c>
      <c r="D19" s="76">
        <v>4</v>
      </c>
      <c r="E19" s="76">
        <v>5</v>
      </c>
      <c r="F19" s="76">
        <v>6</v>
      </c>
      <c r="G19" s="76">
        <v>7</v>
      </c>
      <c r="H19" s="76">
        <v>8</v>
      </c>
      <c r="I19" s="76">
        <v>9</v>
      </c>
      <c r="J19" s="76" t="s">
        <v>98</v>
      </c>
      <c r="K19" s="76">
        <v>11</v>
      </c>
      <c r="L19" s="76">
        <v>12</v>
      </c>
      <c r="M19" s="76">
        <v>13</v>
      </c>
      <c r="N19" s="76">
        <v>14</v>
      </c>
      <c r="O19" s="76">
        <v>15</v>
      </c>
      <c r="P19" s="76">
        <v>16</v>
      </c>
      <c r="Q19" s="76">
        <v>17</v>
      </c>
      <c r="R19" s="94">
        <v>18</v>
      </c>
      <c r="S19" s="809">
        <v>19</v>
      </c>
      <c r="T19" s="810">
        <v>20</v>
      </c>
    </row>
    <row r="20" spans="1:20" ht="60.75" customHeight="1" x14ac:dyDescent="0.25">
      <c r="A20" s="811">
        <v>60250</v>
      </c>
      <c r="B20" s="812" t="s">
        <v>99</v>
      </c>
      <c r="C20" s="666">
        <v>277</v>
      </c>
      <c r="D20" s="666">
        <v>0</v>
      </c>
      <c r="E20" s="666">
        <v>0</v>
      </c>
      <c r="F20" s="813">
        <f>ROUND((C20*$F$15),2)</f>
        <v>42.85</v>
      </c>
      <c r="G20" s="813">
        <f>ROUND((D20*G15),2)</f>
        <v>0</v>
      </c>
      <c r="H20" s="813">
        <f>ROUND((E20*$H$11),2)</f>
        <v>0</v>
      </c>
      <c r="I20" s="813">
        <f>ROUND(((F20+G20+H20)*$I$15),2)</f>
        <v>10.11</v>
      </c>
      <c r="J20" s="813">
        <f>K20+L20</f>
        <v>2.4899999999999998</v>
      </c>
      <c r="K20" s="668">
        <v>2.36</v>
      </c>
      <c r="L20" s="668">
        <v>0.13</v>
      </c>
      <c r="M20" s="667">
        <v>0</v>
      </c>
      <c r="N20" s="813">
        <v>0</v>
      </c>
      <c r="O20" s="813">
        <f>ROUND((F20+G20+H20)*$O$15,2)</f>
        <v>12.42</v>
      </c>
      <c r="P20" s="813">
        <f>ROUND((F20+G20+H20)*$P$15,2)</f>
        <v>1.35</v>
      </c>
      <c r="Q20" s="813">
        <f>ROUND((F20+G20+H20)*$Q$15,2)</f>
        <v>2.15</v>
      </c>
      <c r="R20" s="814">
        <f>F20+G20+H20+I20+J20+M20+O20+P20+Q20</f>
        <v>71.37</v>
      </c>
      <c r="S20" s="813">
        <f>R20-T20</f>
        <v>71.37</v>
      </c>
      <c r="T20" s="813">
        <v>0</v>
      </c>
    </row>
    <row r="21" spans="1:20" ht="78" customHeight="1" x14ac:dyDescent="0.25">
      <c r="A21" s="811">
        <v>60251</v>
      </c>
      <c r="B21" s="812" t="s">
        <v>100</v>
      </c>
      <c r="C21" s="666">
        <v>0</v>
      </c>
      <c r="D21" s="666">
        <v>275</v>
      </c>
      <c r="E21" s="666">
        <v>0</v>
      </c>
      <c r="F21" s="813">
        <f>ROUND((C21*$F$15),2)</f>
        <v>0</v>
      </c>
      <c r="G21" s="813">
        <f>ROUND((D21*$G$15),2)</f>
        <v>25.52</v>
      </c>
      <c r="H21" s="813">
        <f t="shared" ref="H21" si="1">ROUND((E21*$H$11),2)</f>
        <v>0</v>
      </c>
      <c r="I21" s="813">
        <f>ROUND(((F21+G21+H21)*$I$15),2)</f>
        <v>6.02</v>
      </c>
      <c r="J21" s="813">
        <f t="shared" ref="J21" si="2">K21+L21</f>
        <v>2.4899999999999998</v>
      </c>
      <c r="K21" s="668">
        <v>2.36</v>
      </c>
      <c r="L21" s="668">
        <v>0.13</v>
      </c>
      <c r="M21" s="667">
        <v>0</v>
      </c>
      <c r="N21" s="813">
        <v>0</v>
      </c>
      <c r="O21" s="813">
        <f>ROUND((F21+G21+H21)*$O$15,2)</f>
        <v>7.4</v>
      </c>
      <c r="P21" s="813">
        <f>ROUND((F21+G21+H21)*$P$15,2)</f>
        <v>0.8</v>
      </c>
      <c r="Q21" s="813">
        <f>ROUND((F21+G21+H21)*$Q$15,2)</f>
        <v>1.28</v>
      </c>
      <c r="R21" s="814">
        <f>F21+G21+H21+I21+J21+M21+O21+P21+Q21</f>
        <v>43.51</v>
      </c>
      <c r="S21" s="813">
        <f t="shared" ref="S21" si="3">R21-T21</f>
        <v>43.51</v>
      </c>
      <c r="T21" s="813">
        <v>0</v>
      </c>
    </row>
    <row r="24" spans="1:20" ht="36.75" customHeight="1" x14ac:dyDescent="0.25">
      <c r="A24" s="1514" t="s">
        <v>934</v>
      </c>
      <c r="B24" s="1514" t="s">
        <v>1232</v>
      </c>
      <c r="C24" s="1514" t="s">
        <v>1233</v>
      </c>
      <c r="D24" s="1514" t="s">
        <v>1234</v>
      </c>
      <c r="E24" s="1514" t="s">
        <v>1235</v>
      </c>
      <c r="F24" s="1514" t="s">
        <v>1236</v>
      </c>
      <c r="G24" s="1514" t="s">
        <v>1237</v>
      </c>
      <c r="H24" s="1515" t="s">
        <v>1238</v>
      </c>
      <c r="I24" s="1515"/>
      <c r="J24" s="1515"/>
      <c r="K24" s="1515"/>
      <c r="L24" s="1518" t="s">
        <v>1245</v>
      </c>
      <c r="M24" s="1516" t="s">
        <v>1239</v>
      </c>
    </row>
    <row r="25" spans="1:20" ht="110.25" customHeight="1" x14ac:dyDescent="0.25">
      <c r="A25" s="1514"/>
      <c r="B25" s="1514"/>
      <c r="C25" s="1514"/>
      <c r="D25" s="1514"/>
      <c r="E25" s="1514"/>
      <c r="F25" s="1514"/>
      <c r="G25" s="1514"/>
      <c r="H25" s="815" t="s">
        <v>1240</v>
      </c>
      <c r="I25" s="816" t="s">
        <v>1241</v>
      </c>
      <c r="J25" s="816" t="s">
        <v>1242</v>
      </c>
      <c r="K25" s="821" t="s">
        <v>196</v>
      </c>
      <c r="L25" s="1518"/>
      <c r="M25" s="1516"/>
    </row>
    <row r="26" spans="1:20" ht="87.75" customHeight="1" x14ac:dyDescent="0.25">
      <c r="A26" s="811">
        <v>60250</v>
      </c>
      <c r="B26" s="812" t="s">
        <v>99</v>
      </c>
      <c r="C26" s="817" t="s">
        <v>1243</v>
      </c>
      <c r="D26" s="818">
        <v>22.910000000000004</v>
      </c>
      <c r="E26" s="668">
        <f>S20</f>
        <v>71.37</v>
      </c>
      <c r="F26" s="819">
        <f>T20</f>
        <v>0</v>
      </c>
      <c r="G26" s="819">
        <f>E26-D26</f>
        <v>48.46</v>
      </c>
      <c r="H26" s="820">
        <v>240</v>
      </c>
      <c r="I26" s="820">
        <v>0</v>
      </c>
      <c r="J26" s="140">
        <v>0</v>
      </c>
      <c r="K26" s="822">
        <f t="shared" ref="K26:K27" si="4">SUM(H26:J26)</f>
        <v>240</v>
      </c>
      <c r="L26" s="794">
        <f>D26*K26</f>
        <v>5498.4000000000005</v>
      </c>
      <c r="M26" s="824">
        <f>K26*G26</f>
        <v>11630.4</v>
      </c>
    </row>
    <row r="27" spans="1:20" ht="74.25" customHeight="1" x14ac:dyDescent="0.25">
      <c r="A27" s="811">
        <v>60251</v>
      </c>
      <c r="B27" s="812" t="s">
        <v>100</v>
      </c>
      <c r="C27" s="817" t="s">
        <v>1243</v>
      </c>
      <c r="D27" s="818">
        <v>19.199999999999996</v>
      </c>
      <c r="E27" s="668">
        <f>S21</f>
        <v>43.51</v>
      </c>
      <c r="F27" s="819">
        <f>T21</f>
        <v>0</v>
      </c>
      <c r="G27" s="819">
        <f>E27-D27</f>
        <v>24.310000000000002</v>
      </c>
      <c r="H27" s="820">
        <v>272</v>
      </c>
      <c r="I27" s="820">
        <v>0</v>
      </c>
      <c r="J27" s="140">
        <v>0</v>
      </c>
      <c r="K27" s="822">
        <f t="shared" si="4"/>
        <v>272</v>
      </c>
      <c r="L27" s="794">
        <f>D27*K27</f>
        <v>5222.3999999999987</v>
      </c>
      <c r="M27" s="824">
        <f>K27*G27</f>
        <v>6612.3200000000006</v>
      </c>
    </row>
    <row r="28" spans="1:20" ht="19.5" x14ac:dyDescent="0.3">
      <c r="L28" s="823">
        <f>SUM(L26+L27)</f>
        <v>10720.8</v>
      </c>
      <c r="M28" s="891">
        <f>M26+M27</f>
        <v>18242.72</v>
      </c>
    </row>
    <row r="30" spans="1:20" ht="19.5" x14ac:dyDescent="0.3">
      <c r="B30" s="805" t="s">
        <v>1248</v>
      </c>
      <c r="C30" s="12"/>
      <c r="D30" s="12"/>
      <c r="E30" s="12"/>
      <c r="F30" s="12"/>
      <c r="G30" s="12"/>
      <c r="J30" s="890">
        <f>M45</f>
        <v>31386.12</v>
      </c>
    </row>
    <row r="31" spans="1:20" ht="19.5" x14ac:dyDescent="0.3">
      <c r="B31" s="805"/>
      <c r="C31" s="12"/>
      <c r="D31" s="12"/>
      <c r="E31" s="12"/>
      <c r="F31" s="12"/>
      <c r="G31" s="12"/>
    </row>
    <row r="33" spans="1:20" ht="75" x14ac:dyDescent="0.25">
      <c r="A33" s="214"/>
      <c r="B33" s="214"/>
      <c r="C33" s="214"/>
      <c r="D33" s="214"/>
      <c r="E33" s="214"/>
      <c r="F33" s="772" t="s">
        <v>64</v>
      </c>
      <c r="G33" s="772" t="s">
        <v>65</v>
      </c>
      <c r="H33" s="772" t="s">
        <v>66</v>
      </c>
      <c r="I33" s="1317" t="s">
        <v>67</v>
      </c>
      <c r="J33" s="661"/>
      <c r="K33" s="214"/>
      <c r="L33" s="214"/>
      <c r="M33" s="214"/>
      <c r="N33" s="214"/>
      <c r="O33" s="1317" t="s">
        <v>68</v>
      </c>
      <c r="P33" s="1317" t="s">
        <v>69</v>
      </c>
      <c r="Q33" s="1317" t="s">
        <v>70</v>
      </c>
      <c r="R33" s="808"/>
      <c r="S33" s="214"/>
    </row>
    <row r="34" spans="1:20" x14ac:dyDescent="0.25">
      <c r="A34" s="214"/>
      <c r="B34" s="214"/>
      <c r="C34" s="214"/>
      <c r="D34" s="214"/>
      <c r="E34" s="662" t="s">
        <v>71</v>
      </c>
      <c r="F34" s="72">
        <v>1485</v>
      </c>
      <c r="G34" s="72">
        <v>891</v>
      </c>
      <c r="H34" s="72">
        <v>594</v>
      </c>
      <c r="I34" s="1327"/>
      <c r="J34" s="214"/>
      <c r="K34" s="214"/>
      <c r="L34" s="214"/>
      <c r="M34" s="214"/>
      <c r="N34" s="214"/>
      <c r="O34" s="1327"/>
      <c r="P34" s="1327"/>
      <c r="Q34" s="1327"/>
      <c r="R34" s="808"/>
      <c r="S34" s="214"/>
    </row>
    <row r="35" spans="1:20" x14ac:dyDescent="0.25">
      <c r="A35" s="214"/>
      <c r="B35" s="214"/>
      <c r="C35" s="214"/>
      <c r="D35" s="214"/>
      <c r="E35" s="662" t="s">
        <v>72</v>
      </c>
      <c r="F35" s="72">
        <f>ROUND(F34/9600,4)</f>
        <v>0.1547</v>
      </c>
      <c r="G35" s="72">
        <f t="shared" ref="G35" si="5">ROUND(G34/9600,4)</f>
        <v>9.2799999999999994E-2</v>
      </c>
      <c r="H35" s="72">
        <f>ROUND(H34/9600,4)</f>
        <v>6.1899999999999997E-2</v>
      </c>
      <c r="I35" s="72">
        <v>0.2359</v>
      </c>
      <c r="J35" s="214"/>
      <c r="K35" s="214"/>
      <c r="L35" s="214"/>
      <c r="N35" s="662" t="s">
        <v>73</v>
      </c>
      <c r="O35" s="72">
        <v>0.2898</v>
      </c>
      <c r="P35" s="72">
        <v>3.15E-2</v>
      </c>
      <c r="Q35" s="72">
        <v>5.0200000000000002E-2</v>
      </c>
      <c r="R35" s="214"/>
      <c r="S35" s="214"/>
    </row>
    <row r="36" spans="1:20" x14ac:dyDescent="0.25">
      <c r="A36" s="214"/>
      <c r="B36" s="214"/>
      <c r="C36" s="214"/>
      <c r="D36" s="214"/>
      <c r="E36" s="214"/>
      <c r="F36" s="214"/>
      <c r="G36" s="214"/>
      <c r="H36" s="214"/>
      <c r="I36" s="214"/>
      <c r="J36" s="214"/>
      <c r="K36" s="214"/>
      <c r="L36" s="214"/>
      <c r="M36" s="214"/>
      <c r="N36" s="214"/>
      <c r="O36" s="214"/>
      <c r="P36" s="214"/>
      <c r="Q36" s="214"/>
      <c r="R36" s="214"/>
      <c r="S36" s="214"/>
    </row>
    <row r="37" spans="1:20" ht="60" x14ac:dyDescent="0.25">
      <c r="A37" s="1410" t="s">
        <v>104</v>
      </c>
      <c r="B37" s="1414" t="s">
        <v>105</v>
      </c>
      <c r="C37" s="1410" t="s">
        <v>76</v>
      </c>
      <c r="D37" s="1410"/>
      <c r="E37" s="1410"/>
      <c r="F37" s="1410" t="s">
        <v>77</v>
      </c>
      <c r="G37" s="1410"/>
      <c r="H37" s="1410"/>
      <c r="I37" s="773" t="s">
        <v>78</v>
      </c>
      <c r="J37" s="1410" t="s">
        <v>79</v>
      </c>
      <c r="K37" s="1410"/>
      <c r="L37" s="1410"/>
      <c r="M37" s="1410" t="s">
        <v>107</v>
      </c>
      <c r="N37" s="1410" t="s">
        <v>81</v>
      </c>
      <c r="O37" s="1410" t="s">
        <v>82</v>
      </c>
      <c r="P37" s="1410" t="s">
        <v>83</v>
      </c>
      <c r="Q37" s="1410" t="s">
        <v>84</v>
      </c>
      <c r="R37" s="1517" t="s">
        <v>1229</v>
      </c>
      <c r="S37" s="1512" t="s">
        <v>1230</v>
      </c>
      <c r="T37" s="1512" t="s">
        <v>1231</v>
      </c>
    </row>
    <row r="38" spans="1:20" ht="45" x14ac:dyDescent="0.25">
      <c r="A38" s="1410"/>
      <c r="B38" s="1415"/>
      <c r="C38" s="773" t="s">
        <v>90</v>
      </c>
      <c r="D38" s="773" t="s">
        <v>91</v>
      </c>
      <c r="E38" s="773" t="s">
        <v>92</v>
      </c>
      <c r="F38" s="773" t="s">
        <v>90</v>
      </c>
      <c r="G38" s="773" t="s">
        <v>91</v>
      </c>
      <c r="H38" s="773" t="s">
        <v>93</v>
      </c>
      <c r="I38" s="773" t="s">
        <v>94</v>
      </c>
      <c r="J38" s="773" t="s">
        <v>95</v>
      </c>
      <c r="K38" s="92" t="s">
        <v>96</v>
      </c>
      <c r="L38" s="93" t="s">
        <v>97</v>
      </c>
      <c r="M38" s="1410"/>
      <c r="N38" s="1410"/>
      <c r="O38" s="1410"/>
      <c r="P38" s="1410"/>
      <c r="Q38" s="1410"/>
      <c r="R38" s="1517"/>
      <c r="S38" s="1513"/>
      <c r="T38" s="1513"/>
    </row>
    <row r="39" spans="1:20" x14ac:dyDescent="0.25">
      <c r="A39" s="75">
        <v>1</v>
      </c>
      <c r="B39" s="76">
        <v>2</v>
      </c>
      <c r="C39" s="76">
        <v>3</v>
      </c>
      <c r="D39" s="76">
        <v>4</v>
      </c>
      <c r="E39" s="76">
        <v>5</v>
      </c>
      <c r="F39" s="76">
        <v>6</v>
      </c>
      <c r="G39" s="76">
        <v>7</v>
      </c>
      <c r="H39" s="76">
        <v>8</v>
      </c>
      <c r="I39" s="76">
        <v>9</v>
      </c>
      <c r="J39" s="76" t="s">
        <v>98</v>
      </c>
      <c r="K39" s="76">
        <v>11</v>
      </c>
      <c r="L39" s="76">
        <v>12</v>
      </c>
      <c r="M39" s="76">
        <v>13</v>
      </c>
      <c r="N39" s="76">
        <v>14</v>
      </c>
      <c r="O39" s="76">
        <v>15</v>
      </c>
      <c r="P39" s="76">
        <v>16</v>
      </c>
      <c r="Q39" s="76">
        <v>17</v>
      </c>
      <c r="R39" s="94">
        <v>18</v>
      </c>
      <c r="S39" s="809">
        <v>19</v>
      </c>
      <c r="T39" s="810">
        <v>20</v>
      </c>
    </row>
    <row r="40" spans="1:20" ht="105" x14ac:dyDescent="0.25">
      <c r="A40" s="811">
        <v>60252</v>
      </c>
      <c r="B40" s="812" t="s">
        <v>101</v>
      </c>
      <c r="C40" s="666">
        <v>0</v>
      </c>
      <c r="D40" s="666">
        <v>0</v>
      </c>
      <c r="E40" s="666">
        <v>0</v>
      </c>
      <c r="F40" s="813">
        <f>ROUND((C40*$F$14),2)</f>
        <v>0</v>
      </c>
      <c r="G40" s="813">
        <f>ROUND((D40*$G$14),2)</f>
        <v>0</v>
      </c>
      <c r="H40" s="813">
        <f>ROUND((E40*$H$14),2)</f>
        <v>0</v>
      </c>
      <c r="I40" s="813">
        <f>ROUND(((F40+G40+H40)*$I$14),2)</f>
        <v>0</v>
      </c>
      <c r="J40" s="813">
        <f t="shared" ref="J40" si="6">K40+L40</f>
        <v>16.04</v>
      </c>
      <c r="K40" s="668">
        <v>0</v>
      </c>
      <c r="L40" s="668">
        <v>16.04</v>
      </c>
      <c r="M40" s="667">
        <v>0</v>
      </c>
      <c r="N40" s="813">
        <v>0</v>
      </c>
      <c r="O40" s="813">
        <f>ROUND((F40+G40+H40)*$O$14,2)</f>
        <v>0</v>
      </c>
      <c r="P40" s="813">
        <f>ROUND((F40+G40+H40)*$P$14,2)</f>
        <v>0</v>
      </c>
      <c r="Q40" s="813">
        <f>ROUND((F40+G40+H40)*$Q$14,2)</f>
        <v>0</v>
      </c>
      <c r="R40" s="814">
        <f t="shared" ref="R40" si="7">F40+G40+H40+I40+J40+M40+O40+P40+Q40</f>
        <v>16.04</v>
      </c>
      <c r="S40" s="813">
        <f>R40-T40</f>
        <v>16.04</v>
      </c>
      <c r="T40" s="813">
        <v>0</v>
      </c>
    </row>
    <row r="43" spans="1:20" x14ac:dyDescent="0.25">
      <c r="A43" s="1514" t="s">
        <v>934</v>
      </c>
      <c r="B43" s="1514" t="s">
        <v>1232</v>
      </c>
      <c r="C43" s="1514" t="s">
        <v>1233</v>
      </c>
      <c r="D43" s="1514" t="s">
        <v>1234</v>
      </c>
      <c r="E43" s="1514" t="s">
        <v>1235</v>
      </c>
      <c r="F43" s="1514" t="s">
        <v>1236</v>
      </c>
      <c r="G43" s="1514" t="s">
        <v>1237</v>
      </c>
      <c r="H43" s="1515" t="s">
        <v>1238</v>
      </c>
      <c r="I43" s="1515"/>
      <c r="J43" s="1515"/>
      <c r="K43" s="1519"/>
      <c r="L43" s="1518" t="s">
        <v>1245</v>
      </c>
      <c r="M43" s="1520" t="s">
        <v>1249</v>
      </c>
    </row>
    <row r="44" spans="1:20" ht="29.25" customHeight="1" x14ac:dyDescent="0.25">
      <c r="A44" s="1514"/>
      <c r="B44" s="1514"/>
      <c r="C44" s="1514"/>
      <c r="D44" s="1514"/>
      <c r="E44" s="1514"/>
      <c r="F44" s="1514"/>
      <c r="G44" s="1514"/>
      <c r="H44" s="815" t="s">
        <v>1240</v>
      </c>
      <c r="I44" s="816" t="s">
        <v>1241</v>
      </c>
      <c r="J44" s="816" t="s">
        <v>1242</v>
      </c>
      <c r="K44" s="816" t="s">
        <v>196</v>
      </c>
      <c r="L44" s="1518"/>
      <c r="M44" s="1520"/>
    </row>
    <row r="45" spans="1:20" ht="201.75" customHeight="1" x14ac:dyDescent="0.25">
      <c r="A45" s="811" t="s">
        <v>1246</v>
      </c>
      <c r="B45" s="812" t="s">
        <v>1247</v>
      </c>
      <c r="C45" s="812" t="s">
        <v>101</v>
      </c>
      <c r="D45" s="818">
        <v>7.63</v>
      </c>
      <c r="E45" s="668">
        <f>S40</f>
        <v>16.04</v>
      </c>
      <c r="F45" s="819">
        <f>T40</f>
        <v>0</v>
      </c>
      <c r="G45" s="819">
        <f>E45-D45</f>
        <v>8.41</v>
      </c>
      <c r="H45" s="820">
        <v>3732</v>
      </c>
      <c r="I45" s="820">
        <v>0</v>
      </c>
      <c r="J45" s="140">
        <v>0</v>
      </c>
      <c r="K45" s="682">
        <f t="shared" ref="K45" si="8">SUM(H45:J45)</f>
        <v>3732</v>
      </c>
      <c r="L45" s="826">
        <f>D45*K45</f>
        <v>28475.16</v>
      </c>
      <c r="M45" s="827">
        <f>K45*G45</f>
        <v>31386.12</v>
      </c>
    </row>
    <row r="48" spans="1:20" ht="19.5" x14ac:dyDescent="0.3">
      <c r="B48" s="805" t="s">
        <v>1252</v>
      </c>
      <c r="C48" s="12"/>
      <c r="D48" s="12"/>
      <c r="E48" s="12"/>
      <c r="F48" s="12"/>
      <c r="G48" s="12"/>
      <c r="H48" s="890">
        <f>M63</f>
        <v>26617.58</v>
      </c>
    </row>
    <row r="49" spans="1:20" ht="19.5" x14ac:dyDescent="0.3">
      <c r="B49" s="805"/>
      <c r="C49" s="12"/>
      <c r="D49" s="12"/>
      <c r="E49" s="12"/>
      <c r="F49" s="12"/>
      <c r="G49" s="12"/>
    </row>
    <row r="51" spans="1:20" ht="75" x14ac:dyDescent="0.25">
      <c r="A51" s="214"/>
      <c r="B51" s="214"/>
      <c r="C51" s="214"/>
      <c r="D51" s="214"/>
      <c r="E51" s="214"/>
      <c r="F51" s="772" t="s">
        <v>64</v>
      </c>
      <c r="G51" s="772" t="s">
        <v>65</v>
      </c>
      <c r="H51" s="772" t="s">
        <v>66</v>
      </c>
      <c r="I51" s="1317" t="s">
        <v>67</v>
      </c>
      <c r="J51" s="661"/>
      <c r="K51" s="214"/>
      <c r="L51" s="214"/>
      <c r="M51" s="214"/>
      <c r="N51" s="214"/>
      <c r="O51" s="1317" t="s">
        <v>68</v>
      </c>
      <c r="P51" s="1317" t="s">
        <v>69</v>
      </c>
      <c r="Q51" s="1317" t="s">
        <v>70</v>
      </c>
      <c r="R51" s="808"/>
      <c r="S51" s="214"/>
    </row>
    <row r="52" spans="1:20" x14ac:dyDescent="0.25">
      <c r="A52" s="214"/>
      <c r="B52" s="214"/>
      <c r="C52" s="214"/>
      <c r="D52" s="214"/>
      <c r="E52" s="662" t="s">
        <v>71</v>
      </c>
      <c r="F52" s="72">
        <v>1485</v>
      </c>
      <c r="G52" s="72">
        <v>891</v>
      </c>
      <c r="H52" s="72">
        <v>594</v>
      </c>
      <c r="I52" s="1327"/>
      <c r="J52" s="214"/>
      <c r="K52" s="214"/>
      <c r="L52" s="214"/>
      <c r="M52" s="214"/>
      <c r="N52" s="214"/>
      <c r="O52" s="1327"/>
      <c r="P52" s="1327"/>
      <c r="Q52" s="1327"/>
      <c r="R52" s="808"/>
      <c r="S52" s="214"/>
    </row>
    <row r="53" spans="1:20" x14ac:dyDescent="0.25">
      <c r="A53" s="214"/>
      <c r="B53" s="214"/>
      <c r="C53" s="214"/>
      <c r="D53" s="214"/>
      <c r="E53" s="662" t="s">
        <v>72</v>
      </c>
      <c r="F53" s="72">
        <f>ROUND(F52/9600,4)</f>
        <v>0.1547</v>
      </c>
      <c r="G53" s="72">
        <f t="shared" ref="G53" si="9">ROUND(G52/9600,4)</f>
        <v>9.2799999999999994E-2</v>
      </c>
      <c r="H53" s="72">
        <f>ROUND(H52/9600,4)</f>
        <v>6.1899999999999997E-2</v>
      </c>
      <c r="I53" s="72">
        <v>0.2359</v>
      </c>
      <c r="J53" s="214"/>
      <c r="K53" s="214"/>
      <c r="L53" s="214"/>
      <c r="N53" s="662" t="s">
        <v>73</v>
      </c>
      <c r="O53" s="72">
        <v>0.2898</v>
      </c>
      <c r="P53" s="72">
        <v>3.15E-2</v>
      </c>
      <c r="Q53" s="72">
        <v>5.0200000000000002E-2</v>
      </c>
      <c r="R53" s="214"/>
      <c r="S53" s="214"/>
    </row>
    <row r="54" spans="1:20" x14ac:dyDescent="0.25">
      <c r="A54" s="214"/>
      <c r="B54" s="214"/>
      <c r="C54" s="214"/>
      <c r="D54" s="214"/>
      <c r="E54" s="214"/>
      <c r="F54" s="214"/>
      <c r="G54" s="214"/>
      <c r="H54" s="214"/>
      <c r="I54" s="214"/>
      <c r="J54" s="214"/>
      <c r="K54" s="214"/>
      <c r="L54" s="214"/>
      <c r="M54" s="214"/>
      <c r="N54" s="214"/>
      <c r="O54" s="214"/>
      <c r="P54" s="214"/>
      <c r="Q54" s="214"/>
      <c r="R54" s="214"/>
      <c r="S54" s="214"/>
    </row>
    <row r="55" spans="1:20" ht="60" x14ac:dyDescent="0.25">
      <c r="A55" s="1410" t="s">
        <v>104</v>
      </c>
      <c r="B55" s="1414" t="s">
        <v>105</v>
      </c>
      <c r="C55" s="1410" t="s">
        <v>76</v>
      </c>
      <c r="D55" s="1410"/>
      <c r="E55" s="1410"/>
      <c r="F55" s="1410" t="s">
        <v>77</v>
      </c>
      <c r="G55" s="1410"/>
      <c r="H55" s="1410"/>
      <c r="I55" s="773" t="s">
        <v>78</v>
      </c>
      <c r="J55" s="1410" t="s">
        <v>79</v>
      </c>
      <c r="K55" s="1410"/>
      <c r="L55" s="1410"/>
      <c r="M55" s="1410" t="s">
        <v>107</v>
      </c>
      <c r="N55" s="1410" t="s">
        <v>81</v>
      </c>
      <c r="O55" s="1410" t="s">
        <v>82</v>
      </c>
      <c r="P55" s="1410" t="s">
        <v>83</v>
      </c>
      <c r="Q55" s="1410" t="s">
        <v>84</v>
      </c>
      <c r="R55" s="1517" t="s">
        <v>1229</v>
      </c>
      <c r="S55" s="1512" t="s">
        <v>1230</v>
      </c>
      <c r="T55" s="1512" t="s">
        <v>1231</v>
      </c>
    </row>
    <row r="56" spans="1:20" ht="45" x14ac:dyDescent="0.25">
      <c r="A56" s="1410"/>
      <c r="B56" s="1415"/>
      <c r="C56" s="773" t="s">
        <v>90</v>
      </c>
      <c r="D56" s="773" t="s">
        <v>91</v>
      </c>
      <c r="E56" s="773" t="s">
        <v>92</v>
      </c>
      <c r="F56" s="773" t="s">
        <v>90</v>
      </c>
      <c r="G56" s="773" t="s">
        <v>91</v>
      </c>
      <c r="H56" s="773" t="s">
        <v>93</v>
      </c>
      <c r="I56" s="773" t="s">
        <v>94</v>
      </c>
      <c r="J56" s="773" t="s">
        <v>95</v>
      </c>
      <c r="K56" s="92" t="s">
        <v>96</v>
      </c>
      <c r="L56" s="93" t="s">
        <v>97</v>
      </c>
      <c r="M56" s="1410"/>
      <c r="N56" s="1410"/>
      <c r="O56" s="1410"/>
      <c r="P56" s="1410"/>
      <c r="Q56" s="1410"/>
      <c r="R56" s="1517"/>
      <c r="S56" s="1513"/>
      <c r="T56" s="1513"/>
    </row>
    <row r="57" spans="1:20" x14ac:dyDescent="0.25">
      <c r="A57" s="75">
        <v>1</v>
      </c>
      <c r="B57" s="76">
        <v>2</v>
      </c>
      <c r="C57" s="76">
        <v>3</v>
      </c>
      <c r="D57" s="76">
        <v>4</v>
      </c>
      <c r="E57" s="76">
        <v>5</v>
      </c>
      <c r="F57" s="76">
        <v>6</v>
      </c>
      <c r="G57" s="76">
        <v>7</v>
      </c>
      <c r="H57" s="76">
        <v>8</v>
      </c>
      <c r="I57" s="76">
        <v>9</v>
      </c>
      <c r="J57" s="76" t="s">
        <v>98</v>
      </c>
      <c r="K57" s="76">
        <v>11</v>
      </c>
      <c r="L57" s="76">
        <v>12</v>
      </c>
      <c r="M57" s="76">
        <v>13</v>
      </c>
      <c r="N57" s="76">
        <v>14</v>
      </c>
      <c r="O57" s="76">
        <v>15</v>
      </c>
      <c r="P57" s="76">
        <v>16</v>
      </c>
      <c r="Q57" s="76">
        <v>17</v>
      </c>
      <c r="R57" s="94">
        <v>18</v>
      </c>
      <c r="S57" s="809">
        <v>19</v>
      </c>
      <c r="T57" s="810">
        <v>20</v>
      </c>
    </row>
    <row r="58" spans="1:20" ht="105" x14ac:dyDescent="0.25">
      <c r="A58" s="811" t="s">
        <v>1250</v>
      </c>
      <c r="B58" s="812" t="s">
        <v>1251</v>
      </c>
      <c r="C58" s="666">
        <v>0</v>
      </c>
      <c r="D58" s="666">
        <v>0</v>
      </c>
      <c r="E58" s="666">
        <v>0</v>
      </c>
      <c r="F58" s="813">
        <f>ROUND((C58*$F$53),2)</f>
        <v>0</v>
      </c>
      <c r="G58" s="813">
        <f>ROUND((D58*$G$53),2)</f>
        <v>0</v>
      </c>
      <c r="H58" s="813">
        <f>ROUND((E58*$H$53),2)</f>
        <v>0</v>
      </c>
      <c r="I58" s="813">
        <f>ROUND(((F58+G58+H58)*$I$53),2)</f>
        <v>0</v>
      </c>
      <c r="J58" s="813">
        <f>K58+L58</f>
        <v>16.04</v>
      </c>
      <c r="K58" s="668">
        <v>0</v>
      </c>
      <c r="L58" s="668">
        <v>16.04</v>
      </c>
      <c r="M58" s="667">
        <v>12.16</v>
      </c>
      <c r="N58" s="813">
        <v>0</v>
      </c>
      <c r="O58" s="813">
        <f>ROUND((F58+G58+H58)*$O$14,2)</f>
        <v>0</v>
      </c>
      <c r="P58" s="813">
        <f>ROUND((F58+G58+H58)*$P$14,2)</f>
        <v>0</v>
      </c>
      <c r="Q58" s="813">
        <f>ROUND((F58+G58+H58)*$Q$14,2)</f>
        <v>0</v>
      </c>
      <c r="R58" s="814">
        <f>F58+G58+H58+I58+J58+M58+O58+P58+Q58</f>
        <v>28.2</v>
      </c>
      <c r="S58" s="813">
        <f>R58-T58</f>
        <v>28.2</v>
      </c>
      <c r="T58" s="813">
        <v>0</v>
      </c>
    </row>
    <row r="61" spans="1:20" x14ac:dyDescent="0.25">
      <c r="A61" s="1514" t="s">
        <v>934</v>
      </c>
      <c r="B61" s="1514" t="s">
        <v>1232</v>
      </c>
      <c r="C61" s="1514" t="s">
        <v>1233</v>
      </c>
      <c r="D61" s="1514" t="s">
        <v>1234</v>
      </c>
      <c r="E61" s="1514" t="s">
        <v>1235</v>
      </c>
      <c r="F61" s="1514" t="s">
        <v>1236</v>
      </c>
      <c r="G61" s="1514" t="s">
        <v>1237</v>
      </c>
      <c r="H61" s="1515" t="s">
        <v>1238</v>
      </c>
      <c r="I61" s="1515"/>
      <c r="J61" s="1515"/>
      <c r="K61" s="1519"/>
      <c r="L61" s="1518" t="s">
        <v>1245</v>
      </c>
      <c r="M61" s="1520" t="s">
        <v>1253</v>
      </c>
    </row>
    <row r="62" spans="1:20" ht="30" customHeight="1" x14ac:dyDescent="0.25">
      <c r="A62" s="1514"/>
      <c r="B62" s="1514"/>
      <c r="C62" s="1514"/>
      <c r="D62" s="1514"/>
      <c r="E62" s="1514"/>
      <c r="F62" s="1514"/>
      <c r="G62" s="1514"/>
      <c r="H62" s="815" t="s">
        <v>1240</v>
      </c>
      <c r="I62" s="816" t="s">
        <v>1241</v>
      </c>
      <c r="J62" s="816" t="s">
        <v>1242</v>
      </c>
      <c r="K62" s="816" t="s">
        <v>196</v>
      </c>
      <c r="L62" s="1518"/>
      <c r="M62" s="1520"/>
    </row>
    <row r="63" spans="1:20" ht="210" x14ac:dyDescent="0.25">
      <c r="A63" s="811" t="s">
        <v>1250</v>
      </c>
      <c r="B63" s="812" t="s">
        <v>1247</v>
      </c>
      <c r="C63" s="812" t="s">
        <v>1251</v>
      </c>
      <c r="D63" s="818">
        <v>7.63</v>
      </c>
      <c r="E63" s="668">
        <f>S58</f>
        <v>28.2</v>
      </c>
      <c r="F63" s="819">
        <f>T58</f>
        <v>0</v>
      </c>
      <c r="G63" s="819">
        <f>E63-D63</f>
        <v>20.57</v>
      </c>
      <c r="H63" s="820">
        <v>1294</v>
      </c>
      <c r="I63" s="820">
        <v>0</v>
      </c>
      <c r="J63" s="140">
        <v>0</v>
      </c>
      <c r="K63" s="682">
        <f t="shared" ref="K63" si="10">SUM(H63:J63)</f>
        <v>1294</v>
      </c>
      <c r="L63" s="826">
        <f>D63*K63</f>
        <v>9873.2199999999993</v>
      </c>
      <c r="M63" s="827">
        <f>K63*G63</f>
        <v>26617.58</v>
      </c>
    </row>
  </sheetData>
  <mergeCells count="83">
    <mergeCell ref="K1:N1"/>
    <mergeCell ref="I2:N2"/>
    <mergeCell ref="R55:R56"/>
    <mergeCell ref="S55:S56"/>
    <mergeCell ref="T55:T56"/>
    <mergeCell ref="Q55:Q56"/>
    <mergeCell ref="Q51:Q52"/>
    <mergeCell ref="M55:M56"/>
    <mergeCell ref="N55:N56"/>
    <mergeCell ref="O55:O56"/>
    <mergeCell ref="P55:P56"/>
    <mergeCell ref="I51:I52"/>
    <mergeCell ref="O51:O52"/>
    <mergeCell ref="P51:P52"/>
    <mergeCell ref="Q37:Q38"/>
    <mergeCell ref="R37:R38"/>
    <mergeCell ref="A61:A62"/>
    <mergeCell ref="B61:B62"/>
    <mergeCell ref="C61:C62"/>
    <mergeCell ref="D61:D62"/>
    <mergeCell ref="E61:E62"/>
    <mergeCell ref="F61:F62"/>
    <mergeCell ref="L61:L62"/>
    <mergeCell ref="G61:G62"/>
    <mergeCell ref="H61:K61"/>
    <mergeCell ref="M61:M62"/>
    <mergeCell ref="A55:A56"/>
    <mergeCell ref="B55:B56"/>
    <mergeCell ref="C55:E55"/>
    <mergeCell ref="F55:H55"/>
    <mergeCell ref="J55:L55"/>
    <mergeCell ref="A37:A38"/>
    <mergeCell ref="C37:E37"/>
    <mergeCell ref="F37:H37"/>
    <mergeCell ref="J37:L37"/>
    <mergeCell ref="M37:M38"/>
    <mergeCell ref="A43:A44"/>
    <mergeCell ref="H43:K43"/>
    <mergeCell ref="M43:M44"/>
    <mergeCell ref="P37:P38"/>
    <mergeCell ref="I33:I34"/>
    <mergeCell ref="O33:O34"/>
    <mergeCell ref="B43:B44"/>
    <mergeCell ref="C43:C44"/>
    <mergeCell ref="D43:D44"/>
    <mergeCell ref="E43:E44"/>
    <mergeCell ref="F43:F44"/>
    <mergeCell ref="G43:G44"/>
    <mergeCell ref="O37:O38"/>
    <mergeCell ref="B37:B38"/>
    <mergeCell ref="N37:N38"/>
    <mergeCell ref="L43:L44"/>
    <mergeCell ref="S37:S38"/>
    <mergeCell ref="T37:T38"/>
    <mergeCell ref="P33:P34"/>
    <mergeCell ref="Q33:Q34"/>
    <mergeCell ref="L24:L25"/>
    <mergeCell ref="T17:T18"/>
    <mergeCell ref="A24:A25"/>
    <mergeCell ref="B24:B25"/>
    <mergeCell ref="C24:C25"/>
    <mergeCell ref="D24:D25"/>
    <mergeCell ref="E24:E25"/>
    <mergeCell ref="F24:F25"/>
    <mergeCell ref="G24:G25"/>
    <mergeCell ref="H24:K24"/>
    <mergeCell ref="M24:M25"/>
    <mergeCell ref="N17:N18"/>
    <mergeCell ref="O17:O18"/>
    <mergeCell ref="P17:P18"/>
    <mergeCell ref="Q17:Q18"/>
    <mergeCell ref="R17:R18"/>
    <mergeCell ref="S17:S18"/>
    <mergeCell ref="I13:I14"/>
    <mergeCell ref="O13:O14"/>
    <mergeCell ref="P13:P14"/>
    <mergeCell ref="Q13:Q14"/>
    <mergeCell ref="M17:M18"/>
    <mergeCell ref="A17:A18"/>
    <mergeCell ref="B17:B18"/>
    <mergeCell ref="C17:E17"/>
    <mergeCell ref="F17:H17"/>
    <mergeCell ref="J17:L17"/>
  </mergeCells>
  <pageMargins left="0.7" right="0.7" top="0.75" bottom="0.75" header="0.3" footer="0.3"/>
  <pageSetup paperSize="9" orientation="portrait" r:id="rId1"/>
  <legacy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E9995-1753-4BF0-BF9F-A31425D7BBCD}">
  <sheetPr>
    <tabColor rgb="FFFFFF00"/>
  </sheetPr>
  <dimension ref="A1:T51"/>
  <sheetViews>
    <sheetView zoomScale="80" zoomScaleNormal="80" workbookViewId="0">
      <selection activeCell="Q48" sqref="Q48"/>
    </sheetView>
  </sheetViews>
  <sheetFormatPr defaultRowHeight="15" x14ac:dyDescent="0.25"/>
  <cols>
    <col min="1" max="1" width="12.28515625" customWidth="1"/>
    <col min="2" max="2" width="22" customWidth="1"/>
    <col min="5" max="5" width="14" customWidth="1"/>
    <col min="6" max="6" width="14.28515625" customWidth="1"/>
    <col min="7" max="7" width="11.85546875" customWidth="1"/>
    <col min="8" max="8" width="14.42578125" customWidth="1"/>
    <col min="9" max="9" width="18.85546875" customWidth="1"/>
    <col min="10" max="10" width="13.5703125" customWidth="1"/>
    <col min="11" max="11" width="13" customWidth="1"/>
    <col min="12" max="12" width="20.42578125" customWidth="1"/>
    <col min="13" max="13" width="17.7109375" customWidth="1"/>
    <col min="14" max="14" width="15.7109375" customWidth="1"/>
    <col min="15" max="15" width="13.85546875" customWidth="1"/>
    <col min="16" max="16" width="15.140625" customWidth="1"/>
    <col min="17" max="17" width="14" customWidth="1"/>
    <col min="18" max="18" width="17.42578125" customWidth="1"/>
    <col min="19" max="19" width="14.5703125" customWidth="1"/>
    <col min="20" max="20" width="18" customWidth="1"/>
  </cols>
  <sheetData>
    <row r="1" spans="1:20" ht="15.75" x14ac:dyDescent="0.25">
      <c r="L1" s="901"/>
      <c r="M1" s="998"/>
      <c r="N1" s="1137" t="s">
        <v>1461</v>
      </c>
      <c r="O1" s="1137"/>
      <c r="P1" s="1137"/>
      <c r="Q1" s="1137"/>
    </row>
    <row r="2" spans="1:20" ht="41.25" customHeight="1" x14ac:dyDescent="0.25">
      <c r="L2" s="1161" t="s">
        <v>1342</v>
      </c>
      <c r="M2" s="1161"/>
      <c r="N2" s="1161"/>
      <c r="O2" s="1161"/>
      <c r="P2" s="1161"/>
      <c r="Q2" s="1161"/>
    </row>
    <row r="4" spans="1:20" ht="18.75" x14ac:dyDescent="0.3">
      <c r="B4" s="829" t="s">
        <v>1256</v>
      </c>
    </row>
    <row r="5" spans="1:20" ht="18.75" x14ac:dyDescent="0.3">
      <c r="B5" s="829"/>
      <c r="C5" s="845"/>
      <c r="D5" s="845"/>
      <c r="E5" s="845"/>
      <c r="F5" s="845"/>
      <c r="G5" s="845"/>
      <c r="H5" s="845"/>
      <c r="I5" s="845"/>
      <c r="J5" s="846">
        <v>2022</v>
      </c>
      <c r="K5" s="846">
        <v>2023</v>
      </c>
      <c r="L5" s="846" t="s">
        <v>1410</v>
      </c>
    </row>
    <row r="6" spans="1:20" ht="18.75" x14ac:dyDescent="0.3">
      <c r="B6" s="1526" t="s">
        <v>1272</v>
      </c>
      <c r="C6" s="1526"/>
      <c r="D6" s="1526"/>
      <c r="E6" s="1526"/>
      <c r="F6" s="1526"/>
      <c r="G6" s="1526"/>
      <c r="H6" s="1526"/>
      <c r="I6" s="1526"/>
      <c r="J6" s="847">
        <f>ROUND(N8+K31,0)</f>
        <v>91878</v>
      </c>
      <c r="K6" s="847">
        <f>ROUND(N8+L31,0)</f>
        <v>110383</v>
      </c>
      <c r="L6" s="847">
        <f>ROUND(N8+M31,0)</f>
        <v>128889</v>
      </c>
      <c r="M6" s="8" t="s">
        <v>6</v>
      </c>
    </row>
    <row r="8" spans="1:20" ht="19.5" x14ac:dyDescent="0.3">
      <c r="A8" s="12"/>
      <c r="B8" s="805" t="s">
        <v>1260</v>
      </c>
      <c r="C8" s="12"/>
      <c r="D8" s="12"/>
      <c r="E8" s="12"/>
      <c r="F8" s="12"/>
      <c r="G8" s="12"/>
      <c r="H8" s="12"/>
      <c r="I8" s="12"/>
      <c r="J8" s="12"/>
      <c r="K8" s="12"/>
      <c r="L8" s="12"/>
      <c r="M8" s="12"/>
      <c r="N8" s="889">
        <f>H28</f>
        <v>36361.300000000003</v>
      </c>
      <c r="P8" s="12"/>
      <c r="Q8" s="12"/>
      <c r="R8" s="12"/>
      <c r="S8" s="12"/>
      <c r="T8" s="12"/>
    </row>
    <row r="9" spans="1:20" ht="19.5" x14ac:dyDescent="0.3">
      <c r="A9" s="12"/>
      <c r="B9" s="805"/>
      <c r="C9" s="12"/>
      <c r="D9" s="12"/>
      <c r="E9" s="12"/>
      <c r="F9" s="12"/>
      <c r="G9" s="12"/>
      <c r="H9" s="12"/>
      <c r="I9" s="12"/>
      <c r="J9" s="12"/>
      <c r="K9" s="12"/>
      <c r="L9" s="12"/>
      <c r="M9" s="12"/>
      <c r="N9" s="12"/>
      <c r="O9" s="12"/>
      <c r="P9" s="12"/>
      <c r="Q9" s="12"/>
      <c r="R9" s="12"/>
      <c r="S9" s="12"/>
      <c r="T9" s="12"/>
    </row>
    <row r="10" spans="1:20" ht="16.5" x14ac:dyDescent="0.25">
      <c r="A10" s="12"/>
      <c r="B10" s="807"/>
      <c r="C10" s="12"/>
      <c r="D10" s="12"/>
      <c r="E10" s="12"/>
      <c r="F10" s="12"/>
      <c r="G10" s="214"/>
      <c r="H10" s="12"/>
      <c r="I10" s="12"/>
      <c r="J10" s="12"/>
      <c r="K10" s="12"/>
      <c r="L10" s="12"/>
      <c r="M10" s="12"/>
      <c r="N10" s="12"/>
      <c r="O10" s="12"/>
      <c r="P10" s="12"/>
      <c r="Q10" s="12"/>
      <c r="R10" s="12"/>
      <c r="S10" s="12"/>
      <c r="T10" s="12"/>
    </row>
    <row r="11" spans="1:20" x14ac:dyDescent="0.25">
      <c r="A11" s="12"/>
      <c r="B11" s="12"/>
      <c r="C11" s="12"/>
      <c r="D11" s="12"/>
      <c r="E11" s="12"/>
      <c r="F11" s="12"/>
      <c r="G11" s="12"/>
      <c r="H11" s="12"/>
      <c r="I11" s="12"/>
      <c r="J11" s="12"/>
      <c r="K11" s="12"/>
      <c r="L11" s="12"/>
      <c r="M11" s="12"/>
      <c r="N11" s="12"/>
      <c r="O11" s="12"/>
      <c r="P11" s="12"/>
      <c r="Q11" s="12"/>
      <c r="R11" s="12"/>
      <c r="S11" s="12"/>
      <c r="T11" s="12"/>
    </row>
    <row r="12" spans="1:20" ht="60" x14ac:dyDescent="0.25">
      <c r="A12" s="214"/>
      <c r="B12" s="214"/>
      <c r="C12" s="214"/>
      <c r="D12" s="214"/>
      <c r="E12" s="214"/>
      <c r="F12" s="772" t="s">
        <v>64</v>
      </c>
      <c r="G12" s="772" t="s">
        <v>65</v>
      </c>
      <c r="H12" s="772" t="s">
        <v>66</v>
      </c>
      <c r="I12" s="1317" t="s">
        <v>67</v>
      </c>
      <c r="J12" s="661"/>
      <c r="K12" s="214"/>
      <c r="L12" s="214"/>
      <c r="M12" s="214"/>
      <c r="N12" s="214"/>
      <c r="O12" s="1317" t="s">
        <v>68</v>
      </c>
      <c r="P12" s="1317" t="s">
        <v>69</v>
      </c>
      <c r="Q12" s="1317" t="s">
        <v>70</v>
      </c>
      <c r="R12" s="808"/>
      <c r="S12" s="214"/>
    </row>
    <row r="13" spans="1:20" x14ac:dyDescent="0.25">
      <c r="A13" s="214"/>
      <c r="B13" s="214"/>
      <c r="C13" s="214"/>
      <c r="D13" s="214"/>
      <c r="E13" s="662" t="s">
        <v>71</v>
      </c>
      <c r="F13" s="72">
        <v>1485</v>
      </c>
      <c r="G13" s="72">
        <v>891</v>
      </c>
      <c r="H13" s="72">
        <v>594</v>
      </c>
      <c r="I13" s="1327"/>
      <c r="J13" s="214"/>
      <c r="K13" s="214"/>
      <c r="L13" s="214"/>
      <c r="M13" s="214"/>
      <c r="N13" s="214"/>
      <c r="O13" s="1327"/>
      <c r="P13" s="1327"/>
      <c r="Q13" s="1327"/>
      <c r="R13" s="808"/>
      <c r="S13" s="214"/>
    </row>
    <row r="14" spans="1:20" x14ac:dyDescent="0.25">
      <c r="A14" s="214"/>
      <c r="B14" s="214"/>
      <c r="C14" s="214"/>
      <c r="D14" s="214"/>
      <c r="E14" s="662" t="s">
        <v>72</v>
      </c>
      <c r="F14" s="72">
        <f>ROUND(F13/9600,4)</f>
        <v>0.1547</v>
      </c>
      <c r="G14" s="72">
        <f t="shared" ref="G14" si="0">ROUND(G13/9600,4)</f>
        <v>9.2799999999999994E-2</v>
      </c>
      <c r="H14" s="72">
        <f>ROUND(H13/9600,4)</f>
        <v>6.1899999999999997E-2</v>
      </c>
      <c r="I14" s="72">
        <v>0.2359</v>
      </c>
      <c r="J14" s="214"/>
      <c r="K14" s="214"/>
      <c r="L14" s="214"/>
      <c r="N14" s="662" t="s">
        <v>73</v>
      </c>
      <c r="O14" s="72">
        <v>0.2898</v>
      </c>
      <c r="P14" s="72">
        <v>3.15E-2</v>
      </c>
      <c r="Q14" s="72">
        <v>5.0200000000000002E-2</v>
      </c>
      <c r="R14" s="214"/>
      <c r="S14" s="214"/>
    </row>
    <row r="15" spans="1:20" x14ac:dyDescent="0.25">
      <c r="A15" s="214"/>
      <c r="B15" s="214"/>
      <c r="C15" s="214"/>
      <c r="D15" s="214"/>
      <c r="E15" s="214"/>
      <c r="F15" s="214"/>
      <c r="G15" s="214"/>
      <c r="H15" s="214"/>
      <c r="I15" s="214"/>
      <c r="J15" s="214"/>
      <c r="K15" s="214"/>
      <c r="L15" s="214"/>
      <c r="M15" s="214"/>
      <c r="N15" s="214"/>
      <c r="O15" s="214"/>
      <c r="P15" s="214"/>
      <c r="Q15" s="214"/>
      <c r="R15" s="214"/>
      <c r="S15" s="214"/>
    </row>
    <row r="16" spans="1:20" ht="66.75" customHeight="1" x14ac:dyDescent="0.25">
      <c r="A16" s="1410" t="s">
        <v>104</v>
      </c>
      <c r="B16" s="1414" t="s">
        <v>105</v>
      </c>
      <c r="C16" s="1410" t="s">
        <v>76</v>
      </c>
      <c r="D16" s="1410"/>
      <c r="E16" s="1410"/>
      <c r="F16" s="1410" t="s">
        <v>77</v>
      </c>
      <c r="G16" s="1410"/>
      <c r="H16" s="1410"/>
      <c r="I16" s="773" t="s">
        <v>78</v>
      </c>
      <c r="J16" s="1410" t="s">
        <v>79</v>
      </c>
      <c r="K16" s="1410"/>
      <c r="L16" s="1410"/>
      <c r="M16" s="1410" t="s">
        <v>107</v>
      </c>
      <c r="N16" s="1410" t="s">
        <v>81</v>
      </c>
      <c r="O16" s="1410" t="s">
        <v>82</v>
      </c>
      <c r="P16" s="1410" t="s">
        <v>83</v>
      </c>
      <c r="Q16" s="1410" t="s">
        <v>84</v>
      </c>
      <c r="R16" s="1517" t="s">
        <v>1229</v>
      </c>
      <c r="S16" s="1512" t="s">
        <v>1230</v>
      </c>
      <c r="T16" s="1512" t="s">
        <v>1231</v>
      </c>
    </row>
    <row r="17" spans="1:20" ht="45.75" customHeight="1" x14ac:dyDescent="0.25">
      <c r="A17" s="1410"/>
      <c r="B17" s="1415"/>
      <c r="C17" s="773" t="s">
        <v>90</v>
      </c>
      <c r="D17" s="773" t="s">
        <v>91</v>
      </c>
      <c r="E17" s="773" t="s">
        <v>92</v>
      </c>
      <c r="F17" s="773" t="s">
        <v>90</v>
      </c>
      <c r="G17" s="773" t="s">
        <v>91</v>
      </c>
      <c r="H17" s="773" t="s">
        <v>93</v>
      </c>
      <c r="I17" s="773" t="s">
        <v>94</v>
      </c>
      <c r="J17" s="773" t="s">
        <v>95</v>
      </c>
      <c r="K17" s="92" t="s">
        <v>96</v>
      </c>
      <c r="L17" s="93" t="s">
        <v>97</v>
      </c>
      <c r="M17" s="1410"/>
      <c r="N17" s="1410"/>
      <c r="O17" s="1410"/>
      <c r="P17" s="1410"/>
      <c r="Q17" s="1410"/>
      <c r="R17" s="1517"/>
      <c r="S17" s="1513"/>
      <c r="T17" s="1513"/>
    </row>
    <row r="18" spans="1:20" x14ac:dyDescent="0.25">
      <c r="A18" s="75">
        <v>1</v>
      </c>
      <c r="B18" s="76">
        <v>2</v>
      </c>
      <c r="C18" s="76">
        <v>3</v>
      </c>
      <c r="D18" s="76">
        <v>4</v>
      </c>
      <c r="E18" s="76">
        <v>5</v>
      </c>
      <c r="F18" s="76">
        <v>6</v>
      </c>
      <c r="G18" s="76">
        <v>7</v>
      </c>
      <c r="H18" s="76">
        <v>8</v>
      </c>
      <c r="I18" s="76">
        <v>9</v>
      </c>
      <c r="J18" s="76" t="s">
        <v>98</v>
      </c>
      <c r="K18" s="76">
        <v>11</v>
      </c>
      <c r="L18" s="76">
        <v>12</v>
      </c>
      <c r="M18" s="76">
        <v>13</v>
      </c>
      <c r="N18" s="76">
        <v>14</v>
      </c>
      <c r="O18" s="76">
        <v>15</v>
      </c>
      <c r="P18" s="76">
        <v>16</v>
      </c>
      <c r="Q18" s="76">
        <v>17</v>
      </c>
      <c r="R18" s="94">
        <v>18</v>
      </c>
      <c r="S18" s="809">
        <v>19</v>
      </c>
      <c r="T18" s="810">
        <v>20</v>
      </c>
    </row>
    <row r="19" spans="1:20" ht="80.25" customHeight="1" x14ac:dyDescent="0.25">
      <c r="A19" s="811" t="s">
        <v>1257</v>
      </c>
      <c r="B19" s="830" t="s">
        <v>110</v>
      </c>
      <c r="C19" s="666">
        <v>0</v>
      </c>
      <c r="D19" s="666">
        <v>0</v>
      </c>
      <c r="E19" s="666">
        <v>0</v>
      </c>
      <c r="F19" s="813">
        <f>ROUND((C19*$F$14),2)</f>
        <v>0</v>
      </c>
      <c r="G19" s="813">
        <f>ROUND((D19*$G$14),2)</f>
        <v>0</v>
      </c>
      <c r="H19" s="813">
        <f>ROUND((E19*$H$14),2)</f>
        <v>0</v>
      </c>
      <c r="I19" s="813">
        <f>ROUND(((F19+G19+H19)*$I$14),2)</f>
        <v>0</v>
      </c>
      <c r="J19" s="813">
        <f t="shared" ref="J19:J21" si="1">K19+L19</f>
        <v>3.57</v>
      </c>
      <c r="K19" s="668">
        <v>0</v>
      </c>
      <c r="L19" s="668">
        <v>3.57</v>
      </c>
      <c r="M19" s="667">
        <v>0</v>
      </c>
      <c r="N19" s="813">
        <v>0</v>
      </c>
      <c r="O19" s="813">
        <f>ROUND((F19+G19+H19)*$O$10,2)</f>
        <v>0</v>
      </c>
      <c r="P19" s="813">
        <f>ROUND((F19+G19+H19)*$P$10,2)</f>
        <v>0</v>
      </c>
      <c r="Q19" s="813">
        <f>ROUND((F19+G19+H19)*$Q$10,2)</f>
        <v>0</v>
      </c>
      <c r="R19" s="814">
        <f t="shared" ref="R19" si="2">F19+G19+H19+I19+J19+M19+O19+P19+Q19</f>
        <v>3.57</v>
      </c>
      <c r="S19" s="813">
        <f>R19-T19</f>
        <v>3.57</v>
      </c>
      <c r="T19" s="813">
        <v>0</v>
      </c>
    </row>
    <row r="20" spans="1:20" ht="81" customHeight="1" x14ac:dyDescent="0.25">
      <c r="A20" s="811" t="s">
        <v>1257</v>
      </c>
      <c r="B20" s="830" t="s">
        <v>111</v>
      </c>
      <c r="C20" s="666">
        <v>0</v>
      </c>
      <c r="D20" s="666">
        <v>0</v>
      </c>
      <c r="E20" s="666">
        <v>0</v>
      </c>
      <c r="F20" s="813">
        <f>ROUND((C20*$F$14),2)</f>
        <v>0</v>
      </c>
      <c r="G20" s="813">
        <f t="shared" ref="G20:G21" si="3">ROUND((D20*$G$14),2)</f>
        <v>0</v>
      </c>
      <c r="H20" s="813">
        <f t="shared" ref="H20:H21" si="4">ROUND((E20*$H$14),2)</f>
        <v>0</v>
      </c>
      <c r="I20" s="813">
        <f t="shared" ref="I20:I21" si="5">ROUND(((F20+G20+H20)*$I$14),2)</f>
        <v>0</v>
      </c>
      <c r="J20" s="813">
        <f t="shared" si="1"/>
        <v>3.58</v>
      </c>
      <c r="K20" s="668">
        <v>0</v>
      </c>
      <c r="L20" s="668">
        <v>3.58</v>
      </c>
      <c r="M20" s="667">
        <v>0</v>
      </c>
      <c r="N20" s="813">
        <v>0</v>
      </c>
      <c r="O20" s="813">
        <f t="shared" ref="O20:O21" si="6">ROUND((F20+G20+H20)*$O$10,2)</f>
        <v>0</v>
      </c>
      <c r="P20" s="813">
        <f t="shared" ref="P20:P21" si="7">ROUND((F20+G20+H20)*$P$10,2)</f>
        <v>0</v>
      </c>
      <c r="Q20" s="813">
        <f t="shared" ref="Q20:Q21" si="8">ROUND((F20+G20+H20)*$Q$10,2)</f>
        <v>0</v>
      </c>
      <c r="R20" s="814">
        <f>F20+G20+H20+I20+J20+M20+O20+P20+Q20</f>
        <v>3.58</v>
      </c>
      <c r="S20" s="813">
        <f t="shared" ref="S20" si="9">R20-T20</f>
        <v>3.58</v>
      </c>
      <c r="T20" s="813">
        <v>0</v>
      </c>
    </row>
    <row r="21" spans="1:20" ht="63.75" customHeight="1" x14ac:dyDescent="0.25">
      <c r="A21" s="811" t="s">
        <v>1257</v>
      </c>
      <c r="B21" s="830" t="s">
        <v>112</v>
      </c>
      <c r="C21" s="666">
        <v>0</v>
      </c>
      <c r="D21" s="666">
        <v>0</v>
      </c>
      <c r="E21" s="666">
        <v>0</v>
      </c>
      <c r="F21" s="813">
        <f>ROUND((C21*$F$14),2)</f>
        <v>0</v>
      </c>
      <c r="G21" s="813">
        <f t="shared" si="3"/>
        <v>0</v>
      </c>
      <c r="H21" s="813">
        <f t="shared" si="4"/>
        <v>0</v>
      </c>
      <c r="I21" s="813">
        <f t="shared" si="5"/>
        <v>0</v>
      </c>
      <c r="J21" s="813">
        <f t="shared" si="1"/>
        <v>0.72</v>
      </c>
      <c r="K21" s="668">
        <v>0</v>
      </c>
      <c r="L21" s="668">
        <v>0.72</v>
      </c>
      <c r="M21" s="667">
        <v>0</v>
      </c>
      <c r="N21" s="813">
        <v>0</v>
      </c>
      <c r="O21" s="813">
        <f t="shared" si="6"/>
        <v>0</v>
      </c>
      <c r="P21" s="813">
        <f t="shared" si="7"/>
        <v>0</v>
      </c>
      <c r="Q21" s="813">
        <f t="shared" si="8"/>
        <v>0</v>
      </c>
      <c r="R21" s="814">
        <f>F21+G21+H21+I21+J21+M21+O21+P21+Q21</f>
        <v>0.72</v>
      </c>
      <c r="S21" s="813">
        <f>R21-T21</f>
        <v>0.72</v>
      </c>
      <c r="T21" s="813">
        <v>0</v>
      </c>
    </row>
    <row r="23" spans="1:20" x14ac:dyDescent="0.25">
      <c r="A23" s="1521" t="s">
        <v>104</v>
      </c>
      <c r="B23" s="1514" t="s">
        <v>105</v>
      </c>
      <c r="C23" s="1522" t="s">
        <v>1258</v>
      </c>
      <c r="D23" s="1524" t="s">
        <v>1236</v>
      </c>
      <c r="E23" s="1524" t="s">
        <v>1259</v>
      </c>
      <c r="F23" s="1522" t="s">
        <v>88</v>
      </c>
      <c r="G23" s="1522" t="s">
        <v>109</v>
      </c>
      <c r="H23" s="1524" t="s">
        <v>1239</v>
      </c>
    </row>
    <row r="24" spans="1:20" ht="81.75" customHeight="1" x14ac:dyDescent="0.25">
      <c r="A24" s="1521"/>
      <c r="B24" s="1514"/>
      <c r="C24" s="1523"/>
      <c r="D24" s="1525"/>
      <c r="E24" s="1525"/>
      <c r="F24" s="1523"/>
      <c r="G24" s="1523"/>
      <c r="H24" s="1525"/>
    </row>
    <row r="25" spans="1:20" ht="75" x14ac:dyDescent="0.25">
      <c r="A25" s="811" t="s">
        <v>1257</v>
      </c>
      <c r="B25" s="771" t="s">
        <v>110</v>
      </c>
      <c r="C25" s="832">
        <f>R19</f>
        <v>3.57</v>
      </c>
      <c r="D25" s="819">
        <f>T19</f>
        <v>0</v>
      </c>
      <c r="E25" s="833">
        <v>0</v>
      </c>
      <c r="F25" s="820">
        <v>8</v>
      </c>
      <c r="G25" s="820">
        <v>365</v>
      </c>
      <c r="H25" s="819">
        <f>C25*F25*G25</f>
        <v>10424.4</v>
      </c>
    </row>
    <row r="26" spans="1:20" ht="75" x14ac:dyDescent="0.25">
      <c r="A26" s="811" t="s">
        <v>1257</v>
      </c>
      <c r="B26" s="771" t="s">
        <v>111</v>
      </c>
      <c r="C26" s="834">
        <f>R20</f>
        <v>3.58</v>
      </c>
      <c r="D26" s="819">
        <f t="shared" ref="D26:D27" si="10">T20</f>
        <v>0</v>
      </c>
      <c r="E26" s="833">
        <v>0</v>
      </c>
      <c r="F26" s="820">
        <v>11</v>
      </c>
      <c r="G26" s="831">
        <v>365</v>
      </c>
      <c r="H26" s="819">
        <f t="shared" ref="H26:H27" si="11">C26*F26*G26</f>
        <v>14373.7</v>
      </c>
    </row>
    <row r="27" spans="1:20" ht="60" x14ac:dyDescent="0.25">
      <c r="A27" s="811" t="s">
        <v>1257</v>
      </c>
      <c r="B27" s="771" t="s">
        <v>112</v>
      </c>
      <c r="C27" s="834">
        <f>R21</f>
        <v>0.72</v>
      </c>
      <c r="D27" s="819">
        <f t="shared" si="10"/>
        <v>0</v>
      </c>
      <c r="E27" s="833">
        <v>0</v>
      </c>
      <c r="F27" s="820">
        <v>44</v>
      </c>
      <c r="G27" s="831">
        <v>365</v>
      </c>
      <c r="H27" s="819">
        <f t="shared" si="11"/>
        <v>11563.2</v>
      </c>
    </row>
    <row r="28" spans="1:20" ht="16.5" x14ac:dyDescent="0.25">
      <c r="B28" s="205"/>
      <c r="C28" s="205"/>
      <c r="D28" s="205"/>
      <c r="E28" s="205"/>
      <c r="F28" s="205"/>
      <c r="G28" s="836" t="s">
        <v>102</v>
      </c>
      <c r="H28" s="837">
        <f>H25+H26+H27</f>
        <v>36361.300000000003</v>
      </c>
    </row>
    <row r="30" spans="1:20" ht="17.25" customHeight="1" x14ac:dyDescent="0.25"/>
    <row r="31" spans="1:20" ht="19.5" x14ac:dyDescent="0.3">
      <c r="B31" s="805" t="s">
        <v>1262</v>
      </c>
      <c r="C31" s="12"/>
      <c r="D31" s="12"/>
      <c r="E31" s="12"/>
      <c r="F31" s="12"/>
      <c r="G31" s="12"/>
      <c r="K31" s="843">
        <f>L48</f>
        <v>55516.500000000007</v>
      </c>
      <c r="L31" s="843">
        <f>M48</f>
        <v>74022</v>
      </c>
      <c r="M31" s="843">
        <f>N48</f>
        <v>92527.5</v>
      </c>
    </row>
    <row r="32" spans="1:20" ht="19.5" x14ac:dyDescent="0.3">
      <c r="B32" s="805"/>
      <c r="C32" s="12"/>
      <c r="D32" s="12"/>
      <c r="E32" s="12"/>
      <c r="F32" s="12"/>
      <c r="G32" s="12"/>
      <c r="K32" s="844">
        <v>2022</v>
      </c>
      <c r="L32" s="844">
        <v>2023</v>
      </c>
      <c r="M32" s="844" t="s">
        <v>1410</v>
      </c>
    </row>
    <row r="35" spans="1:20" ht="60" x14ac:dyDescent="0.25">
      <c r="A35" s="214"/>
      <c r="B35" s="214"/>
      <c r="C35" s="214"/>
      <c r="D35" s="214"/>
      <c r="E35" s="214"/>
      <c r="F35" s="772" t="s">
        <v>64</v>
      </c>
      <c r="G35" s="772" t="s">
        <v>65</v>
      </c>
      <c r="H35" s="772" t="s">
        <v>66</v>
      </c>
      <c r="I35" s="1317" t="s">
        <v>67</v>
      </c>
      <c r="J35" s="661"/>
      <c r="K35" s="214"/>
      <c r="L35" s="214"/>
      <c r="M35" s="214"/>
      <c r="N35" s="214"/>
      <c r="O35" s="1317" t="s">
        <v>68</v>
      </c>
      <c r="P35" s="1317" t="s">
        <v>69</v>
      </c>
      <c r="Q35" s="1317" t="s">
        <v>70</v>
      </c>
      <c r="R35" s="808"/>
      <c r="S35" s="214"/>
    </row>
    <row r="36" spans="1:20" x14ac:dyDescent="0.25">
      <c r="A36" s="214"/>
      <c r="B36" s="214"/>
      <c r="C36" s="214"/>
      <c r="D36" s="214"/>
      <c r="E36" s="662" t="s">
        <v>71</v>
      </c>
      <c r="F36" s="72">
        <v>1485</v>
      </c>
      <c r="G36" s="72">
        <v>891</v>
      </c>
      <c r="H36" s="72">
        <v>594</v>
      </c>
      <c r="I36" s="1327"/>
      <c r="J36" s="214"/>
      <c r="K36" s="214"/>
      <c r="L36" s="214"/>
      <c r="M36" s="214"/>
      <c r="N36" s="214"/>
      <c r="O36" s="1327"/>
      <c r="P36" s="1327"/>
      <c r="Q36" s="1327"/>
      <c r="R36" s="808"/>
      <c r="S36" s="214"/>
    </row>
    <row r="37" spans="1:20" x14ac:dyDescent="0.25">
      <c r="A37" s="214"/>
      <c r="B37" s="214"/>
      <c r="C37" s="214"/>
      <c r="D37" s="214"/>
      <c r="E37" s="662" t="s">
        <v>72</v>
      </c>
      <c r="F37" s="72">
        <f>ROUND(F36/9600,4)</f>
        <v>0.1547</v>
      </c>
      <c r="G37" s="72">
        <f t="shared" ref="G37" si="12">ROUND(G36/9600,4)</f>
        <v>9.2799999999999994E-2</v>
      </c>
      <c r="H37" s="72">
        <f>ROUND(H36/9600,4)</f>
        <v>6.1899999999999997E-2</v>
      </c>
      <c r="I37" s="72">
        <v>0.2359</v>
      </c>
      <c r="J37" s="214"/>
      <c r="K37" s="214"/>
      <c r="L37" s="214"/>
      <c r="N37" s="662" t="s">
        <v>73</v>
      </c>
      <c r="O37" s="72">
        <v>0.2898</v>
      </c>
      <c r="P37" s="72">
        <v>3.15E-2</v>
      </c>
      <c r="Q37" s="72">
        <v>5.0200000000000002E-2</v>
      </c>
      <c r="R37" s="214"/>
      <c r="S37" s="214"/>
    </row>
    <row r="38" spans="1:20" x14ac:dyDescent="0.25">
      <c r="A38" s="214"/>
      <c r="B38" s="214"/>
      <c r="C38" s="214"/>
      <c r="D38" s="214"/>
      <c r="E38" s="214"/>
      <c r="F38" s="214"/>
      <c r="G38" s="214"/>
      <c r="H38" s="214"/>
      <c r="I38" s="214"/>
      <c r="J38" s="214"/>
      <c r="K38" s="214"/>
      <c r="L38" s="214"/>
      <c r="M38" s="214"/>
      <c r="N38" s="214"/>
      <c r="O38" s="214"/>
      <c r="P38" s="214"/>
      <c r="Q38" s="214"/>
      <c r="R38" s="214"/>
      <c r="S38" s="214"/>
    </row>
    <row r="39" spans="1:20" ht="60" x14ac:dyDescent="0.25">
      <c r="A39" s="1410" t="s">
        <v>104</v>
      </c>
      <c r="B39" s="1414" t="s">
        <v>105</v>
      </c>
      <c r="C39" s="1410" t="s">
        <v>76</v>
      </c>
      <c r="D39" s="1410"/>
      <c r="E39" s="1410"/>
      <c r="F39" s="1410" t="s">
        <v>77</v>
      </c>
      <c r="G39" s="1410"/>
      <c r="H39" s="1410"/>
      <c r="I39" s="773" t="s">
        <v>78</v>
      </c>
      <c r="J39" s="1410" t="s">
        <v>79</v>
      </c>
      <c r="K39" s="1410"/>
      <c r="L39" s="1410"/>
      <c r="M39" s="1410" t="s">
        <v>107</v>
      </c>
      <c r="N39" s="1410" t="s">
        <v>81</v>
      </c>
      <c r="O39" s="1410" t="s">
        <v>82</v>
      </c>
      <c r="P39" s="1410" t="s">
        <v>83</v>
      </c>
      <c r="Q39" s="1410" t="s">
        <v>84</v>
      </c>
      <c r="R39" s="1517" t="s">
        <v>1229</v>
      </c>
      <c r="S39" s="1512" t="s">
        <v>1230</v>
      </c>
      <c r="T39" s="1512" t="s">
        <v>1231</v>
      </c>
    </row>
    <row r="40" spans="1:20" ht="45" x14ac:dyDescent="0.25">
      <c r="A40" s="1410"/>
      <c r="B40" s="1415"/>
      <c r="C40" s="773" t="s">
        <v>90</v>
      </c>
      <c r="D40" s="773" t="s">
        <v>91</v>
      </c>
      <c r="E40" s="773" t="s">
        <v>92</v>
      </c>
      <c r="F40" s="773" t="s">
        <v>90</v>
      </c>
      <c r="G40" s="773" t="s">
        <v>91</v>
      </c>
      <c r="H40" s="773" t="s">
        <v>93</v>
      </c>
      <c r="I40" s="773" t="s">
        <v>94</v>
      </c>
      <c r="J40" s="773" t="s">
        <v>95</v>
      </c>
      <c r="K40" s="92" t="s">
        <v>96</v>
      </c>
      <c r="L40" s="93" t="s">
        <v>97</v>
      </c>
      <c r="M40" s="1410"/>
      <c r="N40" s="1410"/>
      <c r="O40" s="1410"/>
      <c r="P40" s="1410"/>
      <c r="Q40" s="1410"/>
      <c r="R40" s="1517"/>
      <c r="S40" s="1513"/>
      <c r="T40" s="1513"/>
    </row>
    <row r="41" spans="1:20" x14ac:dyDescent="0.25">
      <c r="A41" s="75">
        <v>1</v>
      </c>
      <c r="B41" s="76">
        <v>2</v>
      </c>
      <c r="C41" s="76">
        <v>3</v>
      </c>
      <c r="D41" s="76">
        <v>4</v>
      </c>
      <c r="E41" s="76">
        <v>5</v>
      </c>
      <c r="F41" s="76">
        <v>6</v>
      </c>
      <c r="G41" s="76">
        <v>7</v>
      </c>
      <c r="H41" s="76">
        <v>8</v>
      </c>
      <c r="I41" s="76">
        <v>9</v>
      </c>
      <c r="J41" s="76" t="s">
        <v>98</v>
      </c>
      <c r="K41" s="76">
        <v>11</v>
      </c>
      <c r="L41" s="76">
        <v>12</v>
      </c>
      <c r="M41" s="76">
        <v>13</v>
      </c>
      <c r="N41" s="76">
        <v>14</v>
      </c>
      <c r="O41" s="76">
        <v>15</v>
      </c>
      <c r="P41" s="76">
        <v>16</v>
      </c>
      <c r="Q41" s="76">
        <v>17</v>
      </c>
      <c r="R41" s="94">
        <v>18</v>
      </c>
      <c r="S41" s="809">
        <v>19</v>
      </c>
      <c r="T41" s="810">
        <v>20</v>
      </c>
    </row>
    <row r="42" spans="1:20" ht="75" x14ac:dyDescent="0.25">
      <c r="A42" s="811" t="s">
        <v>1257</v>
      </c>
      <c r="B42" s="812" t="s">
        <v>1261</v>
      </c>
      <c r="C42" s="666">
        <v>0</v>
      </c>
      <c r="D42" s="666">
        <v>0</v>
      </c>
      <c r="E42" s="666">
        <v>0</v>
      </c>
      <c r="F42" s="813">
        <f>ROUND((C42*$F$37),2)</f>
        <v>0</v>
      </c>
      <c r="G42" s="813">
        <f>ROUND((D42*$G$37),2)</f>
        <v>0</v>
      </c>
      <c r="H42" s="813">
        <f>ROUND((E42*$H$37),2)</f>
        <v>0</v>
      </c>
      <c r="I42" s="813">
        <f>ROUND(((F42+G42+H42)*$I$37),2)</f>
        <v>0</v>
      </c>
      <c r="J42" s="813">
        <f t="shared" ref="J42" si="13">K42+L42</f>
        <v>3.58</v>
      </c>
      <c r="K42" s="668">
        <v>0</v>
      </c>
      <c r="L42" s="668">
        <v>3.58</v>
      </c>
      <c r="M42" s="667">
        <v>1.49</v>
      </c>
      <c r="N42" s="813">
        <v>0</v>
      </c>
      <c r="O42" s="813">
        <f>ROUND((F42+G42+H42)*$O$15,2)</f>
        <v>0</v>
      </c>
      <c r="P42" s="813">
        <f>ROUND((F42+G42+H42)*$P$15,2)</f>
        <v>0</v>
      </c>
      <c r="Q42" s="813">
        <f>ROUND((F42+G42+H42)*$Q$15,2)</f>
        <v>0</v>
      </c>
      <c r="R42" s="814">
        <f>F42+G42+H42+I42+J42+M42+O42+P42+Q42</f>
        <v>5.07</v>
      </c>
      <c r="S42" s="813">
        <f>R42-T42</f>
        <v>5.07</v>
      </c>
      <c r="T42" s="813">
        <v>0</v>
      </c>
    </row>
    <row r="45" spans="1:20" x14ac:dyDescent="0.25">
      <c r="A45" s="1514" t="s">
        <v>104</v>
      </c>
      <c r="B45" s="1514" t="s">
        <v>105</v>
      </c>
      <c r="C45" s="1522" t="s">
        <v>1258</v>
      </c>
      <c r="D45" s="1524" t="s">
        <v>1236</v>
      </c>
      <c r="E45" s="1524" t="s">
        <v>1259</v>
      </c>
      <c r="F45" s="1522" t="s">
        <v>1263</v>
      </c>
      <c r="G45" s="1522" t="s">
        <v>109</v>
      </c>
      <c r="H45" s="1524" t="s">
        <v>1239</v>
      </c>
      <c r="K45" s="838" t="s">
        <v>1264</v>
      </c>
      <c r="L45" s="838"/>
      <c r="M45" s="838"/>
      <c r="N45" s="838"/>
      <c r="O45" s="838"/>
      <c r="P45" s="838"/>
    </row>
    <row r="46" spans="1:20" ht="87" customHeight="1" x14ac:dyDescent="0.25">
      <c r="A46" s="1514"/>
      <c r="B46" s="1514"/>
      <c r="C46" s="1523"/>
      <c r="D46" s="1525"/>
      <c r="E46" s="1525"/>
      <c r="F46" s="1523"/>
      <c r="G46" s="1523"/>
      <c r="H46" s="1525"/>
      <c r="K46" s="839" t="s">
        <v>1265</v>
      </c>
      <c r="L46" s="840">
        <v>2021</v>
      </c>
      <c r="M46" s="840">
        <v>2022</v>
      </c>
      <c r="N46" s="839" t="s">
        <v>1267</v>
      </c>
    </row>
    <row r="47" spans="1:20" ht="75" x14ac:dyDescent="0.25">
      <c r="A47" s="831" t="s">
        <v>1257</v>
      </c>
      <c r="B47" s="771" t="s">
        <v>1261</v>
      </c>
      <c r="C47" s="832">
        <f>S42</f>
        <v>5.07</v>
      </c>
      <c r="D47" s="819">
        <f>T42</f>
        <v>0</v>
      </c>
      <c r="E47" s="833">
        <v>0</v>
      </c>
      <c r="F47" s="820">
        <v>30</v>
      </c>
      <c r="G47" s="820">
        <v>365</v>
      </c>
      <c r="H47" s="828">
        <f>C47*F47*G47</f>
        <v>55516.500000000007</v>
      </c>
      <c r="K47" s="839" t="s">
        <v>26</v>
      </c>
      <c r="L47" s="840">
        <v>30</v>
      </c>
      <c r="M47" s="840">
        <v>40</v>
      </c>
      <c r="N47" s="840">
        <v>50</v>
      </c>
    </row>
    <row r="48" spans="1:20" ht="60" x14ac:dyDescent="0.25">
      <c r="K48" s="841" t="s">
        <v>1266</v>
      </c>
      <c r="L48" s="842">
        <f>L47*C47*G47</f>
        <v>55516.500000000007</v>
      </c>
      <c r="M48" s="842">
        <f>M47*C47*G47</f>
        <v>74022</v>
      </c>
      <c r="N48" s="842">
        <f>N47*C47*G47</f>
        <v>92527.5</v>
      </c>
    </row>
    <row r="49" spans="5:8" x14ac:dyDescent="0.25">
      <c r="E49" s="545"/>
      <c r="F49" s="545"/>
      <c r="H49" s="835"/>
    </row>
    <row r="50" spans="5:8" x14ac:dyDescent="0.25">
      <c r="E50" s="545"/>
      <c r="F50" s="545"/>
      <c r="H50" s="835"/>
    </row>
    <row r="51" spans="5:8" x14ac:dyDescent="0.25">
      <c r="E51" s="545"/>
      <c r="F51" s="545"/>
      <c r="H51" s="835"/>
    </row>
  </sheetData>
  <mergeCells count="53">
    <mergeCell ref="N1:Q1"/>
    <mergeCell ref="L2:Q2"/>
    <mergeCell ref="B6:I6"/>
    <mergeCell ref="T39:T40"/>
    <mergeCell ref="A45:A46"/>
    <mergeCell ref="B45:B46"/>
    <mergeCell ref="C45:C46"/>
    <mergeCell ref="D45:D46"/>
    <mergeCell ref="E45:E46"/>
    <mergeCell ref="F45:F46"/>
    <mergeCell ref="G45:G46"/>
    <mergeCell ref="H45:H46"/>
    <mergeCell ref="N39:N40"/>
    <mergeCell ref="O39:O40"/>
    <mergeCell ref="P39:P40"/>
    <mergeCell ref="Q39:Q40"/>
    <mergeCell ref="R39:R40"/>
    <mergeCell ref="S39:S40"/>
    <mergeCell ref="A39:A40"/>
    <mergeCell ref="B39:B40"/>
    <mergeCell ref="C39:E39"/>
    <mergeCell ref="F39:H39"/>
    <mergeCell ref="J39:L39"/>
    <mergeCell ref="M39:M40"/>
    <mergeCell ref="P35:P36"/>
    <mergeCell ref="Q35:Q36"/>
    <mergeCell ref="A23:A24"/>
    <mergeCell ref="B23:B24"/>
    <mergeCell ref="C23:C24"/>
    <mergeCell ref="D23:D24"/>
    <mergeCell ref="E23:E24"/>
    <mergeCell ref="F23:F24"/>
    <mergeCell ref="G23:G24"/>
    <mergeCell ref="H23:H24"/>
    <mergeCell ref="I35:I36"/>
    <mergeCell ref="O35:O36"/>
    <mergeCell ref="S16:S17"/>
    <mergeCell ref="T16:T17"/>
    <mergeCell ref="M16:M17"/>
    <mergeCell ref="N16:N17"/>
    <mergeCell ref="O16:O17"/>
    <mergeCell ref="P16:P17"/>
    <mergeCell ref="Q16:Q17"/>
    <mergeCell ref="R16:R17"/>
    <mergeCell ref="I12:I13"/>
    <mergeCell ref="O12:O13"/>
    <mergeCell ref="P12:P13"/>
    <mergeCell ref="Q12:Q13"/>
    <mergeCell ref="A16:A17"/>
    <mergeCell ref="B16:B17"/>
    <mergeCell ref="C16:E16"/>
    <mergeCell ref="F16:H16"/>
    <mergeCell ref="J16:L16"/>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F6129-1F82-4262-BBA2-9D77D9E1A8A2}">
  <sheetPr>
    <tabColor rgb="FFFFFF00"/>
  </sheetPr>
  <dimension ref="A1:S89"/>
  <sheetViews>
    <sheetView zoomScale="80" zoomScaleNormal="80" workbookViewId="0">
      <selection activeCell="O22" sqref="O22"/>
    </sheetView>
  </sheetViews>
  <sheetFormatPr defaultRowHeight="15" x14ac:dyDescent="0.25"/>
  <cols>
    <col min="3" max="3" width="30.28515625" customWidth="1"/>
    <col min="4" max="4" width="33.140625" customWidth="1"/>
    <col min="5" max="5" width="14.42578125" customWidth="1"/>
    <col min="7" max="7" width="13.28515625" customWidth="1"/>
    <col min="8" max="8" width="22.28515625" customWidth="1"/>
    <col min="9" max="9" width="10.42578125" customWidth="1"/>
    <col min="10" max="10" width="15.28515625" customWidth="1"/>
    <col min="11" max="11" width="16.140625" customWidth="1"/>
    <col min="12" max="12" width="13.42578125" customWidth="1"/>
  </cols>
  <sheetData>
    <row r="1" spans="1:19" ht="15.75" x14ac:dyDescent="0.25">
      <c r="G1" s="901"/>
      <c r="H1" s="998"/>
      <c r="I1" s="1137" t="s">
        <v>1462</v>
      </c>
      <c r="J1" s="1137"/>
      <c r="K1" s="1137"/>
      <c r="L1" s="1137"/>
    </row>
    <row r="2" spans="1:19" ht="51" customHeight="1" x14ac:dyDescent="0.25">
      <c r="G2" s="1161" t="s">
        <v>1342</v>
      </c>
      <c r="H2" s="1161"/>
      <c r="I2" s="1161"/>
      <c r="J2" s="1161"/>
      <c r="K2" s="1161"/>
      <c r="L2" s="1161"/>
    </row>
    <row r="4" spans="1:19" ht="20.25" x14ac:dyDescent="0.3">
      <c r="B4" s="22" t="s">
        <v>1273</v>
      </c>
      <c r="C4" s="4"/>
      <c r="D4" s="4"/>
      <c r="E4" s="2"/>
      <c r="F4" s="2"/>
      <c r="G4" s="2"/>
      <c r="H4" s="100"/>
      <c r="I4" s="100"/>
      <c r="J4" s="100"/>
      <c r="K4" s="100"/>
      <c r="L4" s="100"/>
      <c r="M4" s="100"/>
    </row>
    <row r="5" spans="1:19" ht="20.25" x14ac:dyDescent="0.3">
      <c r="B5" s="22"/>
      <c r="C5" s="4"/>
      <c r="D5" s="4"/>
      <c r="E5" s="2"/>
      <c r="F5" s="2"/>
      <c r="G5" s="896">
        <v>2022</v>
      </c>
      <c r="H5" s="897" t="s">
        <v>1268</v>
      </c>
      <c r="I5" s="100"/>
      <c r="J5" s="100"/>
      <c r="K5" s="100"/>
      <c r="L5" s="461"/>
      <c r="M5" s="100"/>
    </row>
    <row r="6" spans="1:19" ht="18.75" x14ac:dyDescent="0.3">
      <c r="B6" s="1543" t="s">
        <v>1274</v>
      </c>
      <c r="C6" s="1544"/>
      <c r="D6" s="1544"/>
      <c r="E6" s="1544"/>
      <c r="F6" s="1545"/>
      <c r="G6" s="847">
        <f>ROUND(G8+G33+E60+D81,0)</f>
        <v>125339</v>
      </c>
      <c r="H6" s="847">
        <f>ROUND(H8+G33+E60,0)</f>
        <v>102035</v>
      </c>
      <c r="I6" s="8" t="s">
        <v>6</v>
      </c>
      <c r="J6" s="100"/>
      <c r="K6" s="100"/>
      <c r="L6" s="100"/>
      <c r="M6" s="103"/>
    </row>
    <row r="7" spans="1:19" ht="15.75" x14ac:dyDescent="0.25">
      <c r="B7" s="100"/>
      <c r="C7" s="100"/>
      <c r="D7" s="100"/>
      <c r="E7" s="100"/>
      <c r="F7" s="100"/>
      <c r="G7" s="100"/>
      <c r="H7" s="100"/>
      <c r="I7" s="848"/>
      <c r="J7" s="848"/>
      <c r="K7" s="848"/>
      <c r="L7" s="848"/>
      <c r="M7" s="100"/>
    </row>
    <row r="8" spans="1:19" ht="18.75" x14ac:dyDescent="0.3">
      <c r="A8" s="848"/>
      <c r="B8" s="866" t="s">
        <v>1290</v>
      </c>
      <c r="C8" s="848"/>
      <c r="D8" s="848"/>
      <c r="E8" s="848"/>
      <c r="F8" s="848"/>
      <c r="G8" s="869">
        <f>L21+F31</f>
        <v>9774.0199999999986</v>
      </c>
      <c r="H8" s="869">
        <f>L21</f>
        <v>9285.119999999999</v>
      </c>
      <c r="I8" s="848"/>
      <c r="J8" s="848"/>
      <c r="K8" s="848"/>
      <c r="L8" s="848"/>
      <c r="M8" s="848"/>
      <c r="N8" s="848"/>
      <c r="O8" s="848"/>
      <c r="P8" s="848"/>
      <c r="Q8" s="848"/>
      <c r="R8" s="848"/>
      <c r="S8" s="848"/>
    </row>
    <row r="9" spans="1:19" x14ac:dyDescent="0.25">
      <c r="A9" s="848"/>
      <c r="B9" s="848"/>
      <c r="C9" s="848"/>
      <c r="D9" s="848"/>
      <c r="E9" s="848"/>
      <c r="F9" s="848"/>
      <c r="G9" s="870">
        <v>2022</v>
      </c>
      <c r="H9" s="870" t="s">
        <v>1268</v>
      </c>
      <c r="I9" s="479"/>
      <c r="J9" s="479"/>
      <c r="K9" s="479"/>
      <c r="L9" s="479"/>
      <c r="M9" s="848"/>
      <c r="N9" s="848"/>
      <c r="O9" s="848"/>
      <c r="P9" s="848"/>
      <c r="Q9" s="848"/>
      <c r="R9" s="848"/>
      <c r="S9" s="848"/>
    </row>
    <row r="10" spans="1:19" x14ac:dyDescent="0.25">
      <c r="A10" s="848"/>
      <c r="B10" s="478"/>
      <c r="C10" s="479"/>
      <c r="D10" s="479"/>
      <c r="E10" s="479"/>
      <c r="F10" s="479"/>
      <c r="G10" s="479"/>
      <c r="H10" s="479"/>
      <c r="I10" s="210"/>
      <c r="J10" s="210"/>
      <c r="K10" s="210"/>
      <c r="L10" s="210"/>
      <c r="M10" s="477"/>
      <c r="N10" s="477"/>
      <c r="O10" s="848"/>
      <c r="P10" s="848"/>
      <c r="Q10" s="848"/>
      <c r="R10" s="848"/>
      <c r="S10" s="848"/>
    </row>
    <row r="11" spans="1:19" ht="16.5" x14ac:dyDescent="0.25">
      <c r="A11" s="850" t="s">
        <v>1275</v>
      </c>
      <c r="B11" s="851" t="s">
        <v>921</v>
      </c>
      <c r="C11" s="210"/>
      <c r="D11" s="210"/>
      <c r="E11" s="210"/>
      <c r="F11" s="210"/>
      <c r="G11" s="210"/>
      <c r="H11" s="210"/>
      <c r="I11" s="210"/>
      <c r="J11" s="210"/>
      <c r="K11" s="210"/>
      <c r="L11" s="210"/>
      <c r="M11" s="471"/>
      <c r="N11" s="471"/>
      <c r="O11" s="848"/>
      <c r="P11" s="848"/>
      <c r="Q11" s="848"/>
      <c r="R11" s="848"/>
      <c r="S11" s="848"/>
    </row>
    <row r="12" spans="1:19" ht="16.5" x14ac:dyDescent="0.25">
      <c r="A12" s="848"/>
      <c r="B12" s="480"/>
      <c r="C12" s="210"/>
      <c r="D12" s="210"/>
      <c r="E12" s="210"/>
      <c r="F12" s="210"/>
      <c r="G12" s="210"/>
      <c r="H12" s="210"/>
      <c r="I12" s="210"/>
      <c r="J12" s="210"/>
      <c r="K12" s="210"/>
      <c r="L12" s="210"/>
      <c r="M12" s="471"/>
      <c r="N12" s="471"/>
      <c r="O12" s="848"/>
      <c r="P12" s="848"/>
      <c r="Q12" s="848"/>
      <c r="R12" s="848"/>
      <c r="S12" s="848"/>
    </row>
    <row r="13" spans="1:19" ht="38.25" x14ac:dyDescent="0.25">
      <c r="A13" s="848"/>
      <c r="B13" s="852" t="s">
        <v>409</v>
      </c>
      <c r="C13" s="852" t="s">
        <v>922</v>
      </c>
      <c r="D13" s="853" t="s">
        <v>1276</v>
      </c>
      <c r="E13" s="853" t="s">
        <v>1277</v>
      </c>
      <c r="F13" s="864" t="s">
        <v>1278</v>
      </c>
      <c r="G13" s="210"/>
      <c r="H13" s="210"/>
      <c r="I13" s="210"/>
      <c r="J13" s="210"/>
      <c r="K13" s="210"/>
      <c r="L13" s="210"/>
      <c r="M13" s="471"/>
      <c r="N13" s="471"/>
      <c r="O13" s="848"/>
      <c r="P13" s="848"/>
      <c r="Q13" s="848"/>
      <c r="R13" s="848"/>
      <c r="S13" s="848"/>
    </row>
    <row r="14" spans="1:19" x14ac:dyDescent="0.25">
      <c r="A14" s="848"/>
      <c r="B14" s="344" t="s">
        <v>929</v>
      </c>
      <c r="C14" s="854" t="s">
        <v>1279</v>
      </c>
      <c r="D14" s="855">
        <v>5356</v>
      </c>
      <c r="E14" s="855">
        <v>1339</v>
      </c>
      <c r="F14" s="865">
        <v>2678</v>
      </c>
      <c r="G14" s="210"/>
      <c r="H14" s="335"/>
      <c r="I14" s="210"/>
      <c r="J14" s="210"/>
      <c r="K14" s="210"/>
      <c r="L14" s="210"/>
      <c r="M14" s="471"/>
      <c r="N14" s="471"/>
      <c r="O14" s="848"/>
      <c r="P14" s="848"/>
      <c r="Q14" s="848"/>
      <c r="R14" s="848"/>
      <c r="S14" s="848"/>
    </row>
    <row r="15" spans="1:19" x14ac:dyDescent="0.25">
      <c r="A15" s="848"/>
      <c r="B15" s="210"/>
      <c r="C15" s="210"/>
      <c r="D15" s="210"/>
      <c r="E15" s="210"/>
      <c r="F15" s="210"/>
      <c r="G15" s="210"/>
      <c r="H15" s="210"/>
      <c r="I15" s="471"/>
      <c r="J15" s="471"/>
      <c r="K15" s="471"/>
      <c r="L15" s="471"/>
      <c r="M15" s="471"/>
      <c r="N15" s="471"/>
      <c r="O15" s="848"/>
      <c r="P15" s="848"/>
      <c r="Q15" s="848"/>
      <c r="R15" s="848"/>
      <c r="S15" s="848"/>
    </row>
    <row r="16" spans="1:19" ht="16.5" x14ac:dyDescent="0.25">
      <c r="A16" s="850" t="s">
        <v>1280</v>
      </c>
      <c r="B16" s="851" t="s">
        <v>1291</v>
      </c>
      <c r="C16" s="210"/>
      <c r="D16" s="485"/>
      <c r="E16" s="485"/>
      <c r="F16" s="485"/>
      <c r="G16" s="485"/>
      <c r="H16" s="471"/>
      <c r="I16" s="471"/>
      <c r="J16" s="471"/>
      <c r="K16" s="471"/>
      <c r="L16" s="471"/>
      <c r="M16" s="471"/>
      <c r="N16" s="471"/>
      <c r="O16" s="848"/>
      <c r="P16" s="848"/>
      <c r="Q16" s="848"/>
      <c r="R16" s="848"/>
      <c r="S16" s="848"/>
    </row>
    <row r="17" spans="1:19" ht="15" customHeight="1" x14ac:dyDescent="0.25">
      <c r="A17" s="850"/>
      <c r="B17" s="471"/>
      <c r="C17" s="471"/>
      <c r="D17" s="471"/>
      <c r="E17" s="471"/>
      <c r="F17" s="471"/>
      <c r="G17" s="471"/>
      <c r="H17" s="471"/>
      <c r="M17" s="471"/>
      <c r="N17" s="471"/>
      <c r="O17" s="848"/>
      <c r="P17" s="848"/>
      <c r="Q17" s="848"/>
      <c r="R17" s="848"/>
      <c r="S17" s="848"/>
    </row>
    <row r="18" spans="1:19" ht="42" customHeight="1" x14ac:dyDescent="0.25">
      <c r="A18" s="848"/>
      <c r="B18" s="1527" t="s">
        <v>136</v>
      </c>
      <c r="C18" s="1527"/>
      <c r="D18" s="1529" t="s">
        <v>138</v>
      </c>
      <c r="E18" s="1531" t="s">
        <v>139</v>
      </c>
      <c r="F18" s="1532"/>
      <c r="G18" s="1533" t="s">
        <v>140</v>
      </c>
      <c r="H18" s="1534"/>
      <c r="I18" s="1539" t="s">
        <v>141</v>
      </c>
      <c r="J18" s="1539" t="s">
        <v>142</v>
      </c>
      <c r="K18" s="1539" t="s">
        <v>143</v>
      </c>
      <c r="L18" s="1535" t="s">
        <v>144</v>
      </c>
      <c r="M18" s="471"/>
      <c r="N18" s="471"/>
      <c r="O18" s="848"/>
      <c r="P18" s="848"/>
      <c r="Q18" s="848"/>
      <c r="R18" s="848"/>
      <c r="S18" s="848"/>
    </row>
    <row r="19" spans="1:19" ht="41.25" customHeight="1" x14ac:dyDescent="0.25">
      <c r="A19" s="848"/>
      <c r="B19" s="1528"/>
      <c r="C19" s="1528"/>
      <c r="D19" s="1530"/>
      <c r="E19" s="856" t="s">
        <v>146</v>
      </c>
      <c r="F19" s="857" t="s">
        <v>147</v>
      </c>
      <c r="G19" s="856" t="s">
        <v>146</v>
      </c>
      <c r="H19" s="857" t="s">
        <v>148</v>
      </c>
      <c r="I19" s="1539"/>
      <c r="J19" s="1539"/>
      <c r="K19" s="1539"/>
      <c r="L19" s="1535"/>
      <c r="M19" s="471"/>
      <c r="N19" s="471"/>
      <c r="O19" s="848"/>
      <c r="P19" s="848"/>
      <c r="Q19" s="848"/>
      <c r="R19" s="848"/>
      <c r="S19" s="848"/>
    </row>
    <row r="20" spans="1:19" ht="30" customHeight="1" x14ac:dyDescent="0.25">
      <c r="A20" s="848"/>
      <c r="B20" s="858">
        <v>1</v>
      </c>
      <c r="C20" s="859" t="s">
        <v>933</v>
      </c>
      <c r="D20" s="770">
        <v>1</v>
      </c>
      <c r="E20" s="858"/>
      <c r="F20" s="860"/>
      <c r="G20" s="858">
        <v>1</v>
      </c>
      <c r="H20" s="860">
        <v>0.5</v>
      </c>
      <c r="I20" s="861">
        <f>ROUND((H20*891)*12,2)</f>
        <v>5346</v>
      </c>
      <c r="J20" s="861">
        <f>ROUND(I20*0.2359,2)</f>
        <v>1261.1199999999999</v>
      </c>
      <c r="K20" s="862">
        <f>F14</f>
        <v>2678</v>
      </c>
      <c r="L20" s="858">
        <f>SUM(I20:K20)</f>
        <v>9285.119999999999</v>
      </c>
      <c r="M20" s="471"/>
      <c r="N20" s="471"/>
      <c r="O20" s="848"/>
      <c r="P20" s="848"/>
      <c r="Q20" s="848"/>
      <c r="R20" s="848"/>
      <c r="S20" s="848"/>
    </row>
    <row r="21" spans="1:19" x14ac:dyDescent="0.25">
      <c r="A21" s="848"/>
      <c r="B21" s="464"/>
      <c r="C21" s="464"/>
      <c r="D21" s="464"/>
      <c r="E21" s="464"/>
      <c r="F21" s="464"/>
      <c r="G21" s="464"/>
      <c r="H21" s="464"/>
      <c r="I21" s="471"/>
      <c r="J21" s="471"/>
      <c r="K21" s="867" t="s">
        <v>102</v>
      </c>
      <c r="L21" s="868">
        <f>L20</f>
        <v>9285.119999999999</v>
      </c>
      <c r="M21" s="471"/>
      <c r="N21" s="471"/>
      <c r="O21" s="848"/>
      <c r="P21" s="848"/>
      <c r="Q21" s="848"/>
      <c r="R21" s="848"/>
      <c r="S21" s="848"/>
    </row>
    <row r="22" spans="1:19" x14ac:dyDescent="0.25">
      <c r="A22" s="848"/>
      <c r="B22" s="471"/>
      <c r="C22" s="471"/>
      <c r="D22" s="471"/>
      <c r="E22" s="471"/>
      <c r="F22" s="471"/>
      <c r="G22" s="471"/>
      <c r="H22" s="471"/>
      <c r="I22" s="848"/>
      <c r="J22" s="848"/>
      <c r="K22" s="848"/>
      <c r="L22" s="848"/>
      <c r="M22" s="471"/>
      <c r="N22" s="471"/>
      <c r="O22" s="848"/>
      <c r="P22" s="848"/>
      <c r="Q22" s="848"/>
      <c r="R22" s="848"/>
      <c r="S22" s="848"/>
    </row>
    <row r="23" spans="1:19" ht="16.5" x14ac:dyDescent="0.25">
      <c r="A23" s="850" t="s">
        <v>1281</v>
      </c>
      <c r="B23" s="851" t="s">
        <v>1282</v>
      </c>
      <c r="C23" s="848"/>
      <c r="D23" s="848"/>
      <c r="E23" s="848"/>
      <c r="F23" s="848"/>
      <c r="G23" s="848"/>
      <c r="H23" s="848"/>
      <c r="I23" s="848"/>
      <c r="J23" s="848"/>
      <c r="K23" s="848"/>
      <c r="L23" s="848"/>
      <c r="M23" s="848"/>
      <c r="N23" s="848"/>
      <c r="O23" s="848"/>
      <c r="P23" s="848"/>
      <c r="Q23" s="848"/>
      <c r="R23" s="848"/>
      <c r="S23" s="848"/>
    </row>
    <row r="24" spans="1:19" x14ac:dyDescent="0.25">
      <c r="A24" s="848"/>
      <c r="B24" s="848"/>
      <c r="C24" s="848"/>
      <c r="D24" s="848"/>
      <c r="E24" s="848"/>
      <c r="F24" s="848"/>
      <c r="G24" s="848"/>
      <c r="H24" s="848"/>
      <c r="I24" s="848"/>
      <c r="J24" s="848"/>
      <c r="K24" s="848"/>
      <c r="L24" s="848"/>
      <c r="M24" s="848"/>
      <c r="N24" s="848"/>
      <c r="O24" s="848"/>
      <c r="P24" s="848"/>
      <c r="Q24" s="848"/>
      <c r="R24" s="848"/>
      <c r="S24" s="848"/>
    </row>
    <row r="25" spans="1:19" x14ac:dyDescent="0.25">
      <c r="A25" s="848"/>
      <c r="B25" s="848"/>
      <c r="C25" s="1538" t="s">
        <v>1283</v>
      </c>
      <c r="D25" s="1538"/>
      <c r="E25" s="1538" t="s">
        <v>1284</v>
      </c>
      <c r="F25" s="1538"/>
      <c r="G25" s="848"/>
      <c r="H25" s="848"/>
      <c r="I25" s="848"/>
      <c r="J25" s="848"/>
      <c r="K25" s="848"/>
      <c r="L25" s="848"/>
      <c r="M25" s="848"/>
      <c r="N25" s="848"/>
      <c r="O25" s="848"/>
      <c r="P25" s="848"/>
      <c r="Q25" s="848"/>
      <c r="R25" s="848"/>
      <c r="S25" s="848"/>
    </row>
    <row r="26" spans="1:19" x14ac:dyDescent="0.25">
      <c r="A26" s="848"/>
      <c r="B26" s="848"/>
      <c r="C26" s="1536" t="s">
        <v>1285</v>
      </c>
      <c r="D26" s="1536"/>
      <c r="E26" s="1537">
        <v>23</v>
      </c>
      <c r="F26" s="1537"/>
      <c r="G26" s="848"/>
      <c r="H26" s="848"/>
      <c r="I26" s="848"/>
      <c r="J26" s="848"/>
      <c r="K26" s="848"/>
      <c r="L26" s="848"/>
      <c r="M26" s="848"/>
      <c r="N26" s="848"/>
      <c r="O26" s="848"/>
      <c r="P26" s="848"/>
      <c r="Q26" s="848"/>
      <c r="R26" s="848"/>
      <c r="S26" s="848"/>
    </row>
    <row r="27" spans="1:19" x14ac:dyDescent="0.25">
      <c r="A27" s="848"/>
      <c r="B27" s="848"/>
      <c r="C27" s="1536" t="s">
        <v>1286</v>
      </c>
      <c r="D27" s="1536"/>
      <c r="E27" s="1537">
        <v>338.8</v>
      </c>
      <c r="F27" s="1537"/>
      <c r="G27" s="848"/>
      <c r="H27" s="848"/>
      <c r="I27" s="880"/>
      <c r="J27" s="880"/>
      <c r="K27" s="880"/>
      <c r="L27" s="880"/>
      <c r="M27" s="848"/>
      <c r="N27" s="848"/>
      <c r="O27" s="848"/>
      <c r="P27" s="848"/>
      <c r="Q27" s="848"/>
      <c r="R27" s="848"/>
      <c r="S27" s="848"/>
    </row>
    <row r="28" spans="1:19" x14ac:dyDescent="0.25">
      <c r="A28" s="848"/>
      <c r="B28" s="848"/>
      <c r="C28" s="1536" t="s">
        <v>1287</v>
      </c>
      <c r="D28" s="1536"/>
      <c r="E28" s="1537">
        <v>79</v>
      </c>
      <c r="F28" s="1537"/>
      <c r="G28" s="881"/>
      <c r="H28" s="880"/>
      <c r="I28" s="207"/>
      <c r="J28" s="207"/>
      <c r="K28" s="207"/>
      <c r="L28" s="207"/>
      <c r="M28" s="880"/>
      <c r="N28" s="880"/>
      <c r="O28" s="880"/>
      <c r="P28" s="880"/>
      <c r="Q28" s="880"/>
      <c r="R28" s="848"/>
      <c r="S28" s="848"/>
    </row>
    <row r="29" spans="1:19" x14ac:dyDescent="0.25">
      <c r="A29" s="848"/>
      <c r="B29" s="848"/>
      <c r="C29" s="1536" t="s">
        <v>1288</v>
      </c>
      <c r="D29" s="1536"/>
      <c r="E29" s="1537">
        <v>5</v>
      </c>
      <c r="F29" s="1537"/>
      <c r="G29" s="863"/>
      <c r="H29" s="207"/>
      <c r="I29" s="207"/>
      <c r="J29" s="207"/>
      <c r="K29" s="207"/>
      <c r="L29" s="207"/>
      <c r="M29" s="207"/>
      <c r="N29" s="207"/>
      <c r="O29" s="207"/>
      <c r="P29" s="207"/>
      <c r="Q29" s="207"/>
      <c r="R29" s="848"/>
      <c r="S29" s="848"/>
    </row>
    <row r="30" spans="1:19" x14ac:dyDescent="0.25">
      <c r="A30" s="848"/>
      <c r="B30" s="848"/>
      <c r="C30" s="1536" t="s">
        <v>1289</v>
      </c>
      <c r="D30" s="1536"/>
      <c r="E30" s="1537">
        <v>43.1</v>
      </c>
      <c r="F30" s="1537"/>
      <c r="G30" s="863"/>
      <c r="H30" s="207"/>
      <c r="I30" s="848"/>
      <c r="J30" s="848"/>
      <c r="K30" s="848"/>
      <c r="L30" s="848"/>
      <c r="M30" s="207"/>
      <c r="N30" s="207"/>
      <c r="O30" s="207"/>
      <c r="P30" s="207"/>
      <c r="Q30" s="207"/>
      <c r="R30" s="848"/>
      <c r="S30" s="848"/>
    </row>
    <row r="31" spans="1:19" x14ac:dyDescent="0.25">
      <c r="A31" s="848"/>
      <c r="B31" s="848"/>
      <c r="C31" s="848"/>
      <c r="D31" s="848"/>
      <c r="E31" s="867" t="s">
        <v>102</v>
      </c>
      <c r="F31" s="868">
        <f>SUM(E26:F30)</f>
        <v>488.90000000000003</v>
      </c>
      <c r="G31" s="848"/>
      <c r="H31" s="848"/>
      <c r="I31" s="848"/>
      <c r="J31" s="848"/>
      <c r="K31" s="848"/>
      <c r="L31" s="848"/>
      <c r="M31" s="848"/>
      <c r="N31" s="848"/>
      <c r="O31" s="848"/>
      <c r="P31" s="848"/>
      <c r="Q31" s="848"/>
      <c r="R31" s="848"/>
      <c r="S31" s="848"/>
    </row>
    <row r="32" spans="1:19" x14ac:dyDescent="0.25">
      <c r="A32" s="848"/>
      <c r="B32" s="848"/>
      <c r="C32" s="848"/>
      <c r="D32" s="848"/>
      <c r="E32" s="848"/>
      <c r="F32" s="848"/>
      <c r="G32" s="848"/>
      <c r="H32" s="848"/>
      <c r="I32" s="848"/>
      <c r="J32" s="848"/>
      <c r="K32" s="848"/>
      <c r="M32" s="848"/>
      <c r="N32" s="848"/>
      <c r="O32" s="848"/>
      <c r="P32" s="848"/>
      <c r="Q32" s="848"/>
      <c r="R32" s="848"/>
      <c r="S32" s="848"/>
    </row>
    <row r="33" spans="2:11" ht="18.75" x14ac:dyDescent="0.3">
      <c r="B33" s="849" t="s">
        <v>1307</v>
      </c>
      <c r="C33" s="848"/>
      <c r="D33" s="848"/>
      <c r="E33" s="848"/>
      <c r="F33" s="848"/>
      <c r="G33" s="886">
        <f>E38+E49+E55</f>
        <v>5771.85</v>
      </c>
      <c r="H33" s="848"/>
      <c r="I33" s="848"/>
      <c r="J33" s="848"/>
      <c r="K33" s="848"/>
    </row>
    <row r="34" spans="2:11" x14ac:dyDescent="0.25">
      <c r="B34" s="848"/>
      <c r="C34" s="848"/>
      <c r="D34" s="848"/>
      <c r="E34" s="848"/>
      <c r="F34" s="848"/>
      <c r="G34" s="848"/>
      <c r="H34" s="848"/>
      <c r="I34" s="848"/>
      <c r="J34" s="848"/>
      <c r="K34" s="848"/>
    </row>
    <row r="35" spans="2:11" x14ac:dyDescent="0.25">
      <c r="B35" s="848"/>
      <c r="C35" s="1541" t="s">
        <v>1292</v>
      </c>
      <c r="D35" s="1542"/>
      <c r="E35" s="776">
        <f>F40</f>
        <v>35</v>
      </c>
      <c r="F35" s="207"/>
      <c r="G35" s="848"/>
      <c r="H35" s="848"/>
      <c r="I35" s="848"/>
      <c r="J35" s="848"/>
      <c r="K35" s="848"/>
    </row>
    <row r="36" spans="2:11" x14ac:dyDescent="0.25">
      <c r="B36" s="848"/>
      <c r="C36" s="871" t="s">
        <v>1293</v>
      </c>
      <c r="D36" s="872"/>
      <c r="E36" s="776">
        <v>9</v>
      </c>
      <c r="F36" s="207"/>
      <c r="G36" s="848"/>
      <c r="H36" s="848"/>
      <c r="I36" s="848"/>
      <c r="J36" s="848"/>
      <c r="K36" s="848"/>
    </row>
    <row r="37" spans="2:11" x14ac:dyDescent="0.25">
      <c r="B37" s="848"/>
      <c r="C37" s="1541" t="s">
        <v>1294</v>
      </c>
      <c r="D37" s="1550"/>
      <c r="E37" s="776">
        <v>12.05</v>
      </c>
      <c r="F37" s="863"/>
      <c r="G37" s="873"/>
      <c r="H37" s="848"/>
      <c r="I37" s="848"/>
      <c r="J37" s="848"/>
      <c r="K37" s="848"/>
    </row>
    <row r="38" spans="2:11" x14ac:dyDescent="0.25">
      <c r="B38" s="848"/>
      <c r="C38" s="1551" t="s">
        <v>1295</v>
      </c>
      <c r="D38" s="1551"/>
      <c r="E38" s="882">
        <f>E35*E36*E37</f>
        <v>3795.75</v>
      </c>
      <c r="F38" s="207"/>
      <c r="G38" s="848"/>
      <c r="H38" s="848"/>
      <c r="I38" s="848"/>
      <c r="J38" s="848"/>
      <c r="K38" s="848"/>
    </row>
    <row r="39" spans="2:11" x14ac:dyDescent="0.25">
      <c r="B39" s="848"/>
      <c r="C39" s="207"/>
      <c r="D39" s="207"/>
      <c r="E39" s="207"/>
      <c r="F39" s="207"/>
      <c r="G39" s="848"/>
      <c r="H39" s="848"/>
      <c r="I39" s="848"/>
      <c r="J39" s="848"/>
      <c r="K39" s="848"/>
    </row>
    <row r="40" spans="2:11" x14ac:dyDescent="0.25">
      <c r="B40" s="848"/>
      <c r="C40" s="1552" t="s">
        <v>1296</v>
      </c>
      <c r="D40" s="1552"/>
      <c r="E40" s="1552"/>
      <c r="F40" s="874">
        <f>F41-F42-F43</f>
        <v>35</v>
      </c>
      <c r="G40" s="848"/>
      <c r="H40" s="848"/>
      <c r="I40" s="848"/>
      <c r="J40" s="848"/>
      <c r="K40" s="848"/>
    </row>
    <row r="41" spans="2:11" x14ac:dyDescent="0.25">
      <c r="B41" s="848"/>
      <c r="C41" s="1540" t="s">
        <v>1297</v>
      </c>
      <c r="D41" s="1540"/>
      <c r="E41" s="1540"/>
      <c r="F41" s="774">
        <v>70</v>
      </c>
      <c r="G41" s="848"/>
      <c r="H41" s="848"/>
      <c r="I41" s="848"/>
      <c r="J41" s="848"/>
      <c r="K41" s="848"/>
    </row>
    <row r="42" spans="2:11" x14ac:dyDescent="0.25">
      <c r="B42" s="848"/>
      <c r="C42" s="1540" t="s">
        <v>1298</v>
      </c>
      <c r="D42" s="1540"/>
      <c r="E42" s="1540"/>
      <c r="F42" s="774">
        <v>32</v>
      </c>
      <c r="G42" s="848"/>
      <c r="H42" s="848"/>
      <c r="I42" s="848"/>
      <c r="J42" s="848"/>
      <c r="K42" s="848"/>
    </row>
    <row r="43" spans="2:11" ht="29.25" customHeight="1" x14ac:dyDescent="0.25">
      <c r="B43" s="848"/>
      <c r="C43" s="1540" t="s">
        <v>1299</v>
      </c>
      <c r="D43" s="1540"/>
      <c r="E43" s="1540"/>
      <c r="F43" s="774">
        <v>3</v>
      </c>
      <c r="G43" s="848"/>
      <c r="H43" s="848"/>
      <c r="I43" s="848"/>
      <c r="J43" s="848"/>
      <c r="K43" s="848"/>
    </row>
    <row r="44" spans="2:11" x14ac:dyDescent="0.25">
      <c r="B44" s="848"/>
      <c r="C44" s="848"/>
      <c r="D44" s="848"/>
      <c r="E44" s="848"/>
      <c r="F44" s="848"/>
      <c r="G44" s="848"/>
      <c r="H44" s="848"/>
      <c r="I44" s="848"/>
      <c r="J44" s="848"/>
      <c r="K44" s="848"/>
    </row>
    <row r="45" spans="2:11" ht="15.75" x14ac:dyDescent="0.25">
      <c r="B45" s="875" t="s">
        <v>1300</v>
      </c>
      <c r="C45" s="848"/>
      <c r="D45" s="848"/>
      <c r="E45" s="848"/>
      <c r="F45" s="848"/>
      <c r="G45" s="848"/>
      <c r="H45" s="848"/>
      <c r="I45" s="848"/>
      <c r="J45" s="848"/>
      <c r="K45" s="848"/>
    </row>
    <row r="46" spans="2:11" x14ac:dyDescent="0.25">
      <c r="B46" s="848"/>
      <c r="C46" s="1541" t="s">
        <v>1292</v>
      </c>
      <c r="D46" s="1542"/>
      <c r="E46" s="776">
        <f>F40</f>
        <v>35</v>
      </c>
      <c r="F46" s="848"/>
      <c r="G46" s="848"/>
      <c r="H46" s="848"/>
      <c r="I46" s="848"/>
      <c r="J46" s="848"/>
      <c r="K46" s="848"/>
    </row>
    <row r="47" spans="2:11" x14ac:dyDescent="0.25">
      <c r="B47" s="848"/>
      <c r="C47" s="871" t="s">
        <v>1293</v>
      </c>
      <c r="D47" s="872"/>
      <c r="E47" s="776">
        <v>9</v>
      </c>
      <c r="F47" s="848"/>
      <c r="G47" s="848"/>
      <c r="H47" s="848"/>
      <c r="I47" s="848"/>
      <c r="J47" s="848"/>
      <c r="K47" s="848"/>
    </row>
    <row r="48" spans="2:11" x14ac:dyDescent="0.25">
      <c r="B48" s="848"/>
      <c r="C48" s="1541" t="s">
        <v>1308</v>
      </c>
      <c r="D48" s="1548"/>
      <c r="E48" s="776">
        <v>4</v>
      </c>
      <c r="F48" s="848"/>
      <c r="G48" s="848"/>
      <c r="H48" s="848"/>
      <c r="I48" s="848"/>
      <c r="J48" s="848"/>
      <c r="K48" s="848"/>
    </row>
    <row r="49" spans="1:12" x14ac:dyDescent="0.25">
      <c r="B49" s="848"/>
      <c r="C49" s="883" t="s">
        <v>1301</v>
      </c>
      <c r="D49" s="884"/>
      <c r="E49" s="885">
        <f>E46*E47*E48</f>
        <v>1260</v>
      </c>
      <c r="F49" s="848"/>
      <c r="G49" s="848"/>
      <c r="H49" s="848"/>
      <c r="I49" s="848"/>
      <c r="J49" s="848"/>
      <c r="K49" s="848"/>
    </row>
    <row r="50" spans="1:12" x14ac:dyDescent="0.25">
      <c r="B50" s="848"/>
      <c r="C50" s="848"/>
      <c r="D50" s="848"/>
      <c r="E50" s="848"/>
      <c r="F50" s="848"/>
      <c r="G50" s="848"/>
      <c r="H50" s="848"/>
      <c r="I50" s="848"/>
      <c r="J50" s="848"/>
      <c r="K50" s="848"/>
    </row>
    <row r="51" spans="1:12" ht="15.75" x14ac:dyDescent="0.25">
      <c r="B51" s="875" t="s">
        <v>1302</v>
      </c>
      <c r="C51" s="848"/>
      <c r="D51" s="848"/>
      <c r="E51" s="848"/>
      <c r="F51" s="848"/>
      <c r="G51" s="848"/>
      <c r="H51" s="848"/>
      <c r="I51" s="848"/>
      <c r="J51" s="848"/>
      <c r="K51" s="848"/>
    </row>
    <row r="52" spans="1:12" x14ac:dyDescent="0.25">
      <c r="B52" s="848"/>
      <c r="C52" s="1541" t="s">
        <v>1292</v>
      </c>
      <c r="D52" s="1542"/>
      <c r="E52" s="776">
        <f>F40</f>
        <v>35</v>
      </c>
      <c r="F52" s="848"/>
      <c r="G52" s="848"/>
      <c r="H52" s="848"/>
      <c r="I52" s="848"/>
      <c r="J52" s="848"/>
      <c r="K52" s="848"/>
    </row>
    <row r="53" spans="1:12" x14ac:dyDescent="0.25">
      <c r="B53" s="848"/>
      <c r="C53" s="871" t="s">
        <v>1303</v>
      </c>
      <c r="D53" s="872"/>
      <c r="E53" s="776">
        <v>2</v>
      </c>
      <c r="F53" s="848"/>
      <c r="G53" s="848"/>
      <c r="H53" s="848"/>
      <c r="I53" s="848"/>
      <c r="J53" s="848"/>
      <c r="K53" s="848"/>
    </row>
    <row r="54" spans="1:12" x14ac:dyDescent="0.25">
      <c r="B54" s="848"/>
      <c r="C54" s="871" t="s">
        <v>1304</v>
      </c>
      <c r="D54" s="872"/>
      <c r="E54" s="776">
        <f>E58</f>
        <v>10.23</v>
      </c>
      <c r="F54" s="848"/>
      <c r="G54" s="848"/>
      <c r="H54" s="848"/>
      <c r="I54" s="848"/>
      <c r="J54" s="848"/>
      <c r="K54" s="848"/>
    </row>
    <row r="55" spans="1:12" x14ac:dyDescent="0.25">
      <c r="B55" s="848"/>
      <c r="C55" s="883" t="s">
        <v>1305</v>
      </c>
      <c r="D55" s="884"/>
      <c r="E55" s="885">
        <f>E52*E53*E54</f>
        <v>716.1</v>
      </c>
      <c r="F55" s="848"/>
      <c r="G55" s="848"/>
      <c r="H55" s="848"/>
      <c r="I55" s="848"/>
      <c r="J55" s="848"/>
      <c r="K55" s="848"/>
    </row>
    <row r="56" spans="1:12" x14ac:dyDescent="0.25">
      <c r="B56" s="848"/>
      <c r="C56" s="848"/>
      <c r="D56" s="848"/>
      <c r="E56" s="848"/>
      <c r="F56" s="848"/>
      <c r="G56" s="848"/>
      <c r="H56" s="848"/>
      <c r="I56" s="848"/>
      <c r="J56" s="848"/>
      <c r="K56" s="848"/>
    </row>
    <row r="57" spans="1:12" x14ac:dyDescent="0.25">
      <c r="B57" s="876" t="s">
        <v>978</v>
      </c>
      <c r="C57" s="877" t="s">
        <v>934</v>
      </c>
      <c r="D57" s="877" t="s">
        <v>75</v>
      </c>
      <c r="E57" s="877" t="s">
        <v>235</v>
      </c>
      <c r="F57" s="848"/>
      <c r="G57" s="848"/>
      <c r="H57" s="848"/>
      <c r="I57" s="848"/>
      <c r="J57" s="848"/>
      <c r="K57" s="848"/>
    </row>
    <row r="58" spans="1:12" ht="58.5" customHeight="1" x14ac:dyDescent="0.25">
      <c r="B58" s="848"/>
      <c r="C58" s="774">
        <v>60153</v>
      </c>
      <c r="D58" s="389" t="s">
        <v>1306</v>
      </c>
      <c r="E58" s="774">
        <v>10.23</v>
      </c>
      <c r="F58" s="848"/>
      <c r="G58" s="848"/>
      <c r="H58" s="848"/>
      <c r="I58" s="848"/>
      <c r="J58" s="848"/>
      <c r="K58" s="848"/>
    </row>
    <row r="59" spans="1:12" x14ac:dyDescent="0.25">
      <c r="B59" s="848"/>
      <c r="C59" s="848"/>
      <c r="D59" s="848"/>
      <c r="E59" s="848"/>
      <c r="F59" s="848"/>
      <c r="G59" s="848"/>
      <c r="H59" s="848"/>
      <c r="I59" s="848"/>
      <c r="J59" s="848"/>
      <c r="K59" s="848"/>
      <c r="L59" s="848"/>
    </row>
    <row r="60" spans="1:12" ht="18.75" x14ac:dyDescent="0.3">
      <c r="A60" s="848"/>
      <c r="B60" s="849" t="s">
        <v>1326</v>
      </c>
      <c r="C60" s="848"/>
      <c r="D60" s="848"/>
      <c r="E60" s="887">
        <f>E78</f>
        <v>86978.266666666677</v>
      </c>
      <c r="F60" s="848"/>
      <c r="G60" s="848"/>
      <c r="H60" s="848"/>
      <c r="I60" s="848"/>
      <c r="J60" s="848"/>
      <c r="K60" s="848"/>
      <c r="L60" s="848"/>
    </row>
    <row r="61" spans="1:12" x14ac:dyDescent="0.25">
      <c r="A61" s="848"/>
      <c r="B61" s="848"/>
      <c r="C61" s="848"/>
      <c r="D61" s="848"/>
      <c r="E61" s="848"/>
      <c r="F61" s="848"/>
      <c r="G61" s="848"/>
      <c r="H61" s="848"/>
      <c r="I61" s="848"/>
      <c r="J61" s="848"/>
      <c r="K61" s="848"/>
      <c r="L61" s="848"/>
    </row>
    <row r="62" spans="1:12" x14ac:dyDescent="0.25">
      <c r="A62" s="878" t="s">
        <v>1275</v>
      </c>
      <c r="B62" s="207" t="s">
        <v>1309</v>
      </c>
      <c r="C62" s="207"/>
      <c r="D62" s="207"/>
      <c r="E62" s="207"/>
      <c r="F62" s="207"/>
      <c r="G62" s="207"/>
      <c r="H62" s="207"/>
      <c r="I62" s="848"/>
      <c r="J62" s="848"/>
      <c r="K62" s="848"/>
      <c r="L62" s="848"/>
    </row>
    <row r="63" spans="1:12" x14ac:dyDescent="0.25">
      <c r="A63" s="207"/>
      <c r="B63" s="207"/>
      <c r="C63" s="232" t="s">
        <v>1292</v>
      </c>
      <c r="D63" s="776">
        <v>70</v>
      </c>
      <c r="E63" s="207"/>
      <c r="F63" s="207"/>
      <c r="G63" s="207"/>
      <c r="H63" s="207"/>
      <c r="I63" s="848"/>
      <c r="J63" s="848"/>
      <c r="K63" s="848"/>
      <c r="L63" s="848"/>
    </row>
    <row r="64" spans="1:12" ht="33" customHeight="1" x14ac:dyDescent="0.25">
      <c r="A64" s="207"/>
      <c r="B64" s="207"/>
      <c r="C64" s="389" t="s">
        <v>1310</v>
      </c>
      <c r="D64" s="879">
        <f>D63/3*2</f>
        <v>46.666666666666664</v>
      </c>
      <c r="E64" s="863"/>
      <c r="F64" s="207"/>
      <c r="G64" s="207"/>
      <c r="H64" s="207"/>
      <c r="I64" s="848"/>
      <c r="J64" s="848"/>
      <c r="K64" s="848"/>
      <c r="L64" s="848"/>
    </row>
    <row r="65" spans="1:12" ht="32.25" customHeight="1" x14ac:dyDescent="0.25">
      <c r="A65" s="207"/>
      <c r="B65" s="207"/>
      <c r="C65" s="389" t="s">
        <v>1311</v>
      </c>
      <c r="D65" s="879">
        <f>D63/3*1</f>
        <v>23.333333333333332</v>
      </c>
      <c r="E65" s="863"/>
      <c r="F65" s="207"/>
      <c r="G65" s="207"/>
      <c r="H65" s="207"/>
      <c r="I65" s="848"/>
      <c r="J65" s="848"/>
      <c r="K65" s="848"/>
      <c r="L65" s="848"/>
    </row>
    <row r="66" spans="1:12" x14ac:dyDescent="0.25">
      <c r="A66" s="207"/>
      <c r="B66" s="207"/>
      <c r="C66" s="207"/>
      <c r="D66" s="207"/>
      <c r="E66" s="207"/>
      <c r="F66" s="207"/>
      <c r="G66" s="207"/>
      <c r="H66" s="207"/>
      <c r="I66" s="848"/>
      <c r="J66" s="848"/>
      <c r="K66" s="848"/>
      <c r="L66" s="848"/>
    </row>
    <row r="67" spans="1:12" x14ac:dyDescent="0.25">
      <c r="A67" s="878" t="s">
        <v>1280</v>
      </c>
      <c r="B67" s="207" t="s">
        <v>1312</v>
      </c>
      <c r="C67" s="207"/>
      <c r="D67" s="207"/>
      <c r="E67" s="207"/>
      <c r="F67" s="207"/>
      <c r="G67" s="207"/>
      <c r="H67" s="207"/>
      <c r="I67" s="848"/>
      <c r="J67" s="848"/>
      <c r="K67" s="848"/>
      <c r="L67" s="848"/>
    </row>
    <row r="68" spans="1:12" ht="30" x14ac:dyDescent="0.25">
      <c r="A68" s="207"/>
      <c r="B68" s="207"/>
      <c r="C68" s="389" t="s">
        <v>1313</v>
      </c>
      <c r="D68" s="776">
        <f>D64*9</f>
        <v>420</v>
      </c>
      <c r="E68" s="1549" t="s">
        <v>1314</v>
      </c>
      <c r="F68" s="1549"/>
      <c r="G68" s="1549"/>
      <c r="H68" s="1549"/>
      <c r="I68" s="848"/>
      <c r="J68" s="848"/>
      <c r="K68" s="848"/>
      <c r="L68" s="848"/>
    </row>
    <row r="69" spans="1:12" ht="30" x14ac:dyDescent="0.25">
      <c r="A69" s="207"/>
      <c r="B69" s="207"/>
      <c r="C69" s="389" t="s">
        <v>1315</v>
      </c>
      <c r="D69" s="879">
        <f>D65*2</f>
        <v>46.666666666666664</v>
      </c>
      <c r="E69" s="1549" t="s">
        <v>1316</v>
      </c>
      <c r="F69" s="1549"/>
      <c r="G69" s="1549"/>
      <c r="H69" s="1549"/>
      <c r="I69" s="848"/>
      <c r="J69" s="848"/>
      <c r="K69" s="848"/>
      <c r="L69" s="848"/>
    </row>
    <row r="70" spans="1:12" x14ac:dyDescent="0.25">
      <c r="A70" s="207"/>
      <c r="B70" s="207"/>
      <c r="C70" s="207"/>
      <c r="D70" s="207"/>
      <c r="E70" s="207"/>
      <c r="F70" s="207"/>
      <c r="G70" s="207"/>
      <c r="H70" s="207"/>
      <c r="I70" s="848"/>
      <c r="J70" s="848"/>
      <c r="K70" s="848"/>
      <c r="L70" s="848"/>
    </row>
    <row r="71" spans="1:12" x14ac:dyDescent="0.25">
      <c r="A71" s="878" t="s">
        <v>1317</v>
      </c>
      <c r="B71" s="207" t="s">
        <v>1318</v>
      </c>
      <c r="C71" s="207"/>
      <c r="D71" s="207"/>
      <c r="E71" s="207"/>
      <c r="F71" s="207"/>
      <c r="G71" s="207"/>
      <c r="H71" s="207"/>
      <c r="I71" s="848"/>
      <c r="J71" s="848"/>
      <c r="K71" s="848"/>
      <c r="L71" s="848"/>
    </row>
    <row r="72" spans="1:12" ht="41.25" customHeight="1" x14ac:dyDescent="0.25">
      <c r="A72" s="878"/>
      <c r="B72" s="207"/>
      <c r="C72" s="207"/>
      <c r="D72" s="775" t="s">
        <v>1319</v>
      </c>
      <c r="E72" s="775" t="s">
        <v>1320</v>
      </c>
      <c r="F72" s="207"/>
      <c r="G72" s="207"/>
      <c r="H72" s="207"/>
      <c r="I72" s="848"/>
      <c r="J72" s="848"/>
      <c r="K72" s="848"/>
      <c r="L72" s="848"/>
    </row>
    <row r="73" spans="1:12" ht="30" customHeight="1" x14ac:dyDescent="0.25">
      <c r="A73" s="207"/>
      <c r="B73" s="207"/>
      <c r="C73" s="389" t="s">
        <v>1321</v>
      </c>
      <c r="D73" s="284">
        <v>35.5</v>
      </c>
      <c r="E73" s="284">
        <f>D73*D69</f>
        <v>1656.6666666666665</v>
      </c>
      <c r="F73" s="1546" t="s">
        <v>1332</v>
      </c>
      <c r="G73" s="1547"/>
      <c r="H73" s="1547"/>
      <c r="I73" s="848"/>
      <c r="J73" s="848"/>
      <c r="K73" s="848"/>
      <c r="L73" s="848"/>
    </row>
    <row r="74" spans="1:12" ht="15" customHeight="1" x14ac:dyDescent="0.25">
      <c r="A74" s="207"/>
      <c r="B74" s="207"/>
      <c r="C74" s="389" t="s">
        <v>1322</v>
      </c>
      <c r="D74" s="284">
        <v>41.98</v>
      </c>
      <c r="E74" s="284">
        <f>D74*D68</f>
        <v>17631.599999999999</v>
      </c>
      <c r="F74" s="1546"/>
      <c r="G74" s="1547"/>
      <c r="H74" s="1547"/>
      <c r="I74" s="848"/>
      <c r="J74" s="848"/>
      <c r="K74" s="848"/>
      <c r="L74" s="848"/>
    </row>
    <row r="75" spans="1:12" ht="30" x14ac:dyDescent="0.25">
      <c r="A75" s="207"/>
      <c r="B75" s="207"/>
      <c r="C75" s="389" t="s">
        <v>1323</v>
      </c>
      <c r="D75" s="284">
        <v>54.6</v>
      </c>
      <c r="E75" s="284">
        <f>D75*D69</f>
        <v>2548</v>
      </c>
      <c r="F75" s="1546"/>
      <c r="G75" s="1547"/>
      <c r="H75" s="1547"/>
      <c r="I75" s="848"/>
      <c r="J75" s="848"/>
      <c r="K75" s="848"/>
      <c r="L75" s="848"/>
    </row>
    <row r="76" spans="1:12" ht="33" customHeight="1" x14ac:dyDescent="0.25">
      <c r="A76" s="207"/>
      <c r="B76" s="207"/>
      <c r="C76" s="389" t="s">
        <v>1324</v>
      </c>
      <c r="D76" s="284">
        <v>64.7</v>
      </c>
      <c r="E76" s="284">
        <f>D76*D68</f>
        <v>27174</v>
      </c>
      <c r="F76" s="1546"/>
      <c r="G76" s="1547"/>
      <c r="H76" s="1547"/>
      <c r="I76" s="848"/>
      <c r="J76" s="848"/>
      <c r="K76" s="848"/>
      <c r="L76" s="848"/>
    </row>
    <row r="77" spans="1:12" ht="45" customHeight="1" x14ac:dyDescent="0.25">
      <c r="A77" s="207"/>
      <c r="B77" s="207"/>
      <c r="C77" s="389" t="s">
        <v>1325</v>
      </c>
      <c r="D77" s="284">
        <v>145.05000000000001</v>
      </c>
      <c r="E77" s="284">
        <f>D77*(D68+D69)</f>
        <v>67690.000000000015</v>
      </c>
      <c r="F77" s="207"/>
      <c r="G77" s="207"/>
      <c r="H77" s="207"/>
      <c r="I77" s="848"/>
      <c r="J77" s="848"/>
      <c r="K77" s="848"/>
      <c r="L77" s="848"/>
    </row>
    <row r="78" spans="1:12" x14ac:dyDescent="0.25">
      <c r="A78" s="207"/>
      <c r="B78" s="207"/>
      <c r="C78" s="207"/>
      <c r="D78" s="888" t="s">
        <v>102</v>
      </c>
      <c r="E78" s="885">
        <f>E73+E74+E77</f>
        <v>86978.266666666677</v>
      </c>
      <c r="F78" s="207"/>
      <c r="G78" s="207"/>
      <c r="H78" s="207"/>
      <c r="I78" s="848"/>
      <c r="J78" s="848"/>
      <c r="K78" s="848"/>
      <c r="L78" s="848"/>
    </row>
    <row r="79" spans="1:12" x14ac:dyDescent="0.25">
      <c r="A79" s="207"/>
      <c r="B79" s="207"/>
      <c r="C79" s="207"/>
      <c r="D79" s="207"/>
      <c r="E79" s="207"/>
      <c r="F79" s="207"/>
      <c r="G79" s="207"/>
      <c r="H79" s="207"/>
    </row>
    <row r="80" spans="1:12" x14ac:dyDescent="0.25">
      <c r="I80" s="848"/>
      <c r="J80" s="848"/>
      <c r="K80" s="848"/>
      <c r="L80" s="848"/>
    </row>
    <row r="81" spans="2:13" ht="18.75" x14ac:dyDescent="0.3">
      <c r="B81" s="849" t="s">
        <v>1331</v>
      </c>
      <c r="C81" s="848"/>
      <c r="D81" s="895">
        <f>D86</f>
        <v>22815.333333333332</v>
      </c>
      <c r="E81" s="848"/>
      <c r="F81" s="848" t="s">
        <v>1411</v>
      </c>
      <c r="G81" s="848"/>
      <c r="H81" s="848"/>
      <c r="I81" s="848"/>
      <c r="J81" s="848"/>
      <c r="K81" s="848"/>
      <c r="L81" s="848"/>
      <c r="M81" s="848"/>
    </row>
    <row r="82" spans="2:13" x14ac:dyDescent="0.25">
      <c r="B82" s="848"/>
      <c r="C82" s="848"/>
      <c r="D82" s="848"/>
      <c r="E82" s="848"/>
      <c r="F82" s="848"/>
      <c r="G82" s="848"/>
      <c r="H82" s="848"/>
      <c r="I82" s="848"/>
      <c r="J82" s="848"/>
      <c r="K82" s="848"/>
      <c r="L82" s="848"/>
      <c r="M82" s="848"/>
    </row>
    <row r="83" spans="2:13" x14ac:dyDescent="0.25">
      <c r="B83" s="1536" t="s">
        <v>1327</v>
      </c>
      <c r="C83" s="1536"/>
      <c r="D83" s="284">
        <v>338.8</v>
      </c>
      <c r="E83" s="207"/>
      <c r="F83" s="848"/>
      <c r="G83" s="848"/>
      <c r="H83" s="848"/>
      <c r="I83" s="848"/>
      <c r="J83" s="848"/>
      <c r="K83" s="848"/>
      <c r="L83" s="848"/>
      <c r="M83" s="848"/>
    </row>
    <row r="84" spans="2:13" x14ac:dyDescent="0.25">
      <c r="B84" s="1536" t="s">
        <v>1328</v>
      </c>
      <c r="C84" s="1536"/>
      <c r="D84" s="284">
        <v>150.1</v>
      </c>
      <c r="E84" s="863"/>
      <c r="F84" s="848"/>
      <c r="G84" s="848"/>
      <c r="H84" s="848"/>
      <c r="I84" s="848"/>
      <c r="J84" s="848"/>
      <c r="K84" s="848"/>
      <c r="L84" s="848"/>
      <c r="M84" s="848"/>
    </row>
    <row r="85" spans="2:13" x14ac:dyDescent="0.25">
      <c r="B85" s="1536" t="s">
        <v>1329</v>
      </c>
      <c r="C85" s="1536"/>
      <c r="D85" s="879">
        <f>70/3*2</f>
        <v>46.666666666666664</v>
      </c>
      <c r="E85" s="894" t="s">
        <v>1330</v>
      </c>
      <c r="F85" s="848"/>
      <c r="G85" s="848"/>
      <c r="H85" s="848"/>
      <c r="I85" s="848"/>
      <c r="J85" s="848"/>
      <c r="K85" s="848"/>
      <c r="L85" s="848"/>
      <c r="M85" s="848"/>
    </row>
    <row r="86" spans="2:13" ht="15.75" x14ac:dyDescent="0.25">
      <c r="B86" s="848"/>
      <c r="C86" s="892" t="s">
        <v>102</v>
      </c>
      <c r="D86" s="893">
        <f>(D83+D84)*D85</f>
        <v>22815.333333333332</v>
      </c>
      <c r="E86" s="848"/>
      <c r="F86" s="848"/>
      <c r="G86" s="848"/>
      <c r="H86" s="848"/>
      <c r="I86" s="848"/>
      <c r="J86" s="848"/>
      <c r="K86" s="848"/>
      <c r="L86" s="848"/>
      <c r="M86" s="848"/>
    </row>
    <row r="87" spans="2:13" x14ac:dyDescent="0.25">
      <c r="B87" s="848"/>
      <c r="C87" s="848"/>
      <c r="D87" s="848"/>
      <c r="E87" s="848"/>
      <c r="F87" s="848"/>
      <c r="G87" s="848"/>
      <c r="H87" s="848"/>
      <c r="I87" s="848"/>
      <c r="J87" s="848"/>
      <c r="K87" s="848"/>
      <c r="L87" s="848"/>
      <c r="M87" s="848"/>
    </row>
    <row r="88" spans="2:13" x14ac:dyDescent="0.25">
      <c r="B88" s="848"/>
      <c r="C88" s="848"/>
      <c r="D88" s="848"/>
      <c r="E88" s="848"/>
      <c r="F88" s="848"/>
      <c r="G88" s="848"/>
      <c r="H88" s="848"/>
      <c r="I88" s="848"/>
      <c r="J88" s="848"/>
      <c r="K88" s="848"/>
      <c r="L88" s="848"/>
      <c r="M88" s="848"/>
    </row>
    <row r="89" spans="2:13" x14ac:dyDescent="0.25">
      <c r="B89" s="848"/>
      <c r="C89" s="848"/>
      <c r="D89" s="848"/>
      <c r="E89" s="848"/>
      <c r="F89" s="848"/>
      <c r="G89" s="848"/>
      <c r="H89" s="848"/>
      <c r="M89" s="848"/>
    </row>
  </sheetData>
  <mergeCells count="40">
    <mergeCell ref="I1:L1"/>
    <mergeCell ref="G2:L2"/>
    <mergeCell ref="B83:C83"/>
    <mergeCell ref="B84:C84"/>
    <mergeCell ref="B85:C85"/>
    <mergeCell ref="B6:F6"/>
    <mergeCell ref="F73:H76"/>
    <mergeCell ref="C52:D52"/>
    <mergeCell ref="C48:D48"/>
    <mergeCell ref="E68:H68"/>
    <mergeCell ref="E69:H69"/>
    <mergeCell ref="C35:D35"/>
    <mergeCell ref="C37:D37"/>
    <mergeCell ref="C38:D38"/>
    <mergeCell ref="C40:E40"/>
    <mergeCell ref="C41:E41"/>
    <mergeCell ref="C28:D28"/>
    <mergeCell ref="E28:F28"/>
    <mergeCell ref="C42:E42"/>
    <mergeCell ref="C43:E43"/>
    <mergeCell ref="C46:D46"/>
    <mergeCell ref="C29:D29"/>
    <mergeCell ref="E29:F29"/>
    <mergeCell ref="C30:D30"/>
    <mergeCell ref="E30:F30"/>
    <mergeCell ref="L18:L19"/>
    <mergeCell ref="C26:D26"/>
    <mergeCell ref="E26:F26"/>
    <mergeCell ref="C27:D27"/>
    <mergeCell ref="E27:F27"/>
    <mergeCell ref="C25:D25"/>
    <mergeCell ref="E25:F25"/>
    <mergeCell ref="I18:I19"/>
    <mergeCell ref="J18:J19"/>
    <mergeCell ref="K18:K19"/>
    <mergeCell ref="B18:B19"/>
    <mergeCell ref="C18:C19"/>
    <mergeCell ref="D18:D19"/>
    <mergeCell ref="E18:F18"/>
    <mergeCell ref="G18:H18"/>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N23"/>
  <sheetViews>
    <sheetView showGridLines="0" zoomScale="90" zoomScaleNormal="90" workbookViewId="0">
      <selection activeCell="L18" sqref="L18"/>
    </sheetView>
  </sheetViews>
  <sheetFormatPr defaultRowHeight="12.75" x14ac:dyDescent="0.2"/>
  <cols>
    <col min="1" max="1" width="9.140625" style="429"/>
    <col min="2" max="2" width="34.42578125" style="429" customWidth="1"/>
    <col min="3" max="3" width="10.140625" style="429" bestFit="1" customWidth="1"/>
    <col min="4" max="4" width="8.7109375" style="429" customWidth="1"/>
    <col min="5" max="5" width="6" style="429" customWidth="1"/>
    <col min="6" max="6" width="9.28515625" style="429" customWidth="1"/>
    <col min="7" max="7" width="8.42578125" style="429" customWidth="1"/>
    <col min="8" max="8" width="8.85546875" style="429" customWidth="1"/>
    <col min="9" max="9" width="12" style="429" customWidth="1"/>
    <col min="10" max="10" width="4.140625" style="445" customWidth="1"/>
    <col min="11" max="11" width="11.42578125" style="429" customWidth="1"/>
    <col min="12" max="12" width="9.5703125" style="429" bestFit="1" customWidth="1"/>
    <col min="13" max="13" width="9.140625" style="429"/>
    <col min="14" max="14" width="1.85546875" style="429" customWidth="1"/>
    <col min="15" max="15" width="34.42578125" style="429" customWidth="1"/>
    <col min="16" max="16" width="10.140625" style="429" bestFit="1" customWidth="1"/>
    <col min="17" max="21" width="9.140625" style="429"/>
    <col min="22" max="22" width="11.28515625" style="429" bestFit="1" customWidth="1"/>
    <col min="23" max="23" width="12.7109375" style="429" customWidth="1"/>
    <col min="24" max="16384" width="9.140625" style="429"/>
  </cols>
  <sheetData>
    <row r="1" spans="2:14" ht="18" customHeight="1" x14ac:dyDescent="0.25">
      <c r="E1" s="901"/>
      <c r="F1" s="998"/>
      <c r="G1" s="1137" t="s">
        <v>1463</v>
      </c>
      <c r="H1" s="1137"/>
      <c r="I1" s="1137"/>
      <c r="J1" s="1137"/>
      <c r="K1" s="1137"/>
      <c r="L1" s="1137"/>
    </row>
    <row r="2" spans="2:14" ht="48" customHeight="1" x14ac:dyDescent="0.2">
      <c r="E2" s="1161" t="s">
        <v>1342</v>
      </c>
      <c r="F2" s="1161"/>
      <c r="G2" s="1161"/>
      <c r="H2" s="1161"/>
      <c r="I2" s="1161"/>
      <c r="J2" s="1161"/>
      <c r="K2" s="1161"/>
      <c r="L2" s="1161"/>
    </row>
    <row r="4" spans="2:14" ht="20.25" x14ac:dyDescent="0.3">
      <c r="B4" s="460" t="s">
        <v>1222</v>
      </c>
      <c r="C4" s="427"/>
      <c r="D4" s="427"/>
      <c r="E4" s="427"/>
      <c r="F4" s="427"/>
      <c r="G4" s="427"/>
      <c r="H4" s="427"/>
      <c r="I4" s="427"/>
      <c r="J4" s="428"/>
      <c r="M4" s="1553"/>
      <c r="N4" s="1553"/>
    </row>
    <row r="5" spans="2:14" ht="20.25" thickBot="1" x14ac:dyDescent="0.35">
      <c r="B5" s="55"/>
      <c r="C5" s="427"/>
      <c r="D5" s="427"/>
      <c r="E5" s="427"/>
      <c r="F5" s="427"/>
      <c r="G5" s="427"/>
      <c r="H5" s="427"/>
      <c r="I5" s="427"/>
      <c r="J5" s="428"/>
      <c r="M5" s="1554"/>
      <c r="N5" s="1554"/>
    </row>
    <row r="6" spans="2:14" ht="20.25" customHeight="1" thickBot="1" x14ac:dyDescent="0.3">
      <c r="B6" s="430" t="s">
        <v>897</v>
      </c>
      <c r="C6" s="431"/>
      <c r="D6" s="431"/>
      <c r="E6" s="431"/>
      <c r="F6" s="431"/>
      <c r="G6" s="431"/>
      <c r="H6" s="431"/>
      <c r="I6" s="431"/>
      <c r="J6" s="431"/>
      <c r="K6" s="432"/>
      <c r="L6" s="660">
        <f>ROUND(I19,0)</f>
        <v>256375</v>
      </c>
      <c r="M6" s="433" t="s">
        <v>6</v>
      </c>
      <c r="N6" s="434"/>
    </row>
    <row r="7" spans="2:14" ht="15.75" x14ac:dyDescent="0.25">
      <c r="B7" s="427"/>
      <c r="C7" s="427"/>
      <c r="D7" s="427"/>
      <c r="E7" s="427"/>
      <c r="F7" s="427"/>
      <c r="G7" s="427"/>
      <c r="H7" s="427"/>
      <c r="I7" s="427"/>
      <c r="J7" s="428"/>
    </row>
    <row r="8" spans="2:14" ht="15.75" x14ac:dyDescent="0.25">
      <c r="B8" s="427" t="s">
        <v>898</v>
      </c>
      <c r="C8" s="427"/>
      <c r="D8" s="427"/>
      <c r="E8" s="427"/>
      <c r="F8" s="427"/>
      <c r="G8" s="427"/>
      <c r="H8" s="427"/>
      <c r="I8" s="427"/>
      <c r="J8" s="428"/>
    </row>
    <row r="9" spans="2:14" ht="15.75" x14ac:dyDescent="0.25">
      <c r="B9" s="435"/>
      <c r="C9" s="436" t="s">
        <v>1</v>
      </c>
      <c r="D9" s="436" t="s">
        <v>240</v>
      </c>
      <c r="E9" s="436" t="s">
        <v>899</v>
      </c>
      <c r="F9" s="436" t="s">
        <v>242</v>
      </c>
      <c r="G9" s="436" t="s">
        <v>0</v>
      </c>
      <c r="H9" s="436" t="s">
        <v>243</v>
      </c>
      <c r="I9" s="436"/>
      <c r="J9" s="437"/>
    </row>
    <row r="10" spans="2:14" ht="15.75" x14ac:dyDescent="0.25">
      <c r="B10" s="438" t="s">
        <v>900</v>
      </c>
      <c r="C10" s="435"/>
      <c r="D10" s="435"/>
      <c r="E10" s="435"/>
      <c r="F10" s="435"/>
      <c r="G10" s="435"/>
      <c r="H10" s="435"/>
      <c r="I10" s="435"/>
      <c r="J10" s="428"/>
    </row>
    <row r="11" spans="2:14" ht="15.75" x14ac:dyDescent="0.25">
      <c r="B11" s="438" t="s">
        <v>901</v>
      </c>
      <c r="C11" s="439">
        <f>(1485*12)+(1485*12*0.3)</f>
        <v>23166</v>
      </c>
      <c r="D11" s="439">
        <f>C11*0.2359</f>
        <v>5464.8594000000003</v>
      </c>
      <c r="E11" s="439">
        <v>0</v>
      </c>
      <c r="F11" s="439">
        <v>2624</v>
      </c>
      <c r="G11" s="439">
        <v>299</v>
      </c>
      <c r="H11" s="439">
        <v>493</v>
      </c>
      <c r="I11" s="440">
        <f>SUM(C11:H11)</f>
        <v>32046.859400000001</v>
      </c>
      <c r="J11" s="441"/>
    </row>
    <row r="12" spans="2:14" ht="15.75" x14ac:dyDescent="0.25">
      <c r="B12" s="427"/>
      <c r="C12" s="427"/>
      <c r="D12" s="427"/>
      <c r="E12" s="427"/>
      <c r="F12" s="427"/>
      <c r="G12" s="427"/>
      <c r="H12" s="427"/>
      <c r="I12" s="427"/>
      <c r="J12" s="428"/>
    </row>
    <row r="13" spans="2:14" ht="15.75" x14ac:dyDescent="0.25">
      <c r="B13" s="1555" t="s">
        <v>902</v>
      </c>
      <c r="C13" s="1555"/>
      <c r="D13" s="1555"/>
      <c r="E13" s="1555"/>
      <c r="F13" s="1555"/>
      <c r="G13" s="1555"/>
      <c r="H13" s="1555"/>
      <c r="I13" s="442">
        <f>I11*2</f>
        <v>64093.718800000002</v>
      </c>
      <c r="J13" s="428"/>
    </row>
    <row r="14" spans="2:14" ht="30.75" customHeight="1" x14ac:dyDescent="0.25">
      <c r="B14" s="1556" t="s">
        <v>903</v>
      </c>
      <c r="C14" s="1557"/>
      <c r="D14" s="1557"/>
      <c r="E14" s="1557"/>
      <c r="F14" s="1557"/>
      <c r="G14" s="1557"/>
      <c r="H14" s="1558"/>
      <c r="I14" s="442">
        <f>I11*2</f>
        <v>64093.718800000002</v>
      </c>
      <c r="J14" s="428"/>
    </row>
    <row r="15" spans="2:14" ht="27" customHeight="1" x14ac:dyDescent="0.25">
      <c r="B15" s="1571" t="s">
        <v>904</v>
      </c>
      <c r="C15" s="1572"/>
      <c r="D15" s="1572"/>
      <c r="E15" s="1572"/>
      <c r="F15" s="1572"/>
      <c r="G15" s="1572"/>
      <c r="H15" s="1573"/>
      <c r="I15" s="442">
        <f>I11*2</f>
        <v>64093.718800000002</v>
      </c>
      <c r="J15" s="428"/>
    </row>
    <row r="16" spans="2:14" ht="15.75" x14ac:dyDescent="0.25">
      <c r="B16" s="1574" t="s">
        <v>905</v>
      </c>
      <c r="C16" s="1575"/>
      <c r="D16" s="1575"/>
      <c r="E16" s="1575"/>
      <c r="F16" s="1575"/>
      <c r="G16" s="1575"/>
      <c r="H16" s="1576"/>
      <c r="I16" s="442">
        <f>I11</f>
        <v>32046.859400000001</v>
      </c>
      <c r="J16" s="428"/>
    </row>
    <row r="17" spans="1:13" ht="15.75" x14ac:dyDescent="0.25">
      <c r="B17" s="1559" t="s">
        <v>906</v>
      </c>
      <c r="C17" s="1560"/>
      <c r="D17" s="1560"/>
      <c r="E17" s="1560"/>
      <c r="F17" s="1560"/>
      <c r="G17" s="1560"/>
      <c r="H17" s="1561"/>
      <c r="I17" s="442">
        <f>I11</f>
        <v>32046.859400000001</v>
      </c>
      <c r="J17" s="428"/>
    </row>
    <row r="18" spans="1:13" ht="15.75" x14ac:dyDescent="0.25">
      <c r="B18" s="1559" t="s">
        <v>907</v>
      </c>
      <c r="C18" s="1560"/>
      <c r="D18" s="1560"/>
      <c r="E18" s="1560"/>
      <c r="F18" s="1560"/>
      <c r="G18" s="1560"/>
      <c r="H18" s="1561"/>
      <c r="I18" s="442">
        <f>I11</f>
        <v>32046.859400000001</v>
      </c>
      <c r="J18" s="428"/>
    </row>
    <row r="19" spans="1:13" ht="15.75" x14ac:dyDescent="0.25">
      <c r="B19" s="1562" t="s">
        <v>219</v>
      </c>
      <c r="C19" s="1563"/>
      <c r="D19" s="1563"/>
      <c r="E19" s="1563"/>
      <c r="F19" s="1563"/>
      <c r="G19" s="1563"/>
      <c r="H19" s="1564"/>
      <c r="I19" s="443">
        <f>SUM(I13:I17)</f>
        <v>256374.87520000001</v>
      </c>
      <c r="J19" s="428"/>
    </row>
    <row r="20" spans="1:13" ht="15.75" x14ac:dyDescent="0.25">
      <c r="B20" s="427"/>
      <c r="C20" s="427"/>
      <c r="D20" s="427"/>
      <c r="E20" s="427"/>
      <c r="F20" s="427"/>
      <c r="G20" s="427"/>
      <c r="H20" s="427"/>
      <c r="I20" s="444"/>
      <c r="J20" s="428"/>
    </row>
    <row r="21" spans="1:13" s="445" customFormat="1" ht="15.75" customHeight="1" x14ac:dyDescent="0.25">
      <c r="A21" s="429"/>
      <c r="B21" s="1565" t="s">
        <v>908</v>
      </c>
      <c r="C21" s="1566"/>
      <c r="D21" s="1566"/>
      <c r="E21" s="1566"/>
      <c r="F21" s="1566"/>
      <c r="G21" s="1566"/>
      <c r="H21" s="1567"/>
      <c r="I21" s="444"/>
      <c r="J21" s="428"/>
      <c r="K21" s="429"/>
      <c r="L21" s="429"/>
      <c r="M21" s="429"/>
    </row>
    <row r="22" spans="1:13" ht="12.75" customHeight="1" x14ac:dyDescent="0.2">
      <c r="B22" s="1568"/>
      <c r="C22" s="1569"/>
      <c r="D22" s="1569"/>
      <c r="E22" s="1569"/>
      <c r="F22" s="1569"/>
      <c r="G22" s="1569"/>
      <c r="H22" s="1570"/>
    </row>
    <row r="23" spans="1:13" ht="12.75" customHeight="1" x14ac:dyDescent="0.2"/>
  </sheetData>
  <mergeCells count="12">
    <mergeCell ref="E2:L2"/>
    <mergeCell ref="G1:L1"/>
    <mergeCell ref="B19:H19"/>
    <mergeCell ref="B21:H22"/>
    <mergeCell ref="B15:H15"/>
    <mergeCell ref="B16:H16"/>
    <mergeCell ref="B17:H17"/>
    <mergeCell ref="M4:N4"/>
    <mergeCell ref="M5:N5"/>
    <mergeCell ref="B13:H13"/>
    <mergeCell ref="B14:H14"/>
    <mergeCell ref="B18:H18"/>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2BDAB-A100-4638-9E3B-938F21770114}">
  <sheetPr>
    <tabColor rgb="FFFFFF00"/>
  </sheetPr>
  <dimension ref="B1:N20"/>
  <sheetViews>
    <sheetView workbookViewId="0">
      <selection activeCell="B7" sqref="B6:M7"/>
    </sheetView>
  </sheetViews>
  <sheetFormatPr defaultRowHeight="15" x14ac:dyDescent="0.25"/>
  <cols>
    <col min="2" max="2" width="25.140625" customWidth="1"/>
    <col min="3" max="3" width="16" customWidth="1"/>
    <col min="4" max="4" width="34" customWidth="1"/>
    <col min="6" max="6" width="9.85546875" bestFit="1" customWidth="1"/>
    <col min="10" max="11" width="11.28515625" bestFit="1" customWidth="1"/>
    <col min="12" max="12" width="18.42578125" customWidth="1"/>
  </cols>
  <sheetData>
    <row r="1" spans="2:14" ht="15.75" x14ac:dyDescent="0.25">
      <c r="G1" s="901"/>
      <c r="H1" s="998"/>
      <c r="I1" s="1137" t="s">
        <v>1464</v>
      </c>
      <c r="J1" s="1137"/>
      <c r="K1" s="1137"/>
      <c r="L1" s="1137"/>
      <c r="M1" s="1137"/>
      <c r="N1" s="1137"/>
    </row>
    <row r="2" spans="2:14" ht="39.75" customHeight="1" x14ac:dyDescent="0.25">
      <c r="G2" s="1161" t="s">
        <v>1342</v>
      </c>
      <c r="H2" s="1161"/>
      <c r="I2" s="1161"/>
      <c r="J2" s="1161"/>
      <c r="K2" s="1161"/>
      <c r="L2" s="1161"/>
      <c r="M2" s="1161"/>
      <c r="N2" s="1161"/>
    </row>
    <row r="4" spans="2:14" ht="20.25" x14ac:dyDescent="0.3">
      <c r="B4" s="1035" t="s">
        <v>1426</v>
      </c>
    </row>
    <row r="5" spans="2:14" ht="20.25" x14ac:dyDescent="0.3">
      <c r="B5" s="1035"/>
    </row>
    <row r="6" spans="2:14" ht="15.75" x14ac:dyDescent="0.25">
      <c r="B6" s="1036"/>
      <c r="C6" s="100"/>
      <c r="D6" s="100"/>
      <c r="E6" s="100"/>
      <c r="F6" s="100"/>
      <c r="G6" s="100"/>
      <c r="H6" s="100"/>
      <c r="I6" s="100"/>
      <c r="J6" s="764">
        <v>2022</v>
      </c>
      <c r="K6" s="764">
        <v>2023</v>
      </c>
      <c r="L6" s="764" t="s">
        <v>1410</v>
      </c>
      <c r="M6" s="555"/>
      <c r="N6" s="555"/>
    </row>
    <row r="7" spans="2:14" ht="15.75" x14ac:dyDescent="0.25">
      <c r="B7" s="1578" t="s">
        <v>1422</v>
      </c>
      <c r="C7" s="1578"/>
      <c r="D7" s="1578"/>
      <c r="E7" s="1578"/>
      <c r="F7" s="1578"/>
      <c r="G7" s="1578"/>
      <c r="H7" s="1578"/>
      <c r="I7" s="1578"/>
      <c r="J7" s="1037">
        <f>ROUND(D17,0)</f>
        <v>10154999</v>
      </c>
      <c r="K7" s="1037">
        <f>ROUND(D18,0)</f>
        <v>10347086</v>
      </c>
      <c r="L7" s="1037">
        <f>ROUND(D19,0)</f>
        <v>10539173</v>
      </c>
      <c r="M7" s="103" t="s">
        <v>6</v>
      </c>
      <c r="N7" s="555"/>
    </row>
    <row r="9" spans="2:14" ht="15.75" x14ac:dyDescent="0.25">
      <c r="B9" s="1579" t="s">
        <v>1417</v>
      </c>
      <c r="C9" s="1579"/>
      <c r="D9" s="1579"/>
      <c r="E9" s="1579"/>
      <c r="F9" s="1579"/>
    </row>
    <row r="10" spans="2:14" ht="36" customHeight="1" x14ac:dyDescent="0.25">
      <c r="B10" s="1580" t="s">
        <v>1421</v>
      </c>
      <c r="C10" s="1581"/>
      <c r="D10" s="1581"/>
      <c r="E10" s="1581"/>
      <c r="F10" s="1581"/>
      <c r="G10" s="1581"/>
      <c r="H10" s="1581"/>
      <c r="I10" s="1581"/>
      <c r="J10" s="1581"/>
      <c r="K10" s="1581"/>
    </row>
    <row r="11" spans="2:14" ht="15.75" x14ac:dyDescent="0.25">
      <c r="B11" s="1582" t="s">
        <v>1427</v>
      </c>
      <c r="C11" s="1577"/>
      <c r="D11" s="1577"/>
      <c r="E11" s="1577"/>
      <c r="F11" s="1577"/>
      <c r="G11" s="1577"/>
      <c r="H11" s="1577"/>
      <c r="I11" s="1577"/>
      <c r="J11" s="1577"/>
      <c r="K11" s="1577"/>
    </row>
    <row r="12" spans="2:14" ht="15.75" x14ac:dyDescent="0.25">
      <c r="B12" s="1577" t="s">
        <v>1418</v>
      </c>
      <c r="C12" s="1577"/>
      <c r="D12" s="1577"/>
      <c r="E12" s="1577"/>
      <c r="F12" s="1577"/>
      <c r="G12" s="1577"/>
      <c r="H12" s="1577"/>
      <c r="I12" s="1577"/>
      <c r="J12" s="1577"/>
      <c r="K12" s="1577"/>
    </row>
    <row r="13" spans="2:14" ht="15.75" x14ac:dyDescent="0.25">
      <c r="B13" s="1577" t="s">
        <v>1419</v>
      </c>
      <c r="C13" s="1577"/>
      <c r="D13" s="1577"/>
      <c r="E13" s="1577"/>
      <c r="F13" s="1577"/>
      <c r="G13" s="1577"/>
      <c r="H13" s="1577"/>
      <c r="I13" s="1577"/>
      <c r="J13" s="1577"/>
      <c r="K13" s="1577"/>
    </row>
    <row r="14" spans="2:14" ht="15.75" x14ac:dyDescent="0.25">
      <c r="B14" s="1577" t="s">
        <v>1420</v>
      </c>
      <c r="C14" s="1577"/>
      <c r="D14" s="1577"/>
      <c r="E14" s="1577"/>
      <c r="F14" s="1577"/>
      <c r="G14" s="1577"/>
      <c r="H14" s="1577"/>
      <c r="I14" s="1577"/>
      <c r="J14" s="1577"/>
      <c r="K14" s="1577"/>
    </row>
    <row r="15" spans="2:14" ht="15.75" thickBot="1" x14ac:dyDescent="0.3"/>
    <row r="16" spans="2:14" ht="30.75" thickBot="1" x14ac:dyDescent="0.3">
      <c r="B16" s="1038" t="s">
        <v>1265</v>
      </c>
      <c r="C16" s="1042" t="s">
        <v>1423</v>
      </c>
      <c r="D16" s="1039" t="s">
        <v>1428</v>
      </c>
    </row>
    <row r="17" spans="2:8" ht="15.75" thickBot="1" x14ac:dyDescent="0.3">
      <c r="B17" s="1040">
        <v>2022</v>
      </c>
      <c r="C17" s="1041">
        <v>7930</v>
      </c>
      <c r="D17" s="1043">
        <f>C17*213.43*6</f>
        <v>10154999.4</v>
      </c>
      <c r="F17" s="199"/>
      <c r="H17" s="154"/>
    </row>
    <row r="18" spans="2:8" ht="15.75" thickBot="1" x14ac:dyDescent="0.3">
      <c r="B18" s="1040">
        <v>2023</v>
      </c>
      <c r="C18" s="1041">
        <v>8080</v>
      </c>
      <c r="D18" s="1043">
        <f t="shared" ref="D18:D19" si="0">C18*213.43*6</f>
        <v>10347086.4</v>
      </c>
      <c r="F18" s="199"/>
      <c r="H18" s="154"/>
    </row>
    <row r="19" spans="2:8" ht="15.75" thickBot="1" x14ac:dyDescent="0.3">
      <c r="B19" s="1040">
        <v>2024</v>
      </c>
      <c r="C19" s="1041">
        <v>8230</v>
      </c>
      <c r="D19" s="1043">
        <f t="shared" si="0"/>
        <v>10539173.4</v>
      </c>
      <c r="F19" s="199"/>
      <c r="H19" s="154"/>
    </row>
    <row r="20" spans="2:8" x14ac:dyDescent="0.25">
      <c r="F20" s="199"/>
    </row>
  </sheetData>
  <mergeCells count="9">
    <mergeCell ref="I1:N1"/>
    <mergeCell ref="G2:N2"/>
    <mergeCell ref="B14:K14"/>
    <mergeCell ref="B7:I7"/>
    <mergeCell ref="B9:F9"/>
    <mergeCell ref="B10:K10"/>
    <mergeCell ref="B11:K11"/>
    <mergeCell ref="B12:K12"/>
    <mergeCell ref="B13:K13"/>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4F959-B12C-43A4-9C7D-4A0DE0EB8004}">
  <sheetPr>
    <tabColor rgb="FFFFFF00"/>
  </sheetPr>
  <dimension ref="B1:U45"/>
  <sheetViews>
    <sheetView topLeftCell="A25" zoomScale="70" zoomScaleNormal="70" workbookViewId="0">
      <selection activeCell="I35" sqref="I35"/>
    </sheetView>
  </sheetViews>
  <sheetFormatPr defaultRowHeight="15" x14ac:dyDescent="0.25"/>
  <cols>
    <col min="1" max="1" width="2.7109375" customWidth="1"/>
    <col min="2" max="2" width="6.85546875" customWidth="1"/>
    <col min="3" max="3" width="13.7109375" customWidth="1"/>
    <col min="4" max="4" width="16.42578125" customWidth="1"/>
    <col min="5" max="5" width="10.85546875" customWidth="1"/>
    <col min="8" max="8" width="11.7109375" customWidth="1"/>
    <col min="9" max="9" width="8.85546875" customWidth="1"/>
    <col min="10" max="11" width="10" customWidth="1"/>
    <col min="12" max="17" width="10.85546875" customWidth="1"/>
  </cols>
  <sheetData>
    <row r="1" spans="2:21" ht="15.75" x14ac:dyDescent="0.25">
      <c r="N1" s="901"/>
      <c r="O1" s="998"/>
      <c r="P1" s="1137" t="s">
        <v>1473</v>
      </c>
      <c r="Q1" s="1137"/>
      <c r="R1" s="1137"/>
      <c r="S1" s="1137"/>
      <c r="T1" s="1137"/>
      <c r="U1" s="1137"/>
    </row>
    <row r="2" spans="2:21" ht="15.75" customHeight="1" x14ac:dyDescent="0.25">
      <c r="L2" s="1161" t="s">
        <v>1342</v>
      </c>
      <c r="M2" s="1161"/>
      <c r="N2" s="1161"/>
      <c r="O2" s="1161"/>
      <c r="P2" s="1161"/>
      <c r="Q2" s="1161"/>
      <c r="R2" s="1161"/>
      <c r="S2" s="1161"/>
      <c r="T2" s="1161"/>
      <c r="U2" s="1161"/>
    </row>
    <row r="3" spans="2:21" x14ac:dyDescent="0.25">
      <c r="L3" s="1161"/>
      <c r="M3" s="1161"/>
      <c r="N3" s="1161"/>
      <c r="O3" s="1161"/>
      <c r="P3" s="1161"/>
      <c r="Q3" s="1161"/>
      <c r="R3" s="1161"/>
      <c r="S3" s="1161"/>
      <c r="T3" s="1161"/>
      <c r="U3" s="1161"/>
    </row>
    <row r="4" spans="2:21" ht="15.75" x14ac:dyDescent="0.25">
      <c r="L4" s="1050"/>
      <c r="M4" s="1050"/>
      <c r="N4" s="1050"/>
      <c r="O4" s="1050"/>
      <c r="P4" s="1050"/>
      <c r="Q4" s="1050"/>
      <c r="R4" s="1050"/>
      <c r="S4" s="1050"/>
      <c r="T4" s="1050"/>
      <c r="U4" s="1050"/>
    </row>
    <row r="5" spans="2:21" s="1124" customFormat="1" ht="31.5" x14ac:dyDescent="0.25">
      <c r="C5" s="1125"/>
      <c r="D5" s="1126"/>
      <c r="E5" s="1126"/>
      <c r="F5" s="1126"/>
      <c r="G5" s="1126"/>
      <c r="H5" s="1126"/>
      <c r="I5" s="1126"/>
      <c r="J5" s="1126"/>
      <c r="K5" s="1126"/>
      <c r="L5" s="1127">
        <v>2022</v>
      </c>
      <c r="M5" s="1127">
        <v>2023</v>
      </c>
      <c r="N5" s="1127" t="s">
        <v>1410</v>
      </c>
      <c r="O5" s="1128"/>
      <c r="P5" s="1115"/>
      <c r="Q5" s="1115"/>
      <c r="R5" s="1115"/>
      <c r="S5" s="1115"/>
      <c r="T5" s="1115"/>
      <c r="U5" s="1115"/>
    </row>
    <row r="6" spans="2:21" ht="15.75" x14ac:dyDescent="0.25">
      <c r="C6" s="1601" t="s">
        <v>1509</v>
      </c>
      <c r="D6" s="1602"/>
      <c r="E6" s="1602"/>
      <c r="F6" s="1602"/>
      <c r="G6" s="1602"/>
      <c r="H6" s="1602"/>
      <c r="I6" s="1602"/>
      <c r="J6" s="1602"/>
      <c r="K6" s="1603"/>
      <c r="L6" s="1037">
        <f>M45</f>
        <v>1215264.9003874604</v>
      </c>
      <c r="M6" s="1037">
        <f>N45</f>
        <v>1538922.58013385</v>
      </c>
      <c r="N6" s="1037">
        <f>O45</f>
        <v>1862580.2598802396</v>
      </c>
      <c r="O6" s="103" t="s">
        <v>6</v>
      </c>
      <c r="P6" s="1050"/>
      <c r="Q6" s="1050"/>
      <c r="R6" s="1050"/>
      <c r="S6" s="1050"/>
      <c r="T6" s="1050"/>
      <c r="U6" s="1050"/>
    </row>
    <row r="8" spans="2:21" ht="18.75" x14ac:dyDescent="0.25">
      <c r="B8" s="1583" t="s">
        <v>1503</v>
      </c>
      <c r="C8" s="1583"/>
      <c r="D8" s="1583"/>
      <c r="E8" s="1583"/>
      <c r="F8" s="1583"/>
      <c r="G8" s="1583"/>
      <c r="H8" s="1583"/>
      <c r="I8" s="1583"/>
      <c r="J8" s="1583"/>
      <c r="K8" s="1583"/>
      <c r="L8" s="1583"/>
      <c r="M8" s="1583"/>
      <c r="N8" s="1583"/>
      <c r="O8" s="1583"/>
      <c r="P8" s="1583"/>
      <c r="Q8" s="1583"/>
    </row>
    <row r="9" spans="2:21" ht="15.75" customHeight="1" x14ac:dyDescent="0.25">
      <c r="B9" s="1109"/>
      <c r="C9" s="1109"/>
      <c r="D9" s="1109"/>
      <c r="E9" s="1109"/>
      <c r="F9" s="1109"/>
      <c r="G9" s="1109"/>
      <c r="H9" s="1109"/>
      <c r="I9" s="1109"/>
      <c r="J9" s="1109"/>
      <c r="K9" s="1117"/>
      <c r="L9" s="1109"/>
      <c r="M9" s="1109"/>
      <c r="N9" s="1109"/>
      <c r="O9" s="1109"/>
      <c r="P9" s="1109"/>
      <c r="Q9" s="1109"/>
    </row>
    <row r="10" spans="2:21" ht="42" customHeight="1" thickBot="1" x14ac:dyDescent="0.3">
      <c r="B10" s="1604" t="s">
        <v>1526</v>
      </c>
      <c r="C10" s="1604"/>
      <c r="D10" s="1604"/>
      <c r="E10" s="1604"/>
      <c r="F10" s="1604"/>
      <c r="G10" s="1131">
        <v>0.2</v>
      </c>
      <c r="H10" s="1051"/>
      <c r="I10" s="454"/>
      <c r="J10" s="454"/>
      <c r="K10" s="454"/>
      <c r="L10" s="454"/>
      <c r="M10" s="454"/>
      <c r="N10" s="454"/>
      <c r="O10" s="454"/>
      <c r="P10" s="454"/>
      <c r="Q10" s="454"/>
    </row>
    <row r="11" spans="2:21" x14ac:dyDescent="0.25">
      <c r="B11" s="1584" t="s">
        <v>3</v>
      </c>
      <c r="C11" s="1587" t="s">
        <v>1475</v>
      </c>
      <c r="D11" s="1587" t="s">
        <v>1475</v>
      </c>
      <c r="E11" s="1589" t="s">
        <v>1476</v>
      </c>
      <c r="F11" s="1591" t="s">
        <v>1515</v>
      </c>
      <c r="G11" s="1592"/>
      <c r="H11" s="1595" t="s">
        <v>1524</v>
      </c>
      <c r="I11" s="1596"/>
      <c r="J11" s="1605" t="s">
        <v>1521</v>
      </c>
      <c r="K11" s="1599" t="s">
        <v>1522</v>
      </c>
      <c r="L11" s="1595" t="s">
        <v>1513</v>
      </c>
      <c r="M11" s="1596"/>
      <c r="N11" s="1595" t="s">
        <v>1512</v>
      </c>
      <c r="O11" s="1596"/>
      <c r="P11" s="1595" t="s">
        <v>1514</v>
      </c>
      <c r="Q11" s="1596"/>
    </row>
    <row r="12" spans="2:21" ht="49.5" customHeight="1" x14ac:dyDescent="0.25">
      <c r="B12" s="1585"/>
      <c r="C12" s="1588"/>
      <c r="D12" s="1588"/>
      <c r="E12" s="1590"/>
      <c r="F12" s="1593"/>
      <c r="G12" s="1594"/>
      <c r="H12" s="1597"/>
      <c r="I12" s="1598"/>
      <c r="J12" s="1606"/>
      <c r="K12" s="1600"/>
      <c r="L12" s="1597"/>
      <c r="M12" s="1598"/>
      <c r="N12" s="1597"/>
      <c r="O12" s="1598"/>
      <c r="P12" s="1597"/>
      <c r="Q12" s="1598"/>
    </row>
    <row r="13" spans="2:21" ht="38.25" x14ac:dyDescent="0.25">
      <c r="B13" s="1586"/>
      <c r="C13" s="1588"/>
      <c r="D13" s="1588"/>
      <c r="E13" s="1590"/>
      <c r="F13" s="1061" t="s">
        <v>219</v>
      </c>
      <c r="G13" s="1062" t="s">
        <v>1477</v>
      </c>
      <c r="H13" s="1063" t="s">
        <v>219</v>
      </c>
      <c r="I13" s="1064" t="s">
        <v>1477</v>
      </c>
      <c r="J13" s="1065" t="s">
        <v>219</v>
      </c>
      <c r="K13" s="1118" t="s">
        <v>219</v>
      </c>
      <c r="L13" s="1063" t="s">
        <v>219</v>
      </c>
      <c r="M13" s="1064" t="s">
        <v>1477</v>
      </c>
      <c r="N13" s="1063" t="s">
        <v>219</v>
      </c>
      <c r="O13" s="1064" t="s">
        <v>1477</v>
      </c>
      <c r="P13" s="1063" t="s">
        <v>219</v>
      </c>
      <c r="Q13" s="1064" t="s">
        <v>1477</v>
      </c>
    </row>
    <row r="14" spans="2:21" x14ac:dyDescent="0.25">
      <c r="B14" s="1066" t="s">
        <v>1478</v>
      </c>
      <c r="C14" s="1067">
        <v>2</v>
      </c>
      <c r="D14" s="1067">
        <v>3</v>
      </c>
      <c r="E14" s="1067">
        <v>4</v>
      </c>
      <c r="F14" s="1068">
        <v>5</v>
      </c>
      <c r="G14" s="1069">
        <v>6</v>
      </c>
      <c r="H14" s="1070">
        <v>7</v>
      </c>
      <c r="I14" s="1071">
        <v>8</v>
      </c>
      <c r="J14" s="1072">
        <v>9</v>
      </c>
      <c r="K14" s="1119">
        <v>10</v>
      </c>
      <c r="L14" s="1070">
        <v>11</v>
      </c>
      <c r="M14" s="1071">
        <v>12</v>
      </c>
      <c r="N14" s="1070">
        <v>13</v>
      </c>
      <c r="O14" s="1071">
        <v>14</v>
      </c>
      <c r="P14" s="1070">
        <v>15</v>
      </c>
      <c r="Q14" s="1071">
        <v>16</v>
      </c>
    </row>
    <row r="15" spans="2:21" x14ac:dyDescent="0.25">
      <c r="B15" s="1066" t="s">
        <v>1275</v>
      </c>
      <c r="C15" s="1607" t="s">
        <v>1504</v>
      </c>
      <c r="D15" s="1073" t="s">
        <v>219</v>
      </c>
      <c r="E15" s="1074" t="s">
        <v>1094</v>
      </c>
      <c r="F15" s="1075">
        <f>SUM(F16:F19)+F22+F23</f>
        <v>14195</v>
      </c>
      <c r="G15" s="1076">
        <f>SUM(G16:G19)+G22+G23</f>
        <v>2840</v>
      </c>
      <c r="H15" s="1077">
        <f>H35/H36</f>
        <v>11682.766190509896</v>
      </c>
      <c r="I15" s="1078">
        <f>SUM(I16:I19)+I22+I23</f>
        <v>2337</v>
      </c>
      <c r="J15" s="1079" t="s">
        <v>1050</v>
      </c>
      <c r="K15" s="1120" t="s">
        <v>1050</v>
      </c>
      <c r="L15" s="1077">
        <f>L35/L36</f>
        <v>11682.766190509896</v>
      </c>
      <c r="M15" s="1078">
        <f>SUM(M16:M19)+M22+M23</f>
        <v>2337</v>
      </c>
      <c r="N15" s="1077">
        <f>N35/N36</f>
        <v>11682.766190509896</v>
      </c>
      <c r="O15" s="1078">
        <f>SUM(O16:O19)+O22+O23</f>
        <v>2337</v>
      </c>
      <c r="P15" s="1077">
        <f>P35/P36</f>
        <v>11682.766190509896</v>
      </c>
      <c r="Q15" s="1078">
        <f>SUM(Q16:Q19)+Q22+Q23</f>
        <v>2337</v>
      </c>
    </row>
    <row r="16" spans="2:21" ht="16.5" customHeight="1" x14ac:dyDescent="0.25">
      <c r="B16" s="1080" t="s">
        <v>1044</v>
      </c>
      <c r="C16" s="1608"/>
      <c r="D16" s="1081" t="s">
        <v>1479</v>
      </c>
      <c r="E16" s="1082" t="s">
        <v>1094</v>
      </c>
      <c r="F16" s="1083">
        <v>970</v>
      </c>
      <c r="G16" s="1084">
        <f>ROUND(F16*$G$10,0)</f>
        <v>194</v>
      </c>
      <c r="H16" s="1085">
        <f>((F16*100/$F$15)*$H$15)/100</f>
        <v>798.3292148499188</v>
      </c>
      <c r="I16" s="1086">
        <f>ROUND(H16*$G$10,0)</f>
        <v>160</v>
      </c>
      <c r="J16" s="1079" t="s">
        <v>1050</v>
      </c>
      <c r="K16" s="1120" t="s">
        <v>1050</v>
      </c>
      <c r="L16" s="1085">
        <f>((F16*100/$F$15)*$H$15)/100</f>
        <v>798.3292148499188</v>
      </c>
      <c r="M16" s="1086">
        <f>ROUND(L16*$G$10,0)</f>
        <v>160</v>
      </c>
      <c r="N16" s="1085">
        <f>((F16*100/$F$15)*$H$15)/100</f>
        <v>798.3292148499188</v>
      </c>
      <c r="O16" s="1086">
        <f>ROUND(N16*$G$10,0)</f>
        <v>160</v>
      </c>
      <c r="P16" s="1085">
        <f>((F16*100/$F$15)*$H$15)/100</f>
        <v>798.3292148499188</v>
      </c>
      <c r="Q16" s="1086">
        <f>ROUND(P16*$G$10,0)</f>
        <v>160</v>
      </c>
    </row>
    <row r="17" spans="2:17" ht="15" customHeight="1" x14ac:dyDescent="0.25">
      <c r="B17" s="1080" t="s">
        <v>1046</v>
      </c>
      <c r="C17" s="1608"/>
      <c r="D17" s="1081" t="s">
        <v>1480</v>
      </c>
      <c r="E17" s="1082" t="s">
        <v>1094</v>
      </c>
      <c r="F17" s="1083">
        <v>3044</v>
      </c>
      <c r="G17" s="1084">
        <f t="shared" ref="G17:G23" si="0">ROUND(F17*$G$10,0)</f>
        <v>609</v>
      </c>
      <c r="H17" s="1085">
        <f t="shared" ref="H17:H23" si="1">((F17*100/$F$15)*$H$15)/100</f>
        <v>2505.2722989723225</v>
      </c>
      <c r="I17" s="1086">
        <f t="shared" ref="I17:I23" si="2">ROUND(H17*$G$10,0)</f>
        <v>501</v>
      </c>
      <c r="J17" s="1079" t="s">
        <v>1050</v>
      </c>
      <c r="K17" s="1120" t="s">
        <v>1050</v>
      </c>
      <c r="L17" s="1085">
        <f t="shared" ref="L17:L23" si="3">((F17*100/$F$15)*$H$15)/100</f>
        <v>2505.2722989723225</v>
      </c>
      <c r="M17" s="1086">
        <f t="shared" ref="M17:M23" si="4">ROUND(L17*$G$10,0)</f>
        <v>501</v>
      </c>
      <c r="N17" s="1085">
        <f t="shared" ref="N17:N23" si="5">((F17*100/$F$15)*$H$15)/100</f>
        <v>2505.2722989723225</v>
      </c>
      <c r="O17" s="1086">
        <f t="shared" ref="O17:O23" si="6">ROUND(N17*$G$10,0)</f>
        <v>501</v>
      </c>
      <c r="P17" s="1085">
        <f t="shared" ref="P17:P23" si="7">((F17*100/$F$15)*$H$15)/100</f>
        <v>2505.2722989723225</v>
      </c>
      <c r="Q17" s="1086">
        <f t="shared" ref="Q17:Q23" si="8">ROUND(P17*$G$10,0)</f>
        <v>501</v>
      </c>
    </row>
    <row r="18" spans="2:17" ht="43.5" customHeight="1" x14ac:dyDescent="0.25">
      <c r="B18" s="1080" t="s">
        <v>1048</v>
      </c>
      <c r="C18" s="1608"/>
      <c r="D18" s="1081" t="s">
        <v>1519</v>
      </c>
      <c r="E18" s="1082" t="s">
        <v>1094</v>
      </c>
      <c r="F18" s="1083">
        <v>7083</v>
      </c>
      <c r="G18" s="1084">
        <f t="shared" si="0"/>
        <v>1417</v>
      </c>
      <c r="H18" s="1085">
        <f t="shared" si="1"/>
        <v>5829.4493080226557</v>
      </c>
      <c r="I18" s="1086">
        <f t="shared" si="2"/>
        <v>1166</v>
      </c>
      <c r="J18" s="1079" t="s">
        <v>1050</v>
      </c>
      <c r="K18" s="1120" t="s">
        <v>1050</v>
      </c>
      <c r="L18" s="1085">
        <f t="shared" si="3"/>
        <v>5829.4493080226557</v>
      </c>
      <c r="M18" s="1086">
        <f t="shared" si="4"/>
        <v>1166</v>
      </c>
      <c r="N18" s="1085">
        <f t="shared" si="5"/>
        <v>5829.4493080226557</v>
      </c>
      <c r="O18" s="1086">
        <f t="shared" si="6"/>
        <v>1166</v>
      </c>
      <c r="P18" s="1085">
        <f t="shared" si="7"/>
        <v>5829.4493080226557</v>
      </c>
      <c r="Q18" s="1086">
        <f t="shared" si="8"/>
        <v>1166</v>
      </c>
    </row>
    <row r="19" spans="2:17" ht="43.5" customHeight="1" x14ac:dyDescent="0.25">
      <c r="B19" s="1080" t="s">
        <v>1051</v>
      </c>
      <c r="C19" s="1608"/>
      <c r="D19" s="1081" t="s">
        <v>1507</v>
      </c>
      <c r="E19" s="1082" t="s">
        <v>1094</v>
      </c>
      <c r="F19" s="1083">
        <f>2331+F20+F21</f>
        <v>2726</v>
      </c>
      <c r="G19" s="1084">
        <f t="shared" si="0"/>
        <v>545</v>
      </c>
      <c r="H19" s="1085">
        <f t="shared" si="1"/>
        <v>2243.5519996710091</v>
      </c>
      <c r="I19" s="1086">
        <f t="shared" si="2"/>
        <v>449</v>
      </c>
      <c r="J19" s="1079" t="s">
        <v>1050</v>
      </c>
      <c r="K19" s="1120" t="s">
        <v>1050</v>
      </c>
      <c r="L19" s="1085">
        <f t="shared" si="3"/>
        <v>2243.5519996710091</v>
      </c>
      <c r="M19" s="1086">
        <f t="shared" si="4"/>
        <v>449</v>
      </c>
      <c r="N19" s="1085">
        <f t="shared" si="5"/>
        <v>2243.5519996710091</v>
      </c>
      <c r="O19" s="1086">
        <f t="shared" si="6"/>
        <v>449</v>
      </c>
      <c r="P19" s="1085">
        <f t="shared" si="7"/>
        <v>2243.5519996710091</v>
      </c>
      <c r="Q19" s="1086">
        <f t="shared" si="8"/>
        <v>449</v>
      </c>
    </row>
    <row r="20" spans="2:17" ht="38.25" x14ac:dyDescent="0.25">
      <c r="B20" s="1080" t="s">
        <v>1481</v>
      </c>
      <c r="C20" s="1608"/>
      <c r="D20" s="1052" t="s">
        <v>1482</v>
      </c>
      <c r="E20" s="1082" t="s">
        <v>1094</v>
      </c>
      <c r="F20" s="1053">
        <v>202</v>
      </c>
      <c r="G20" s="1084">
        <f t="shared" si="0"/>
        <v>40</v>
      </c>
      <c r="H20" s="1085">
        <f t="shared" si="1"/>
        <v>166.25000144297283</v>
      </c>
      <c r="I20" s="1086">
        <f t="shared" si="2"/>
        <v>33</v>
      </c>
      <c r="J20" s="1079" t="s">
        <v>1050</v>
      </c>
      <c r="K20" s="1120" t="s">
        <v>1050</v>
      </c>
      <c r="L20" s="1085">
        <f t="shared" si="3"/>
        <v>166.25000144297283</v>
      </c>
      <c r="M20" s="1086">
        <f t="shared" si="4"/>
        <v>33</v>
      </c>
      <c r="N20" s="1085">
        <f t="shared" si="5"/>
        <v>166.25000144297283</v>
      </c>
      <c r="O20" s="1086">
        <f t="shared" si="6"/>
        <v>33</v>
      </c>
      <c r="P20" s="1085">
        <f t="shared" si="7"/>
        <v>166.25000144297283</v>
      </c>
      <c r="Q20" s="1086">
        <f t="shared" si="8"/>
        <v>33</v>
      </c>
    </row>
    <row r="21" spans="2:17" ht="25.5" x14ac:dyDescent="0.25">
      <c r="B21" s="1080" t="s">
        <v>1483</v>
      </c>
      <c r="C21" s="1608"/>
      <c r="D21" s="1052" t="s">
        <v>1484</v>
      </c>
      <c r="E21" s="1082" t="s">
        <v>1094</v>
      </c>
      <c r="F21" s="1053">
        <v>193</v>
      </c>
      <c r="G21" s="1084">
        <f t="shared" si="0"/>
        <v>39</v>
      </c>
      <c r="H21" s="1085">
        <f t="shared" si="1"/>
        <v>158.84282316086018</v>
      </c>
      <c r="I21" s="1086">
        <f t="shared" si="2"/>
        <v>32</v>
      </c>
      <c r="J21" s="1079" t="s">
        <v>1050</v>
      </c>
      <c r="K21" s="1120" t="s">
        <v>1050</v>
      </c>
      <c r="L21" s="1085">
        <f t="shared" si="3"/>
        <v>158.84282316086018</v>
      </c>
      <c r="M21" s="1086">
        <f t="shared" si="4"/>
        <v>32</v>
      </c>
      <c r="N21" s="1085">
        <f t="shared" si="5"/>
        <v>158.84282316086018</v>
      </c>
      <c r="O21" s="1086">
        <f t="shared" si="6"/>
        <v>32</v>
      </c>
      <c r="P21" s="1085">
        <f t="shared" si="7"/>
        <v>158.84282316086018</v>
      </c>
      <c r="Q21" s="1086">
        <f t="shared" si="8"/>
        <v>32</v>
      </c>
    </row>
    <row r="22" spans="2:17" ht="51" x14ac:dyDescent="0.25">
      <c r="B22" s="1080" t="s">
        <v>1053</v>
      </c>
      <c r="C22" s="1608"/>
      <c r="D22" s="1081" t="s">
        <v>1485</v>
      </c>
      <c r="E22" s="1082" t="s">
        <v>1094</v>
      </c>
      <c r="F22" s="1083">
        <v>18</v>
      </c>
      <c r="G22" s="1084">
        <f t="shared" si="0"/>
        <v>4</v>
      </c>
      <c r="H22" s="1085">
        <f t="shared" si="1"/>
        <v>14.814356564225299</v>
      </c>
      <c r="I22" s="1086">
        <f t="shared" si="2"/>
        <v>3</v>
      </c>
      <c r="J22" s="1079" t="s">
        <v>1050</v>
      </c>
      <c r="K22" s="1120" t="s">
        <v>1050</v>
      </c>
      <c r="L22" s="1085">
        <f t="shared" si="3"/>
        <v>14.814356564225299</v>
      </c>
      <c r="M22" s="1086">
        <f t="shared" si="4"/>
        <v>3</v>
      </c>
      <c r="N22" s="1085">
        <f t="shared" si="5"/>
        <v>14.814356564225299</v>
      </c>
      <c r="O22" s="1086">
        <f t="shared" si="6"/>
        <v>3</v>
      </c>
      <c r="P22" s="1085">
        <f t="shared" si="7"/>
        <v>14.814356564225299</v>
      </c>
      <c r="Q22" s="1086">
        <f t="shared" si="8"/>
        <v>3</v>
      </c>
    </row>
    <row r="23" spans="2:17" ht="25.5" x14ac:dyDescent="0.25">
      <c r="B23" s="1080" t="s">
        <v>1486</v>
      </c>
      <c r="C23" s="1609"/>
      <c r="D23" s="1081" t="s">
        <v>1487</v>
      </c>
      <c r="E23" s="1082" t="s">
        <v>1094</v>
      </c>
      <c r="F23" s="1083">
        <v>354</v>
      </c>
      <c r="G23" s="1084">
        <f t="shared" si="0"/>
        <v>71</v>
      </c>
      <c r="H23" s="1085">
        <f t="shared" si="1"/>
        <v>291.34901242976423</v>
      </c>
      <c r="I23" s="1086">
        <f t="shared" si="2"/>
        <v>58</v>
      </c>
      <c r="J23" s="1079" t="s">
        <v>1050</v>
      </c>
      <c r="K23" s="1120" t="s">
        <v>1050</v>
      </c>
      <c r="L23" s="1085">
        <f t="shared" si="3"/>
        <v>291.34901242976423</v>
      </c>
      <c r="M23" s="1086">
        <f t="shared" si="4"/>
        <v>58</v>
      </c>
      <c r="N23" s="1085">
        <f t="shared" si="5"/>
        <v>291.34901242976423</v>
      </c>
      <c r="O23" s="1086">
        <f t="shared" si="6"/>
        <v>58</v>
      </c>
      <c r="P23" s="1085">
        <f t="shared" si="7"/>
        <v>291.34901242976423</v>
      </c>
      <c r="Q23" s="1086">
        <f t="shared" si="8"/>
        <v>58</v>
      </c>
    </row>
    <row r="24" spans="2:17" x14ac:dyDescent="0.25">
      <c r="B24" s="1066" t="s">
        <v>1280</v>
      </c>
      <c r="C24" s="1607" t="s">
        <v>1505</v>
      </c>
      <c r="D24" s="1108" t="s">
        <v>219</v>
      </c>
      <c r="E24" s="1087" t="s">
        <v>1488</v>
      </c>
      <c r="F24" s="1088">
        <f>SUM(F25:F32)-F29-F30</f>
        <v>16622</v>
      </c>
      <c r="G24" s="1076">
        <f>SUM(G25:G32)-G29-G30</f>
        <v>3325</v>
      </c>
      <c r="H24" s="1089">
        <f>(F24/F15)*H15</f>
        <v>13680.235267252941</v>
      </c>
      <c r="I24" s="1078">
        <f>SUM(I25:I32)-I29-I30</f>
        <v>2565</v>
      </c>
      <c r="J24" s="1079" t="s">
        <v>1050</v>
      </c>
      <c r="K24" s="1120" t="s">
        <v>1050</v>
      </c>
      <c r="L24" s="1089">
        <f>(F24/F15)*H15</f>
        <v>13680.235267252941</v>
      </c>
      <c r="M24" s="1078">
        <f>SUM(M25:M32)-M29-M30</f>
        <v>2565</v>
      </c>
      <c r="N24" s="1089">
        <f>(F24/F15)*H15</f>
        <v>13680.235267252941</v>
      </c>
      <c r="O24" s="1078">
        <f>SUM(O25:O32)-O29-O30</f>
        <v>2736</v>
      </c>
      <c r="P24" s="1089">
        <f>(F24/F15)*H15</f>
        <v>13680.235267252941</v>
      </c>
      <c r="Q24" s="1078">
        <f>SUM(Q25:Q32)-Q29-Q30</f>
        <v>2736</v>
      </c>
    </row>
    <row r="25" spans="2:17" x14ac:dyDescent="0.25">
      <c r="B25" s="1080" t="s">
        <v>1069</v>
      </c>
      <c r="C25" s="1608"/>
      <c r="D25" s="1081" t="s">
        <v>1479</v>
      </c>
      <c r="E25" s="1090" t="s">
        <v>1488</v>
      </c>
      <c r="F25" s="1083">
        <v>1036</v>
      </c>
      <c r="G25" s="1084">
        <f>ROUND(F25*$G$10,0)</f>
        <v>207</v>
      </c>
      <c r="H25" s="1085">
        <f>((F25*100/$F$22)*$H$22)/100</f>
        <v>852.64852225207835</v>
      </c>
      <c r="I25" s="1086">
        <f>ROUND(H25*$G$7,0)</f>
        <v>0</v>
      </c>
      <c r="J25" s="1079" t="s">
        <v>1050</v>
      </c>
      <c r="K25" s="1120" t="s">
        <v>1050</v>
      </c>
      <c r="L25" s="1085">
        <f>((F25*100/$F$22)*$H$22)/100</f>
        <v>852.64852225207835</v>
      </c>
      <c r="M25" s="1086">
        <f>ROUND(L25*$G$7,0)</f>
        <v>0</v>
      </c>
      <c r="N25" s="1085">
        <f>((F25*100/$F$22)*$H$22)/100</f>
        <v>852.64852225207835</v>
      </c>
      <c r="O25" s="1086">
        <f>ROUND(N25*$G$10,0)</f>
        <v>171</v>
      </c>
      <c r="P25" s="1085">
        <f>((F25*100/$F$22)*$H$22)/100</f>
        <v>852.64852225207835</v>
      </c>
      <c r="Q25" s="1086">
        <f>ROUND(P25*$G$10,0)</f>
        <v>171</v>
      </c>
    </row>
    <row r="26" spans="2:17" x14ac:dyDescent="0.25">
      <c r="B26" s="1080" t="s">
        <v>1079</v>
      </c>
      <c r="C26" s="1608"/>
      <c r="D26" s="1081" t="s">
        <v>1480</v>
      </c>
      <c r="E26" s="1090" t="s">
        <v>1488</v>
      </c>
      <c r="F26" s="1083">
        <v>4295</v>
      </c>
      <c r="G26" s="1084">
        <f t="shared" ref="G26:G28" si="9">ROUND(F26*$G$10,0)</f>
        <v>859</v>
      </c>
      <c r="H26" s="1085">
        <f t="shared" ref="H26:H31" si="10">((F26*100/$F$22)*$H$22)/100</f>
        <v>3534.8700801859809</v>
      </c>
      <c r="I26" s="1086">
        <f>ROUND(H26*$G$10,0)</f>
        <v>707</v>
      </c>
      <c r="J26" s="1079" t="s">
        <v>1050</v>
      </c>
      <c r="K26" s="1120" t="s">
        <v>1050</v>
      </c>
      <c r="L26" s="1085">
        <f t="shared" ref="L26:L32" si="11">((F26*100/$F$22)*$H$22)/100</f>
        <v>3534.8700801859809</v>
      </c>
      <c r="M26" s="1086">
        <f>ROUND(L26*$G$10,0)</f>
        <v>707</v>
      </c>
      <c r="N26" s="1085">
        <f t="shared" ref="N26:N32" si="12">((F26*100/$F$22)*$H$22)/100</f>
        <v>3534.8700801859809</v>
      </c>
      <c r="O26" s="1086">
        <f t="shared" ref="O26:O28" si="13">ROUND(N26*$G$10,0)</f>
        <v>707</v>
      </c>
      <c r="P26" s="1085">
        <f t="shared" ref="P26:P32" si="14">((F26*100/$F$22)*$H$22)/100</f>
        <v>3534.8700801859809</v>
      </c>
      <c r="Q26" s="1086">
        <f t="shared" ref="Q26:Q28" si="15">ROUND(P26*$G$10,0)</f>
        <v>707</v>
      </c>
    </row>
    <row r="27" spans="2:17" ht="38.25" x14ac:dyDescent="0.25">
      <c r="B27" s="1080" t="s">
        <v>1089</v>
      </c>
      <c r="C27" s="1608"/>
      <c r="D27" s="1081" t="s">
        <v>1527</v>
      </c>
      <c r="E27" s="1090" t="s">
        <v>1488</v>
      </c>
      <c r="F27" s="1083">
        <v>7274</v>
      </c>
      <c r="G27" s="1084">
        <f t="shared" si="9"/>
        <v>1455</v>
      </c>
      <c r="H27" s="1085">
        <f t="shared" si="10"/>
        <v>5986.6460915652679</v>
      </c>
      <c r="I27" s="1086">
        <f t="shared" ref="I27:I28" si="16">ROUND(H27*$G$10,0)</f>
        <v>1197</v>
      </c>
      <c r="J27" s="1079" t="s">
        <v>1050</v>
      </c>
      <c r="K27" s="1120" t="s">
        <v>1050</v>
      </c>
      <c r="L27" s="1085">
        <f t="shared" si="11"/>
        <v>5986.6460915652679</v>
      </c>
      <c r="M27" s="1086">
        <f t="shared" ref="M27:M28" si="17">ROUND(L27*$G$10,0)</f>
        <v>1197</v>
      </c>
      <c r="N27" s="1085">
        <f t="shared" si="12"/>
        <v>5986.6460915652679</v>
      </c>
      <c r="O27" s="1086">
        <f t="shared" si="13"/>
        <v>1197</v>
      </c>
      <c r="P27" s="1085">
        <f t="shared" si="14"/>
        <v>5986.6460915652679</v>
      </c>
      <c r="Q27" s="1086">
        <f t="shared" si="15"/>
        <v>1197</v>
      </c>
    </row>
    <row r="28" spans="2:17" ht="38.25" x14ac:dyDescent="0.25">
      <c r="B28" s="1080" t="s">
        <v>1099</v>
      </c>
      <c r="C28" s="1608"/>
      <c r="D28" s="1081" t="s">
        <v>1489</v>
      </c>
      <c r="E28" s="1090" t="s">
        <v>1488</v>
      </c>
      <c r="F28" s="1083">
        <f>3250+F29+F30</f>
        <v>3645</v>
      </c>
      <c r="G28" s="1084">
        <f t="shared" si="9"/>
        <v>729</v>
      </c>
      <c r="H28" s="1085">
        <f t="shared" si="10"/>
        <v>2999.9072042556231</v>
      </c>
      <c r="I28" s="1086">
        <f t="shared" si="16"/>
        <v>600</v>
      </c>
      <c r="J28" s="1079" t="s">
        <v>1050</v>
      </c>
      <c r="K28" s="1120" t="s">
        <v>1050</v>
      </c>
      <c r="L28" s="1085">
        <f t="shared" si="11"/>
        <v>2999.9072042556231</v>
      </c>
      <c r="M28" s="1086">
        <f t="shared" si="17"/>
        <v>600</v>
      </c>
      <c r="N28" s="1085">
        <f t="shared" si="12"/>
        <v>2999.9072042556231</v>
      </c>
      <c r="O28" s="1086">
        <f t="shared" si="13"/>
        <v>600</v>
      </c>
      <c r="P28" s="1085">
        <f t="shared" si="14"/>
        <v>2999.9072042556231</v>
      </c>
      <c r="Q28" s="1086">
        <f t="shared" si="15"/>
        <v>600</v>
      </c>
    </row>
    <row r="29" spans="2:17" ht="38.25" x14ac:dyDescent="0.25">
      <c r="B29" s="1080" t="s">
        <v>1102</v>
      </c>
      <c r="C29" s="1608"/>
      <c r="D29" s="1052" t="s">
        <v>1482</v>
      </c>
      <c r="E29" s="1090" t="s">
        <v>1488</v>
      </c>
      <c r="F29" s="1053">
        <v>202</v>
      </c>
      <c r="G29" s="1084">
        <f>F29</f>
        <v>202</v>
      </c>
      <c r="H29" s="1085">
        <f t="shared" si="10"/>
        <v>166.2500014429728</v>
      </c>
      <c r="I29" s="1086">
        <f>H29</f>
        <v>166.2500014429728</v>
      </c>
      <c r="J29" s="1079" t="s">
        <v>1050</v>
      </c>
      <c r="K29" s="1120" t="s">
        <v>1050</v>
      </c>
      <c r="L29" s="1085">
        <f t="shared" si="11"/>
        <v>166.2500014429728</v>
      </c>
      <c r="M29" s="1084">
        <f>L29</f>
        <v>166.2500014429728</v>
      </c>
      <c r="N29" s="1085">
        <f t="shared" si="12"/>
        <v>166.2500014429728</v>
      </c>
      <c r="O29" s="1084">
        <f>N29</f>
        <v>166.2500014429728</v>
      </c>
      <c r="P29" s="1085">
        <f t="shared" si="14"/>
        <v>166.2500014429728</v>
      </c>
      <c r="Q29" s="1086">
        <f>P29</f>
        <v>166.2500014429728</v>
      </c>
    </row>
    <row r="30" spans="2:17" ht="25.5" x14ac:dyDescent="0.25">
      <c r="B30" s="1080" t="s">
        <v>1490</v>
      </c>
      <c r="C30" s="1608"/>
      <c r="D30" s="1052" t="s">
        <v>1484</v>
      </c>
      <c r="E30" s="1090" t="s">
        <v>1488</v>
      </c>
      <c r="F30" s="1053">
        <v>193</v>
      </c>
      <c r="G30" s="1084">
        <f>F30</f>
        <v>193</v>
      </c>
      <c r="H30" s="1085">
        <f t="shared" si="10"/>
        <v>158.84282316086015</v>
      </c>
      <c r="I30" s="1086">
        <f>H30</f>
        <v>158.84282316086015</v>
      </c>
      <c r="J30" s="1079" t="s">
        <v>1050</v>
      </c>
      <c r="K30" s="1120" t="s">
        <v>1050</v>
      </c>
      <c r="L30" s="1085">
        <f t="shared" si="11"/>
        <v>158.84282316086015</v>
      </c>
      <c r="M30" s="1084">
        <f>L30</f>
        <v>158.84282316086015</v>
      </c>
      <c r="N30" s="1085">
        <f t="shared" si="12"/>
        <v>158.84282316086015</v>
      </c>
      <c r="O30" s="1084">
        <f>N30</f>
        <v>158.84282316086015</v>
      </c>
      <c r="P30" s="1085">
        <f t="shared" si="14"/>
        <v>158.84282316086015</v>
      </c>
      <c r="Q30" s="1086">
        <f>P30</f>
        <v>158.84282316086015</v>
      </c>
    </row>
    <row r="31" spans="2:17" ht="51" x14ac:dyDescent="0.25">
      <c r="B31" s="1080" t="s">
        <v>1491</v>
      </c>
      <c r="C31" s="1608"/>
      <c r="D31" s="1081" t="s">
        <v>1485</v>
      </c>
      <c r="E31" s="1090" t="s">
        <v>1488</v>
      </c>
      <c r="F31" s="1083">
        <v>18</v>
      </c>
      <c r="G31" s="1084">
        <f>ROUND(F31*$G$10,0)</f>
        <v>4</v>
      </c>
      <c r="H31" s="1085">
        <f t="shared" si="10"/>
        <v>14.814356564225299</v>
      </c>
      <c r="I31" s="1086">
        <f>ROUND(H31*$G$10,0)</f>
        <v>3</v>
      </c>
      <c r="J31" s="1079" t="s">
        <v>1050</v>
      </c>
      <c r="K31" s="1120" t="s">
        <v>1050</v>
      </c>
      <c r="L31" s="1085">
        <f t="shared" si="11"/>
        <v>14.814356564225299</v>
      </c>
      <c r="M31" s="1086">
        <f>ROUND(L31*$G$10,0)</f>
        <v>3</v>
      </c>
      <c r="N31" s="1085">
        <f t="shared" si="12"/>
        <v>14.814356564225299</v>
      </c>
      <c r="O31" s="1086">
        <f>ROUND(N31*$G$10,0)</f>
        <v>3</v>
      </c>
      <c r="P31" s="1085">
        <f t="shared" si="14"/>
        <v>14.814356564225299</v>
      </c>
      <c r="Q31" s="1086">
        <f>ROUND(P31*$G$10,0)</f>
        <v>3</v>
      </c>
    </row>
    <row r="32" spans="2:17" ht="25.5" x14ac:dyDescent="0.25">
      <c r="B32" s="1080" t="s">
        <v>1492</v>
      </c>
      <c r="C32" s="1609"/>
      <c r="D32" s="1081" t="s">
        <v>1487</v>
      </c>
      <c r="E32" s="1090" t="s">
        <v>1488</v>
      </c>
      <c r="F32" s="1083">
        <v>354</v>
      </c>
      <c r="G32" s="1084">
        <f>ROUND(F32*$G$10,0)</f>
        <v>71</v>
      </c>
      <c r="H32" s="1085">
        <f>((F32*100/$F$22)*$H$22)/100</f>
        <v>291.34901242976423</v>
      </c>
      <c r="I32" s="1086">
        <f>ROUND(H32*$G$10,0)</f>
        <v>58</v>
      </c>
      <c r="J32" s="1079" t="s">
        <v>1050</v>
      </c>
      <c r="K32" s="1120" t="s">
        <v>1050</v>
      </c>
      <c r="L32" s="1085">
        <f t="shared" si="11"/>
        <v>291.34901242976423</v>
      </c>
      <c r="M32" s="1086">
        <f>ROUND(L32*$G$10,0)</f>
        <v>58</v>
      </c>
      <c r="N32" s="1085">
        <f t="shared" si="12"/>
        <v>291.34901242976423</v>
      </c>
      <c r="O32" s="1086">
        <f>ROUND(N32*$G$10,0)</f>
        <v>58</v>
      </c>
      <c r="P32" s="1085">
        <f t="shared" si="14"/>
        <v>291.34901242976423</v>
      </c>
      <c r="Q32" s="1086">
        <f>ROUND(P32*$G$10,0)</f>
        <v>58</v>
      </c>
    </row>
    <row r="33" spans="2:19" ht="48" customHeight="1" x14ac:dyDescent="0.25">
      <c r="B33" s="1066" t="s">
        <v>1281</v>
      </c>
      <c r="C33" s="1611" t="s">
        <v>1506</v>
      </c>
      <c r="D33" s="1612"/>
      <c r="E33" s="1074" t="s">
        <v>1094</v>
      </c>
      <c r="F33" s="1088">
        <v>3147</v>
      </c>
      <c r="G33" s="1091">
        <f>ROUND(F33*$G$10,0)</f>
        <v>629</v>
      </c>
      <c r="H33" s="1089">
        <f>F33+F15-H15</f>
        <v>5659.2338094901042</v>
      </c>
      <c r="I33" s="1110">
        <f t="shared" ref="I33:I34" si="18">ROUND(H33*$G$10,0)</f>
        <v>1132</v>
      </c>
      <c r="J33" s="1079">
        <f>F33+J34-H15</f>
        <v>7331.2338094901042</v>
      </c>
      <c r="K33" s="1120">
        <f>J33+J34-H15</f>
        <v>11515.46761898021</v>
      </c>
      <c r="L33" s="1089">
        <f>K33+L34-L15</f>
        <v>15699.701428470316</v>
      </c>
      <c r="M33" s="1112">
        <f>ROUND(L33*$G$10,0)-1</f>
        <v>3139</v>
      </c>
      <c r="N33" s="1089">
        <f>L33+N34-N15</f>
        <v>19883.935237960424</v>
      </c>
      <c r="O33" s="1112">
        <f>ROUND(N33*$G$10,0)-2</f>
        <v>3975</v>
      </c>
      <c r="P33" s="1089">
        <f>N33+P34-P15</f>
        <v>24068.16904745053</v>
      </c>
      <c r="Q33" s="1112">
        <f>ROUND(P33*$G$10,0)-3</f>
        <v>4811</v>
      </c>
    </row>
    <row r="34" spans="2:19" ht="39" customHeight="1" x14ac:dyDescent="0.25">
      <c r="B34" s="1066" t="s">
        <v>1493</v>
      </c>
      <c r="C34" s="1613" t="s">
        <v>1494</v>
      </c>
      <c r="D34" s="1614"/>
      <c r="E34" s="1074" t="s">
        <v>1094</v>
      </c>
      <c r="F34" s="1093">
        <v>15867</v>
      </c>
      <c r="G34" s="1091">
        <f>ROUND(F34*$G$10,0)</f>
        <v>3173</v>
      </c>
      <c r="H34" s="1094">
        <v>15867</v>
      </c>
      <c r="I34" s="1110">
        <f t="shared" si="18"/>
        <v>3173</v>
      </c>
      <c r="J34" s="1095">
        <f>H34</f>
        <v>15867</v>
      </c>
      <c r="K34" s="1121">
        <f>J34</f>
        <v>15867</v>
      </c>
      <c r="L34" s="1094">
        <f>J34</f>
        <v>15867</v>
      </c>
      <c r="M34" s="1092">
        <f>ROUND(L34*$G$10,0)</f>
        <v>3173</v>
      </c>
      <c r="N34" s="1094">
        <f>L34</f>
        <v>15867</v>
      </c>
      <c r="O34" s="1092">
        <f>ROUND(N34*$G$10,0)</f>
        <v>3173</v>
      </c>
      <c r="P34" s="1094">
        <f>N34</f>
        <v>15867</v>
      </c>
      <c r="Q34" s="1092">
        <f>ROUND(P34*$G$10,0)</f>
        <v>3173</v>
      </c>
    </row>
    <row r="35" spans="2:19" ht="57.75" customHeight="1" x14ac:dyDescent="0.25">
      <c r="B35" s="1066" t="s">
        <v>1495</v>
      </c>
      <c r="C35" s="1613" t="s">
        <v>1496</v>
      </c>
      <c r="D35" s="1614"/>
      <c r="E35" s="1074" t="s">
        <v>6</v>
      </c>
      <c r="F35" s="1096">
        <v>5495599</v>
      </c>
      <c r="G35" s="1097">
        <f>G36*G15</f>
        <v>1099506.9503346249</v>
      </c>
      <c r="H35" s="1098">
        <v>4522986.84</v>
      </c>
      <c r="I35" s="1099">
        <f>I36*I15</f>
        <v>904770.33201831637</v>
      </c>
      <c r="J35" s="1100">
        <f>H35</f>
        <v>4522986.84</v>
      </c>
      <c r="K35" s="1122">
        <f>J35</f>
        <v>4522986.84</v>
      </c>
      <c r="L35" s="1098">
        <v>4522986.84</v>
      </c>
      <c r="M35" s="1099">
        <f>M36*M15</f>
        <v>904770.33201831637</v>
      </c>
      <c r="N35" s="1098">
        <v>4522986.84</v>
      </c>
      <c r="O35" s="1099">
        <f>O36*O15</f>
        <v>904770.33201831637</v>
      </c>
      <c r="P35" s="1098">
        <v>4522986.84</v>
      </c>
      <c r="Q35" s="1099">
        <f>Q36*Q15</f>
        <v>904770.33201831637</v>
      </c>
      <c r="R35" s="199"/>
      <c r="S35" s="199"/>
    </row>
    <row r="36" spans="2:19" ht="38.25" customHeight="1" thickBot="1" x14ac:dyDescent="0.3">
      <c r="B36" s="1107" t="s">
        <v>1497</v>
      </c>
      <c r="C36" s="1615" t="s">
        <v>1498</v>
      </c>
      <c r="D36" s="1616"/>
      <c r="E36" s="1101" t="s">
        <v>6</v>
      </c>
      <c r="F36" s="1102">
        <f>F35/F15</f>
        <v>387.15033462486792</v>
      </c>
      <c r="G36" s="1103">
        <f>F36</f>
        <v>387.15033462486792</v>
      </c>
      <c r="H36" s="1104">
        <f>F36</f>
        <v>387.15033462486792</v>
      </c>
      <c r="I36" s="1105">
        <f>H36</f>
        <v>387.15033462486792</v>
      </c>
      <c r="J36" s="1106">
        <f>H36</f>
        <v>387.15033462486792</v>
      </c>
      <c r="K36" s="1123">
        <f>I36</f>
        <v>387.15033462486792</v>
      </c>
      <c r="L36" s="1104">
        <f>I36</f>
        <v>387.15033462486792</v>
      </c>
      <c r="M36" s="1105">
        <f>L36</f>
        <v>387.15033462486792</v>
      </c>
      <c r="N36" s="1104">
        <f>L36</f>
        <v>387.15033462486792</v>
      </c>
      <c r="O36" s="1105">
        <f>N36</f>
        <v>387.15033462486792</v>
      </c>
      <c r="P36" s="1104">
        <f>N36</f>
        <v>387.15033462486792</v>
      </c>
      <c r="Q36" s="1105">
        <f>P36</f>
        <v>387.15033462486792</v>
      </c>
    </row>
    <row r="37" spans="2:19" ht="15" customHeight="1" x14ac:dyDescent="0.25">
      <c r="B37" s="1129" t="s">
        <v>978</v>
      </c>
      <c r="C37" s="1630" t="s">
        <v>1516</v>
      </c>
      <c r="D37" s="1630"/>
      <c r="E37" s="1630"/>
      <c r="F37" s="1630"/>
      <c r="G37" s="1630"/>
      <c r="H37" s="1630"/>
      <c r="I37" s="1630"/>
      <c r="J37" s="1630"/>
      <c r="K37" s="1630"/>
      <c r="L37" s="1630"/>
      <c r="M37" s="1630"/>
      <c r="N37" s="1630"/>
      <c r="O37" s="1630"/>
      <c r="P37" s="1630"/>
      <c r="Q37" s="1630"/>
    </row>
    <row r="38" spans="2:19" ht="32.25" customHeight="1" x14ac:dyDescent="0.25">
      <c r="B38" s="1129" t="s">
        <v>1517</v>
      </c>
      <c r="C38" s="1617" t="s">
        <v>1523</v>
      </c>
      <c r="D38" s="1617"/>
      <c r="E38" s="1617"/>
      <c r="F38" s="1617"/>
      <c r="G38" s="1617"/>
      <c r="H38" s="1617"/>
      <c r="I38" s="1617"/>
      <c r="J38" s="1617"/>
      <c r="K38" s="1617"/>
      <c r="L38" s="1617"/>
      <c r="M38" s="1617"/>
      <c r="N38" s="1617"/>
      <c r="O38" s="1617"/>
      <c r="P38" s="1617"/>
      <c r="Q38" s="1617"/>
    </row>
    <row r="39" spans="2:19" ht="15" customHeight="1" x14ac:dyDescent="0.25">
      <c r="B39" s="1129" t="s">
        <v>1520</v>
      </c>
      <c r="C39" s="1617" t="s">
        <v>1518</v>
      </c>
      <c r="D39" s="1617"/>
      <c r="E39" s="1617"/>
      <c r="F39" s="1617"/>
      <c r="G39" s="1617"/>
      <c r="H39" s="1617"/>
      <c r="I39" s="1617"/>
      <c r="J39" s="1617"/>
      <c r="K39" s="1116"/>
      <c r="L39" s="1130"/>
      <c r="M39" s="1130"/>
      <c r="N39" s="1130"/>
      <c r="O39" s="1130"/>
      <c r="P39" s="1130"/>
      <c r="Q39" s="1130"/>
    </row>
    <row r="40" spans="2:19" x14ac:dyDescent="0.25">
      <c r="B40" s="1054"/>
      <c r="C40" s="1116"/>
      <c r="D40" s="1116"/>
      <c r="E40" s="1116"/>
      <c r="F40" s="1116"/>
      <c r="G40" s="1116"/>
      <c r="H40" s="1116"/>
      <c r="I40" s="1116"/>
      <c r="J40" s="1116"/>
      <c r="K40" s="1116"/>
      <c r="L40" s="454"/>
      <c r="M40" s="454"/>
      <c r="N40" s="454"/>
      <c r="O40" s="454"/>
      <c r="P40" s="454"/>
      <c r="Q40" s="454"/>
    </row>
    <row r="41" spans="2:19" x14ac:dyDescent="0.25">
      <c r="B41" s="1054"/>
      <c r="C41" s="1055"/>
      <c r="D41" s="1618" t="s">
        <v>1499</v>
      </c>
      <c r="E41" s="1619"/>
      <c r="F41" s="1619"/>
      <c r="G41" s="1619"/>
      <c r="H41" s="1619"/>
      <c r="I41" s="1619"/>
      <c r="J41" s="1619"/>
      <c r="K41" s="1619"/>
      <c r="L41" s="1620"/>
      <c r="M41" s="1056" t="s">
        <v>1500</v>
      </c>
      <c r="N41" s="1056" t="s">
        <v>1510</v>
      </c>
      <c r="O41" s="1056" t="s">
        <v>1380</v>
      </c>
    </row>
    <row r="42" spans="2:19" x14ac:dyDescent="0.25">
      <c r="B42" s="1057"/>
      <c r="C42" s="1058"/>
      <c r="D42" s="1621" t="s">
        <v>1501</v>
      </c>
      <c r="E42" s="1622"/>
      <c r="F42" s="1622"/>
      <c r="G42" s="1622"/>
      <c r="H42" s="1622"/>
      <c r="I42" s="1622"/>
      <c r="J42" s="1622"/>
      <c r="K42" s="1622"/>
      <c r="L42" s="1623"/>
      <c r="M42" s="1056">
        <f>K33*0.2+M34</f>
        <v>5476.0935237960421</v>
      </c>
      <c r="N42" s="1056">
        <f>M33+O34</f>
        <v>6312</v>
      </c>
      <c r="O42" s="1056">
        <f>O33+Q34</f>
        <v>7148</v>
      </c>
    </row>
    <row r="43" spans="2:19" x14ac:dyDescent="0.25">
      <c r="B43" s="1054"/>
      <c r="C43" s="1055"/>
      <c r="D43" s="1624" t="s">
        <v>1525</v>
      </c>
      <c r="E43" s="1625"/>
      <c r="F43" s="1625"/>
      <c r="G43" s="1625"/>
      <c r="H43" s="1625"/>
      <c r="I43" s="1625"/>
      <c r="J43" s="1625"/>
      <c r="K43" s="1625"/>
      <c r="L43" s="1626"/>
      <c r="M43" s="1059">
        <f>M15</f>
        <v>2337</v>
      </c>
      <c r="N43" s="1059">
        <f>O15</f>
        <v>2337</v>
      </c>
      <c r="O43" s="1059">
        <f>Q15</f>
        <v>2337</v>
      </c>
    </row>
    <row r="44" spans="2:19" x14ac:dyDescent="0.25">
      <c r="B44" s="1054"/>
      <c r="C44" s="1055"/>
      <c r="D44" s="1627" t="s">
        <v>1502</v>
      </c>
      <c r="E44" s="1628"/>
      <c r="F44" s="1628"/>
      <c r="G44" s="1628"/>
      <c r="H44" s="1628"/>
      <c r="I44" s="1628"/>
      <c r="J44" s="1628"/>
      <c r="K44" s="1628"/>
      <c r="L44" s="1629"/>
      <c r="M44" s="1111">
        <f>M42-M43</f>
        <v>3139.0935237960421</v>
      </c>
      <c r="N44" s="1111">
        <f>N42-N43</f>
        <v>3975</v>
      </c>
      <c r="O44" s="1111">
        <f>O42-O43</f>
        <v>4811</v>
      </c>
    </row>
    <row r="45" spans="2:19" ht="27" customHeight="1" x14ac:dyDescent="0.25">
      <c r="B45" s="1057"/>
      <c r="C45" s="1060"/>
      <c r="D45" s="1610" t="s">
        <v>1508</v>
      </c>
      <c r="E45" s="1610"/>
      <c r="F45" s="1610"/>
      <c r="G45" s="1610"/>
      <c r="H45" s="1610"/>
      <c r="I45" s="1610"/>
      <c r="J45" s="1610"/>
      <c r="K45" s="1610"/>
      <c r="L45" s="1610"/>
      <c r="M45" s="148">
        <f>M33*M36</f>
        <v>1215264.9003874604</v>
      </c>
      <c r="N45" s="148">
        <f>O33*O36</f>
        <v>1538922.58013385</v>
      </c>
      <c r="O45" s="148">
        <f>Q33*Q36</f>
        <v>1862580.2598802396</v>
      </c>
    </row>
  </sheetData>
  <mergeCells count="30">
    <mergeCell ref="C15:C23"/>
    <mergeCell ref="C24:C32"/>
    <mergeCell ref="D45:L45"/>
    <mergeCell ref="C33:D33"/>
    <mergeCell ref="C34:D34"/>
    <mergeCell ref="C35:D35"/>
    <mergeCell ref="C36:D36"/>
    <mergeCell ref="C39:J39"/>
    <mergeCell ref="D41:L41"/>
    <mergeCell ref="D42:L42"/>
    <mergeCell ref="D43:L43"/>
    <mergeCell ref="D44:L44"/>
    <mergeCell ref="C37:Q37"/>
    <mergeCell ref="C38:Q38"/>
    <mergeCell ref="P1:U1"/>
    <mergeCell ref="L2:U3"/>
    <mergeCell ref="B8:Q8"/>
    <mergeCell ref="B11:B13"/>
    <mergeCell ref="C11:C13"/>
    <mergeCell ref="D11:D13"/>
    <mergeCell ref="E11:E13"/>
    <mergeCell ref="F11:G12"/>
    <mergeCell ref="H11:I12"/>
    <mergeCell ref="K11:K12"/>
    <mergeCell ref="C6:K6"/>
    <mergeCell ref="B10:F10"/>
    <mergeCell ref="J11:J12"/>
    <mergeCell ref="L11:M12"/>
    <mergeCell ref="N11:O12"/>
    <mergeCell ref="P11:Q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15"/>
  <sheetViews>
    <sheetView zoomScale="90" zoomScaleNormal="90" workbookViewId="0">
      <selection activeCell="C20" sqref="C20"/>
    </sheetView>
  </sheetViews>
  <sheetFormatPr defaultColWidth="12.5703125" defaultRowHeight="15.75" x14ac:dyDescent="0.25"/>
  <cols>
    <col min="1" max="1" width="4.5703125" style="462" customWidth="1"/>
    <col min="2" max="2" width="11.85546875" style="468" customWidth="1"/>
    <col min="3" max="3" width="74.42578125" style="469" customWidth="1"/>
    <col min="4" max="4" width="16.140625" style="470" customWidth="1"/>
    <col min="5" max="5" width="16" style="470" customWidth="1"/>
    <col min="6" max="6" width="15.7109375" style="470" customWidth="1"/>
    <col min="7" max="7" width="13.5703125" style="462" customWidth="1"/>
    <col min="8" max="8" width="18.7109375" style="462" customWidth="1"/>
    <col min="9" max="9" width="19.85546875" style="462" customWidth="1"/>
    <col min="10" max="10" width="19.140625" style="462" customWidth="1"/>
    <col min="11" max="16384" width="12.5703125" style="462"/>
  </cols>
  <sheetData>
    <row r="1" spans="1:19" s="941" customFormat="1" x14ac:dyDescent="0.25">
      <c r="B1" s="468"/>
      <c r="C1" s="469"/>
      <c r="D1" s="470"/>
      <c r="E1" s="470"/>
      <c r="F1" s="470"/>
      <c r="G1" s="100"/>
      <c r="H1" s="901"/>
      <c r="I1" s="901"/>
      <c r="J1" s="1137" t="s">
        <v>1432</v>
      </c>
      <c r="K1" s="1137"/>
      <c r="L1" s="1137"/>
    </row>
    <row r="2" spans="1:19" ht="37.5" customHeight="1" x14ac:dyDescent="0.25">
      <c r="G2" s="1161" t="s">
        <v>1342</v>
      </c>
      <c r="H2" s="1161"/>
      <c r="I2" s="1161"/>
      <c r="J2" s="1161"/>
      <c r="K2" s="1161"/>
      <c r="L2" s="1161"/>
    </row>
    <row r="3" spans="1:19" s="1" customFormat="1" ht="18.75" x14ac:dyDescent="0.25">
      <c r="A3" s="462"/>
      <c r="B3" s="1277" t="s">
        <v>1204</v>
      </c>
      <c r="C3" s="1277"/>
      <c r="D3" s="1277"/>
      <c r="E3" s="462"/>
    </row>
    <row r="4" spans="1:19" s="464" customFormat="1" ht="21.75" customHeight="1" x14ac:dyDescent="0.3">
      <c r="A4" s="463"/>
      <c r="F4" s="925">
        <v>2022</v>
      </c>
      <c r="G4" s="925">
        <v>2023</v>
      </c>
      <c r="H4" s="925">
        <v>2024</v>
      </c>
    </row>
    <row r="5" spans="1:19" s="4" customFormat="1" ht="18.75" x14ac:dyDescent="0.3">
      <c r="A5" s="462"/>
      <c r="B5" s="1280" t="s">
        <v>1355</v>
      </c>
      <c r="C5" s="1280"/>
      <c r="D5" s="1280"/>
      <c r="E5" s="1280"/>
      <c r="F5" s="926">
        <f>ROUND(H11,0)</f>
        <v>424800</v>
      </c>
      <c r="G5" s="926">
        <f>ROUND(J11,0)</f>
        <v>781200</v>
      </c>
      <c r="H5" s="926">
        <f>ROUND(L11,0)</f>
        <v>1137600</v>
      </c>
      <c r="I5" s="927" t="s">
        <v>6</v>
      </c>
      <c r="J5" s="462"/>
      <c r="K5" s="462"/>
      <c r="L5" s="462"/>
      <c r="M5" s="462"/>
      <c r="N5" s="462"/>
      <c r="O5" s="462"/>
      <c r="P5" s="462"/>
      <c r="Q5" s="462"/>
      <c r="R5" s="462"/>
      <c r="S5" s="462"/>
    </row>
    <row r="6" spans="1:19" s="4" customFormat="1" x14ac:dyDescent="0.25">
      <c r="A6" s="462"/>
      <c r="B6" s="462"/>
      <c r="C6" s="462"/>
      <c r="D6" s="462"/>
      <c r="E6" s="462"/>
      <c r="F6" s="462"/>
      <c r="G6" s="462"/>
      <c r="H6" s="462"/>
      <c r="I6" s="462"/>
      <c r="J6" s="462"/>
      <c r="K6" s="462"/>
      <c r="L6" s="462"/>
      <c r="M6" s="462"/>
      <c r="N6" s="462"/>
      <c r="O6" s="462"/>
      <c r="P6" s="462"/>
      <c r="Q6" s="462"/>
      <c r="R6" s="462"/>
      <c r="S6" s="462"/>
    </row>
    <row r="7" spans="1:19" x14ac:dyDescent="0.25">
      <c r="B7" s="902" t="s">
        <v>1343</v>
      </c>
      <c r="C7" s="155"/>
      <c r="D7" s="155"/>
      <c r="E7" s="155"/>
      <c r="F7" s="155"/>
      <c r="G7" s="155"/>
      <c r="H7" s="155"/>
      <c r="I7" s="155"/>
      <c r="J7" s="155"/>
      <c r="K7" s="155"/>
      <c r="L7" s="155"/>
    </row>
    <row r="8" spans="1:19" ht="16.5" thickBot="1" x14ac:dyDescent="0.3">
      <c r="B8" s="155"/>
      <c r="C8" s="155"/>
      <c r="D8" s="155"/>
      <c r="E8" s="155"/>
      <c r="F8" s="155"/>
      <c r="G8" s="155"/>
      <c r="H8" s="155"/>
      <c r="I8" s="155"/>
      <c r="J8" s="155"/>
      <c r="K8" s="155"/>
      <c r="L8" s="155"/>
    </row>
    <row r="9" spans="1:19" x14ac:dyDescent="0.25">
      <c r="B9" s="1281" t="s">
        <v>1344</v>
      </c>
      <c r="C9" s="1283" t="s">
        <v>1356</v>
      </c>
      <c r="D9" s="1284"/>
      <c r="E9" s="1285" t="s">
        <v>1345</v>
      </c>
      <c r="F9" s="1287" t="s">
        <v>1346</v>
      </c>
      <c r="G9" s="1289" t="s">
        <v>1347</v>
      </c>
      <c r="H9" s="1278"/>
      <c r="I9" s="1278" t="s">
        <v>1348</v>
      </c>
      <c r="J9" s="1278"/>
      <c r="K9" s="1278" t="s">
        <v>1380</v>
      </c>
      <c r="L9" s="1279"/>
    </row>
    <row r="10" spans="1:19" ht="77.25" thickBot="1" x14ac:dyDescent="0.3">
      <c r="B10" s="1282"/>
      <c r="C10" s="903" t="s">
        <v>1349</v>
      </c>
      <c r="D10" s="904" t="s">
        <v>1357</v>
      </c>
      <c r="E10" s="1286"/>
      <c r="F10" s="1288"/>
      <c r="G10" s="903" t="s">
        <v>1350</v>
      </c>
      <c r="H10" s="904" t="s">
        <v>1351</v>
      </c>
      <c r="I10" s="903" t="s">
        <v>1350</v>
      </c>
      <c r="J10" s="904" t="s">
        <v>1351</v>
      </c>
      <c r="K10" s="903" t="s">
        <v>1350</v>
      </c>
      <c r="L10" s="905" t="s">
        <v>1351</v>
      </c>
    </row>
    <row r="11" spans="1:19" x14ac:dyDescent="0.25">
      <c r="B11" s="906" t="s">
        <v>219</v>
      </c>
      <c r="C11" s="907">
        <f>C12+C13</f>
        <v>60</v>
      </c>
      <c r="D11" s="908">
        <f>SUM(D12:D13)</f>
        <v>558000</v>
      </c>
      <c r="E11" s="909">
        <f>E12+E13</f>
        <v>3300</v>
      </c>
      <c r="F11" s="910">
        <f>F12+F13</f>
        <v>39600</v>
      </c>
      <c r="G11" s="907">
        <f>G12+G13</f>
        <v>52</v>
      </c>
      <c r="H11" s="908">
        <f>SUM(H12:H13)</f>
        <v>424800</v>
      </c>
      <c r="I11" s="909">
        <f>I12+I13</f>
        <v>98</v>
      </c>
      <c r="J11" s="908">
        <f>SUM(J12:J13)</f>
        <v>781200</v>
      </c>
      <c r="K11" s="909">
        <f>K12+K13</f>
        <v>144</v>
      </c>
      <c r="L11" s="911">
        <f>SUM(L12:L13)</f>
        <v>1137600</v>
      </c>
    </row>
    <row r="12" spans="1:19" x14ac:dyDescent="0.25">
      <c r="B12" s="912" t="s">
        <v>1352</v>
      </c>
      <c r="C12" s="913">
        <v>55</v>
      </c>
      <c r="D12" s="914">
        <f>C12*F12</f>
        <v>396000</v>
      </c>
      <c r="E12" s="915">
        <v>600</v>
      </c>
      <c r="F12" s="916">
        <f>E12*12</f>
        <v>7200</v>
      </c>
      <c r="G12" s="913">
        <v>50</v>
      </c>
      <c r="H12" s="914">
        <f>G12*F12</f>
        <v>360000</v>
      </c>
      <c r="I12" s="915">
        <f>G12+45</f>
        <v>95</v>
      </c>
      <c r="J12" s="914">
        <f>I12*F12</f>
        <v>684000</v>
      </c>
      <c r="K12" s="915">
        <f>I12+45</f>
        <v>140</v>
      </c>
      <c r="L12" s="917">
        <f>K12*F12</f>
        <v>1008000</v>
      </c>
    </row>
    <row r="13" spans="1:19" ht="16.5" thickBot="1" x14ac:dyDescent="0.3">
      <c r="B13" s="918" t="s">
        <v>1353</v>
      </c>
      <c r="C13" s="919">
        <v>5</v>
      </c>
      <c r="D13" s="920">
        <f>C13*F13</f>
        <v>162000</v>
      </c>
      <c r="E13" s="921">
        <v>2700</v>
      </c>
      <c r="F13" s="922">
        <f>E13*12</f>
        <v>32400</v>
      </c>
      <c r="G13" s="919">
        <v>2</v>
      </c>
      <c r="H13" s="920">
        <f>G13*F13</f>
        <v>64800</v>
      </c>
      <c r="I13" s="921">
        <f>G13+1</f>
        <v>3</v>
      </c>
      <c r="J13" s="920">
        <f>I13*F13</f>
        <v>97200</v>
      </c>
      <c r="K13" s="921">
        <f>I13+1</f>
        <v>4</v>
      </c>
      <c r="L13" s="923">
        <f>K13*F13</f>
        <v>129600</v>
      </c>
    </row>
    <row r="14" spans="1:19" x14ac:dyDescent="0.25">
      <c r="B14" s="462"/>
      <c r="C14" s="462"/>
      <c r="D14" s="462"/>
      <c r="E14" s="462"/>
      <c r="F14" s="462"/>
    </row>
    <row r="15" spans="1:19" ht="51" x14ac:dyDescent="0.25">
      <c r="B15" s="462"/>
      <c r="C15" s="1018" t="s">
        <v>1354</v>
      </c>
      <c r="D15" s="924"/>
      <c r="G15" s="470"/>
      <c r="K15" s="553"/>
    </row>
  </sheetData>
  <mergeCells count="11">
    <mergeCell ref="G2:L2"/>
    <mergeCell ref="J1:L1"/>
    <mergeCell ref="B3:D3"/>
    <mergeCell ref="I9:J9"/>
    <mergeCell ref="K9:L9"/>
    <mergeCell ref="B5:E5"/>
    <mergeCell ref="B9:B10"/>
    <mergeCell ref="C9:D9"/>
    <mergeCell ref="E9:E10"/>
    <mergeCell ref="F9:F10"/>
    <mergeCell ref="G9:H9"/>
  </mergeCells>
  <pageMargins left="0.23622047244094491" right="0.23622047244094491" top="0.74803149606299213" bottom="0.74803149606299213" header="0.31496062992125984" footer="0.31496062992125984"/>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25"/>
  <sheetViews>
    <sheetView topLeftCell="A10" zoomScale="90" zoomScaleNormal="90" workbookViewId="0">
      <selection activeCell="G32" sqref="G32"/>
    </sheetView>
  </sheetViews>
  <sheetFormatPr defaultRowHeight="15" x14ac:dyDescent="0.25"/>
  <cols>
    <col min="1" max="1" width="3" style="471" customWidth="1"/>
    <col min="2" max="2" width="9.7109375" style="471" customWidth="1"/>
    <col min="3" max="3" width="21.28515625" style="471" customWidth="1"/>
    <col min="4" max="4" width="11" style="471" customWidth="1"/>
    <col min="5" max="5" width="9.140625" style="471"/>
    <col min="6" max="6" width="11.28515625" style="471" customWidth="1"/>
    <col min="7" max="7" width="9.140625" style="471"/>
    <col min="8" max="8" width="15.42578125" style="471" customWidth="1"/>
    <col min="9" max="10" width="16" style="471" customWidth="1"/>
    <col min="11" max="11" width="14.5703125" style="471" customWidth="1"/>
    <col min="12" max="12" width="13.7109375" style="471" customWidth="1"/>
    <col min="13" max="13" width="13.85546875" style="471" customWidth="1"/>
    <col min="14" max="16384" width="9.140625" style="471"/>
  </cols>
  <sheetData>
    <row r="1" spans="1:19" s="947" customFormat="1" ht="15.75" x14ac:dyDescent="0.25">
      <c r="J1" s="100"/>
      <c r="K1" s="901"/>
      <c r="L1" s="901"/>
      <c r="M1" s="1137" t="s">
        <v>1433</v>
      </c>
      <c r="N1" s="1137"/>
      <c r="O1" s="1137"/>
    </row>
    <row r="2" spans="1:19" s="947" customFormat="1" ht="44.25" customHeight="1" x14ac:dyDescent="0.25">
      <c r="J2" s="1161" t="s">
        <v>1342</v>
      </c>
      <c r="K2" s="1161"/>
      <c r="L2" s="1161"/>
      <c r="M2" s="1161"/>
      <c r="N2" s="1161"/>
      <c r="O2" s="1161"/>
    </row>
    <row r="4" spans="1:19" ht="18.75" x14ac:dyDescent="0.3">
      <c r="B4" s="472" t="s">
        <v>1360</v>
      </c>
      <c r="C4" s="210"/>
      <c r="D4" s="210"/>
      <c r="E4" s="210"/>
      <c r="F4" s="210"/>
      <c r="G4" s="210"/>
      <c r="H4" s="210"/>
      <c r="I4" s="210"/>
      <c r="J4" s="210"/>
      <c r="K4" s="210"/>
      <c r="L4" s="210"/>
      <c r="M4" s="210"/>
    </row>
    <row r="5" spans="1:19" s="473" customFormat="1" ht="16.5" thickBot="1" x14ac:dyDescent="0.3">
      <c r="B5" s="474"/>
      <c r="C5" s="475"/>
      <c r="D5" s="475"/>
      <c r="E5" s="475"/>
      <c r="F5" s="475"/>
      <c r="G5" s="475"/>
      <c r="H5" s="475"/>
      <c r="I5" s="462"/>
      <c r="J5" s="462"/>
      <c r="K5" s="462"/>
      <c r="L5" s="475"/>
      <c r="M5" s="475"/>
    </row>
    <row r="6" spans="1:19" s="4" customFormat="1" ht="17.25" thickBot="1" x14ac:dyDescent="0.3">
      <c r="A6" s="462"/>
      <c r="B6" s="465" t="s">
        <v>919</v>
      </c>
      <c r="C6" s="466"/>
      <c r="D6" s="24"/>
      <c r="E6" s="24"/>
      <c r="F6" s="476"/>
      <c r="G6" s="546">
        <f>ROUND(K18,0)</f>
        <v>24945</v>
      </c>
      <c r="H6" s="467" t="s">
        <v>6</v>
      </c>
      <c r="I6" s="462"/>
      <c r="J6" s="462"/>
      <c r="K6" s="462"/>
      <c r="L6" s="462"/>
      <c r="M6" s="462"/>
      <c r="N6" s="462"/>
      <c r="O6" s="462"/>
      <c r="P6" s="462"/>
      <c r="Q6" s="462"/>
      <c r="R6" s="462"/>
      <c r="S6" s="462"/>
    </row>
    <row r="7" spans="1:19" s="477" customFormat="1" ht="12" x14ac:dyDescent="0.2">
      <c r="B7" s="478"/>
      <c r="C7" s="479"/>
      <c r="D7" s="479"/>
      <c r="E7" s="479"/>
      <c r="F7" s="479"/>
      <c r="G7" s="479"/>
      <c r="H7" s="479"/>
      <c r="I7" s="479"/>
      <c r="J7" s="479"/>
      <c r="K7" s="479"/>
      <c r="L7" s="479"/>
      <c r="M7" s="479"/>
    </row>
    <row r="8" spans="1:19" ht="16.5" x14ac:dyDescent="0.25">
      <c r="B8" s="480" t="s">
        <v>921</v>
      </c>
      <c r="C8" s="210"/>
      <c r="D8" s="210"/>
      <c r="E8" s="210"/>
      <c r="F8" s="210"/>
      <c r="G8" s="210"/>
      <c r="H8" s="210"/>
      <c r="I8" s="210"/>
      <c r="J8" s="210"/>
      <c r="K8" s="210"/>
      <c r="L8" s="210"/>
      <c r="M8" s="210"/>
    </row>
    <row r="9" spans="1:19" ht="63.75" x14ac:dyDescent="0.25">
      <c r="B9" s="481" t="s">
        <v>409</v>
      </c>
      <c r="C9" s="481" t="s">
        <v>922</v>
      </c>
      <c r="D9" s="344" t="s">
        <v>923</v>
      </c>
      <c r="E9" s="344" t="s">
        <v>924</v>
      </c>
      <c r="F9" s="344" t="s">
        <v>925</v>
      </c>
      <c r="G9" s="344" t="s">
        <v>926</v>
      </c>
      <c r="H9" s="344" t="s">
        <v>927</v>
      </c>
      <c r="I9" s="344" t="s">
        <v>928</v>
      </c>
      <c r="J9" s="931"/>
      <c r="K9" s="210"/>
      <c r="L9" s="210"/>
      <c r="M9" s="210"/>
    </row>
    <row r="10" spans="1:19" ht="22.5" x14ac:dyDescent="0.25">
      <c r="B10" s="123" t="s">
        <v>929</v>
      </c>
      <c r="C10" s="482" t="s">
        <v>930</v>
      </c>
      <c r="D10" s="483">
        <v>3416</v>
      </c>
      <c r="E10" s="123" t="s">
        <v>931</v>
      </c>
      <c r="F10" s="484">
        <v>1708</v>
      </c>
      <c r="G10" s="123" t="s">
        <v>931</v>
      </c>
      <c r="H10" s="123" t="s">
        <v>931</v>
      </c>
      <c r="I10" s="123" t="s">
        <v>931</v>
      </c>
      <c r="J10" s="128"/>
      <c r="K10" s="210"/>
      <c r="L10" s="210"/>
      <c r="M10" s="210"/>
    </row>
    <row r="11" spans="1:19" x14ac:dyDescent="0.25">
      <c r="D11" s="210"/>
      <c r="E11" s="210"/>
      <c r="F11" s="210"/>
      <c r="G11" s="210"/>
      <c r="H11" s="210"/>
      <c r="I11" s="210"/>
      <c r="J11" s="210"/>
      <c r="K11" s="210"/>
      <c r="L11" s="210"/>
      <c r="M11" s="210"/>
    </row>
    <row r="13" spans="1:19" ht="15.75" x14ac:dyDescent="0.25">
      <c r="A13"/>
      <c r="B13" s="103" t="s">
        <v>1368</v>
      </c>
      <c r="C13"/>
      <c r="D13" s="210"/>
      <c r="E13" s="210"/>
      <c r="F13" s="210"/>
      <c r="G13" s="210"/>
      <c r="H13" s="210"/>
      <c r="I13" s="210"/>
      <c r="J13" s="210"/>
      <c r="K13" s="210"/>
      <c r="L13"/>
    </row>
    <row r="14" spans="1:19" ht="15.75" x14ac:dyDescent="0.25">
      <c r="A14"/>
      <c r="B14" s="103"/>
      <c r="C14"/>
      <c r="D14" s="210"/>
      <c r="E14" s="210"/>
      <c r="F14" s="210"/>
      <c r="G14" s="210"/>
      <c r="H14" s="210"/>
      <c r="I14" s="210"/>
      <c r="J14" s="210"/>
      <c r="K14" s="210"/>
      <c r="L14"/>
    </row>
    <row r="15" spans="1:19" ht="18.75" x14ac:dyDescent="0.3">
      <c r="A15"/>
      <c r="B15" s="489" t="s">
        <v>932</v>
      </c>
      <c r="C15" s="210"/>
      <c r="D15" s="485"/>
      <c r="E15" s="485"/>
      <c r="F15" s="485"/>
      <c r="G15" s="485"/>
      <c r="H15" s="485"/>
      <c r="I15" s="485"/>
      <c r="J15" s="485"/>
      <c r="K15" s="490"/>
      <c r="L15"/>
    </row>
    <row r="16" spans="1:19" ht="27" customHeight="1" x14ac:dyDescent="0.25">
      <c r="A16"/>
      <c r="B16" s="1293" t="s">
        <v>136</v>
      </c>
      <c r="C16" s="1293"/>
      <c r="D16" s="1294" t="s">
        <v>139</v>
      </c>
      <c r="E16" s="1294"/>
      <c r="F16" s="1295" t="s">
        <v>140</v>
      </c>
      <c r="G16" s="1295"/>
      <c r="H16" s="1292" t="s">
        <v>141</v>
      </c>
      <c r="I16" s="1292" t="s">
        <v>142</v>
      </c>
      <c r="J16" s="1292" t="s">
        <v>143</v>
      </c>
      <c r="K16" s="1291" t="s">
        <v>144</v>
      </c>
      <c r="L16"/>
    </row>
    <row r="17" spans="1:12" ht="30" x14ac:dyDescent="0.25">
      <c r="A17"/>
      <c r="B17" s="1293"/>
      <c r="C17" s="1293"/>
      <c r="D17" s="121" t="s">
        <v>146</v>
      </c>
      <c r="E17" s="122" t="s">
        <v>147</v>
      </c>
      <c r="F17" s="121" t="s">
        <v>146</v>
      </c>
      <c r="G17" s="122" t="s">
        <v>148</v>
      </c>
      <c r="H17" s="1292"/>
      <c r="I17" s="1292"/>
      <c r="J17" s="1292"/>
      <c r="K17" s="1291"/>
      <c r="L17"/>
    </row>
    <row r="18" spans="1:12" ht="22.5" x14ac:dyDescent="0.25">
      <c r="A18"/>
      <c r="B18" s="486">
        <v>1</v>
      </c>
      <c r="C18" s="482" t="s">
        <v>933</v>
      </c>
      <c r="D18" s="486"/>
      <c r="E18" s="487"/>
      <c r="F18" s="486">
        <v>1</v>
      </c>
      <c r="G18" s="487">
        <v>1.5</v>
      </c>
      <c r="H18" s="121">
        <f>G18*891*12</f>
        <v>16038</v>
      </c>
      <c r="I18" s="121">
        <f>H18*0.2359</f>
        <v>3783.3642</v>
      </c>
      <c r="J18" s="121">
        <f>D10+F10</f>
        <v>5124</v>
      </c>
      <c r="K18" s="488">
        <f>H18+I18+J18</f>
        <v>24945.3642</v>
      </c>
      <c r="L18"/>
    </row>
    <row r="20" spans="1:12" x14ac:dyDescent="0.25">
      <c r="B20" s="1290" t="s">
        <v>1406</v>
      </c>
      <c r="C20" s="1290"/>
      <c r="D20" s="1290"/>
      <c r="E20" s="1290"/>
      <c r="F20" s="1290"/>
      <c r="G20" s="1290"/>
      <c r="H20" s="1290"/>
      <c r="I20" s="1290"/>
      <c r="J20" s="1290"/>
      <c r="K20" s="1290"/>
    </row>
    <row r="21" spans="1:12" x14ac:dyDescent="0.25">
      <c r="B21" s="1290"/>
      <c r="C21" s="1290"/>
      <c r="D21" s="1290"/>
      <c r="E21" s="1290"/>
      <c r="F21" s="1290"/>
      <c r="G21" s="1290"/>
      <c r="H21" s="1290"/>
      <c r="I21" s="1290"/>
      <c r="J21" s="1290"/>
      <c r="K21" s="1290"/>
    </row>
    <row r="22" spans="1:12" x14ac:dyDescent="0.25">
      <c r="B22" s="1290"/>
      <c r="C22" s="1290"/>
      <c r="D22" s="1290"/>
      <c r="E22" s="1290"/>
      <c r="F22" s="1290"/>
      <c r="G22" s="1290"/>
      <c r="H22" s="1290"/>
      <c r="I22" s="1290"/>
      <c r="J22" s="1290"/>
      <c r="K22" s="1290"/>
    </row>
    <row r="23" spans="1:12" ht="14.25" customHeight="1" x14ac:dyDescent="0.25">
      <c r="B23" s="1290"/>
      <c r="C23" s="1290"/>
      <c r="D23" s="1290"/>
      <c r="E23" s="1290"/>
      <c r="F23" s="1290"/>
      <c r="G23" s="1290"/>
      <c r="H23" s="1290"/>
      <c r="I23" s="1290"/>
      <c r="J23" s="1290"/>
      <c r="K23" s="1290"/>
    </row>
    <row r="24" spans="1:12" hidden="1" x14ac:dyDescent="0.25">
      <c r="B24" s="1290"/>
      <c r="C24" s="1290"/>
      <c r="D24" s="1290"/>
      <c r="E24" s="1290"/>
      <c r="F24" s="1290"/>
      <c r="G24" s="1290"/>
      <c r="H24" s="1290"/>
      <c r="I24" s="1290"/>
      <c r="J24" s="1290"/>
      <c r="K24" s="1290"/>
    </row>
    <row r="25" spans="1:12" hidden="1" x14ac:dyDescent="0.25">
      <c r="B25" s="1290"/>
      <c r="C25" s="1290"/>
      <c r="D25" s="1290"/>
      <c r="E25" s="1290"/>
      <c r="F25" s="1290"/>
      <c r="G25" s="1290"/>
      <c r="H25" s="1290"/>
      <c r="I25" s="1290"/>
      <c r="J25" s="1290"/>
      <c r="K25" s="1290"/>
    </row>
  </sheetData>
  <mergeCells count="11">
    <mergeCell ref="M1:O1"/>
    <mergeCell ref="J2:O2"/>
    <mergeCell ref="B20:K25"/>
    <mergeCell ref="K16:K17"/>
    <mergeCell ref="J16:J17"/>
    <mergeCell ref="B16:B17"/>
    <mergeCell ref="C16:C17"/>
    <mergeCell ref="D16:E16"/>
    <mergeCell ref="F16:G16"/>
    <mergeCell ref="H16:H17"/>
    <mergeCell ref="I16:I17"/>
  </mergeCells>
  <pageMargins left="0.70866141732283472" right="0.70866141732283472" top="0.74803149606299213" bottom="0.74803149606299213" header="0.31496062992125984" footer="0.31496062992125984"/>
  <pageSetup paperSize="9"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D22"/>
  <sheetViews>
    <sheetView topLeftCell="A10" zoomScale="90" zoomScaleNormal="90" workbookViewId="0">
      <selection activeCell="M16" sqref="M16"/>
    </sheetView>
  </sheetViews>
  <sheetFormatPr defaultRowHeight="15" x14ac:dyDescent="0.25"/>
  <cols>
    <col min="1" max="1" width="3.140625" style="471" customWidth="1"/>
    <col min="2" max="2" width="12.42578125" style="471" customWidth="1"/>
    <col min="3" max="3" width="19.140625" style="471" customWidth="1"/>
    <col min="4" max="9" width="11.28515625" style="471" customWidth="1"/>
    <col min="10" max="10" width="12.140625" style="471" customWidth="1"/>
    <col min="11" max="13" width="13.85546875" style="471" customWidth="1"/>
    <col min="14" max="14" width="14.85546875" style="471" customWidth="1"/>
    <col min="15" max="18" width="13.85546875" style="471" customWidth="1"/>
    <col min="19" max="19" width="13.85546875" style="947" customWidth="1"/>
    <col min="20" max="26" width="13.85546875" style="471" customWidth="1"/>
    <col min="27" max="27" width="61.28515625" style="471" customWidth="1"/>
    <col min="28" max="16384" width="9.140625" style="471"/>
  </cols>
  <sheetData>
    <row r="1" spans="1:30" s="947" customFormat="1" ht="15.75" x14ac:dyDescent="0.25">
      <c r="T1" s="100"/>
      <c r="U1" s="901"/>
      <c r="V1" s="901"/>
      <c r="W1" s="1137" t="s">
        <v>1434</v>
      </c>
      <c r="X1" s="1137"/>
      <c r="Y1" s="1137"/>
    </row>
    <row r="2" spans="1:30" s="947" customFormat="1" ht="38.25" customHeight="1" x14ac:dyDescent="0.25">
      <c r="T2" s="1161" t="s">
        <v>1342</v>
      </c>
      <c r="U2" s="1161"/>
      <c r="V2" s="1161"/>
      <c r="W2" s="1161"/>
      <c r="X2" s="1161"/>
      <c r="Y2" s="1161"/>
    </row>
    <row r="3" spans="1:30" x14ac:dyDescent="0.25">
      <c r="A3" s="935"/>
      <c r="B3" s="935"/>
      <c r="C3" s="935"/>
      <c r="D3" s="935"/>
      <c r="E3" s="935"/>
      <c r="F3" s="935"/>
      <c r="G3" s="935"/>
      <c r="H3" s="935"/>
      <c r="I3" s="935"/>
      <c r="J3" s="935"/>
      <c r="K3" s="935"/>
      <c r="L3" s="935"/>
      <c r="M3" s="935"/>
      <c r="N3" s="935"/>
      <c r="O3" s="935"/>
      <c r="P3" s="935"/>
      <c r="Q3" s="935"/>
      <c r="R3" s="935"/>
      <c r="T3" s="935"/>
      <c r="U3" s="935"/>
      <c r="V3" s="935"/>
      <c r="W3" s="935"/>
      <c r="X3" s="935"/>
      <c r="Y3" s="935"/>
      <c r="Z3" s="935"/>
      <c r="AA3" s="935"/>
      <c r="AB3" s="935"/>
      <c r="AC3" s="935"/>
      <c r="AD3" s="935"/>
    </row>
    <row r="4" spans="1:30" ht="18.75" x14ac:dyDescent="0.3">
      <c r="A4" s="939"/>
      <c r="B4" s="948" t="s">
        <v>1203</v>
      </c>
      <c r="C4" s="949"/>
      <c r="D4" s="949"/>
      <c r="E4" s="949"/>
      <c r="F4" s="949"/>
      <c r="G4" s="949"/>
      <c r="H4" s="949"/>
      <c r="I4" s="949"/>
      <c r="J4" s="949"/>
      <c r="K4" s="949"/>
      <c r="L4" s="949"/>
      <c r="M4" s="939"/>
      <c r="N4" s="939"/>
      <c r="O4" s="939"/>
      <c r="P4" s="939"/>
      <c r="Q4" s="939"/>
      <c r="R4" s="939"/>
      <c r="T4" s="939"/>
      <c r="U4" s="939"/>
      <c r="V4" s="939"/>
      <c r="W4" s="939"/>
      <c r="X4" s="939"/>
      <c r="Y4" s="939"/>
      <c r="Z4" s="939"/>
      <c r="AA4" s="939"/>
      <c r="AB4" s="939"/>
      <c r="AC4" s="939"/>
      <c r="AD4" s="939"/>
    </row>
    <row r="5" spans="1:30" ht="16.5" thickBot="1" x14ac:dyDescent="0.3">
      <c r="A5" s="950"/>
      <c r="B5" s="951"/>
      <c r="C5" s="952"/>
      <c r="D5" s="952"/>
      <c r="E5" s="952"/>
      <c r="F5" s="952"/>
      <c r="G5" s="764">
        <v>2022</v>
      </c>
      <c r="H5" s="764">
        <v>2023</v>
      </c>
      <c r="I5" s="764">
        <v>2024</v>
      </c>
      <c r="J5" s="941"/>
      <c r="K5" s="952"/>
      <c r="L5" s="952"/>
      <c r="M5" s="950"/>
      <c r="N5" s="950"/>
      <c r="O5" s="950"/>
      <c r="P5" s="950"/>
      <c r="Q5" s="950"/>
      <c r="R5" s="950"/>
      <c r="S5" s="950"/>
      <c r="T5" s="950"/>
      <c r="U5" s="950"/>
      <c r="V5" s="950"/>
      <c r="W5" s="950"/>
      <c r="X5" s="950"/>
      <c r="Y5" s="950"/>
      <c r="Z5" s="950"/>
      <c r="AA5" s="950"/>
      <c r="AB5" s="950"/>
      <c r="AC5" s="950"/>
      <c r="AD5" s="950"/>
    </row>
    <row r="6" spans="1:30" ht="17.25" thickBot="1" x14ac:dyDescent="0.3">
      <c r="A6" s="941"/>
      <c r="B6" s="942" t="s">
        <v>919</v>
      </c>
      <c r="C6" s="943"/>
      <c r="D6" s="953"/>
      <c r="E6" s="953"/>
      <c r="F6" s="954"/>
      <c r="G6" s="944">
        <f>ROUND(V19,0)</f>
        <v>1411</v>
      </c>
      <c r="H6" s="944">
        <f>ROUND(X19,0)</f>
        <v>2117</v>
      </c>
      <c r="I6" s="944">
        <f>ROUND(Z19,0)</f>
        <v>2823</v>
      </c>
      <c r="J6" s="945" t="s">
        <v>6</v>
      </c>
      <c r="K6" s="941"/>
      <c r="L6" s="941"/>
      <c r="M6" s="941"/>
      <c r="N6" s="941"/>
      <c r="O6" s="941"/>
      <c r="P6" s="941"/>
      <c r="Q6" s="941"/>
      <c r="R6" s="941"/>
      <c r="S6" s="941"/>
      <c r="T6" s="946"/>
      <c r="U6" s="946"/>
      <c r="V6" s="946"/>
      <c r="W6" s="946"/>
      <c r="X6" s="946"/>
      <c r="Y6" s="946"/>
      <c r="Z6" s="946"/>
      <c r="AA6" s="946"/>
      <c r="AB6" s="946"/>
      <c r="AC6" s="946"/>
      <c r="AD6" s="946"/>
    </row>
    <row r="7" spans="1:30" x14ac:dyDescent="0.25">
      <c r="A7" s="955"/>
      <c r="B7" s="956"/>
      <c r="C7" s="957"/>
      <c r="D7" s="957"/>
      <c r="E7" s="957"/>
      <c r="F7" s="957"/>
      <c r="G7" s="957"/>
      <c r="H7" s="957"/>
      <c r="I7" s="957"/>
      <c r="J7" s="957"/>
      <c r="K7" s="957"/>
      <c r="L7" s="957"/>
      <c r="M7" s="955"/>
      <c r="N7" s="955"/>
      <c r="O7" s="955"/>
      <c r="P7" s="955"/>
      <c r="Q7" s="955"/>
      <c r="R7" s="955"/>
      <c r="S7" s="955"/>
      <c r="T7" s="955"/>
      <c r="U7" s="955"/>
      <c r="V7" s="955"/>
      <c r="W7" s="955"/>
      <c r="X7" s="955"/>
      <c r="Y7" s="955"/>
      <c r="Z7" s="955"/>
      <c r="AA7" s="955"/>
      <c r="AB7" s="955"/>
      <c r="AC7" s="955"/>
      <c r="AD7" s="955"/>
    </row>
    <row r="8" spans="1:30" x14ac:dyDescent="0.25">
      <c r="A8" s="935"/>
      <c r="B8" s="935"/>
      <c r="C8" s="935"/>
      <c r="D8" s="935"/>
      <c r="E8" s="935"/>
      <c r="F8" s="935"/>
      <c r="G8" s="935"/>
      <c r="H8" s="935"/>
      <c r="I8" s="935"/>
      <c r="J8" s="935"/>
      <c r="K8" s="935"/>
      <c r="L8" s="935"/>
      <c r="M8" s="935"/>
      <c r="N8" s="935"/>
      <c r="O8" s="935"/>
      <c r="P8" s="935"/>
      <c r="Q8" s="935"/>
      <c r="R8" s="935"/>
      <c r="T8" s="935"/>
      <c r="U8" s="935"/>
      <c r="V8" s="935"/>
      <c r="W8" s="935"/>
      <c r="X8" s="935"/>
      <c r="Y8" s="935"/>
      <c r="Z8" s="935"/>
      <c r="AA8" s="935"/>
      <c r="AB8" s="935"/>
      <c r="AC8" s="935"/>
      <c r="AD8" s="935"/>
    </row>
    <row r="9" spans="1:30" ht="75" x14ac:dyDescent="0.25">
      <c r="A9" s="939"/>
      <c r="B9" s="958"/>
      <c r="C9" s="958"/>
      <c r="D9" s="958"/>
      <c r="E9" s="958"/>
      <c r="F9" s="958"/>
      <c r="G9" s="959" t="s">
        <v>64</v>
      </c>
      <c r="H9" s="959" t="s">
        <v>65</v>
      </c>
      <c r="I9" s="959" t="s">
        <v>66</v>
      </c>
      <c r="J9" s="1307" t="s">
        <v>67</v>
      </c>
      <c r="K9" s="960"/>
      <c r="L9" s="958"/>
      <c r="M9" s="1299" t="s">
        <v>68</v>
      </c>
      <c r="N9" s="1299" t="s">
        <v>69</v>
      </c>
      <c r="O9" s="1299" t="s">
        <v>70</v>
      </c>
      <c r="P9" s="958"/>
      <c r="Q9" s="939"/>
      <c r="R9" s="939"/>
      <c r="T9" s="939"/>
      <c r="U9" s="939"/>
      <c r="V9" s="939"/>
      <c r="W9" s="939"/>
      <c r="X9" s="939"/>
      <c r="Y9" s="939"/>
      <c r="Z9" s="939"/>
      <c r="AA9" s="939"/>
      <c r="AB9" s="939"/>
      <c r="AC9" s="939"/>
      <c r="AD9" s="939"/>
    </row>
    <row r="10" spans="1:30" x14ac:dyDescent="0.25">
      <c r="A10" s="939"/>
      <c r="B10" s="958"/>
      <c r="C10" s="958"/>
      <c r="D10" s="958"/>
      <c r="E10" s="958"/>
      <c r="F10" s="961" t="s">
        <v>71</v>
      </c>
      <c r="G10" s="962">
        <v>1485</v>
      </c>
      <c r="H10" s="962">
        <v>891</v>
      </c>
      <c r="I10" s="962">
        <v>594</v>
      </c>
      <c r="J10" s="1308"/>
      <c r="K10" s="958"/>
      <c r="L10" s="958"/>
      <c r="M10" s="1309"/>
      <c r="N10" s="1309"/>
      <c r="O10" s="1309"/>
      <c r="P10" s="958"/>
      <c r="Q10" s="939"/>
      <c r="R10" s="939"/>
      <c r="T10" s="939"/>
      <c r="U10" s="939"/>
      <c r="V10" s="939"/>
      <c r="W10" s="939"/>
      <c r="X10" s="939"/>
      <c r="Y10" s="939"/>
      <c r="Z10" s="939"/>
      <c r="AA10" s="939"/>
      <c r="AB10" s="939"/>
      <c r="AC10" s="939"/>
      <c r="AD10" s="939"/>
    </row>
    <row r="11" spans="1:30" x14ac:dyDescent="0.25">
      <c r="A11" s="939"/>
      <c r="B11" s="958"/>
      <c r="C11" s="958"/>
      <c r="D11" s="958"/>
      <c r="E11" s="958"/>
      <c r="F11" s="961" t="s">
        <v>72</v>
      </c>
      <c r="G11" s="962">
        <v>0.1547</v>
      </c>
      <c r="H11" s="962">
        <v>9.2799999999999994E-2</v>
      </c>
      <c r="I11" s="962">
        <v>6.1899999999999997E-2</v>
      </c>
      <c r="J11" s="962">
        <v>0.2359</v>
      </c>
      <c r="K11" s="958"/>
      <c r="L11" s="961" t="s">
        <v>73</v>
      </c>
      <c r="M11" s="962">
        <v>0.2898</v>
      </c>
      <c r="N11" s="962">
        <v>3.15E-2</v>
      </c>
      <c r="O11" s="962">
        <v>5.0200000000000002E-2</v>
      </c>
      <c r="P11" s="958"/>
      <c r="Q11" s="939"/>
      <c r="R11" s="939"/>
      <c r="T11" s="939"/>
      <c r="U11" s="1310" t="s">
        <v>1412</v>
      </c>
      <c r="V11" s="1310"/>
      <c r="W11" s="1310"/>
      <c r="X11" s="1310"/>
      <c r="Y11" s="1310"/>
      <c r="Z11" s="1310"/>
      <c r="AA11" s="939"/>
      <c r="AB11" s="939"/>
      <c r="AC11" s="939"/>
      <c r="AD11" s="939"/>
    </row>
    <row r="12" spans="1:30" ht="36.75" customHeight="1" x14ac:dyDescent="0.25">
      <c r="A12" s="939"/>
      <c r="B12" s="958"/>
      <c r="C12" s="958"/>
      <c r="D12" s="958"/>
      <c r="E12" s="958"/>
      <c r="F12" s="958"/>
      <c r="G12" s="958"/>
      <c r="H12" s="958"/>
      <c r="I12" s="958"/>
      <c r="J12" s="958"/>
      <c r="K12" s="958"/>
      <c r="L12" s="958"/>
      <c r="M12" s="958"/>
      <c r="N12" s="958"/>
      <c r="O12" s="958"/>
      <c r="P12" s="958"/>
      <c r="Q12" s="1313" t="s">
        <v>1362</v>
      </c>
      <c r="R12" s="1314"/>
      <c r="S12" s="1314"/>
      <c r="T12" s="1315"/>
      <c r="U12" s="1297" t="s">
        <v>1363</v>
      </c>
      <c r="V12" s="1298"/>
      <c r="W12" s="1297" t="s">
        <v>1364</v>
      </c>
      <c r="X12" s="1298"/>
      <c r="Y12" s="1296" t="s">
        <v>1367</v>
      </c>
      <c r="Z12" s="1296"/>
      <c r="AA12" s="939"/>
      <c r="AB12" s="939"/>
      <c r="AC12" s="939"/>
      <c r="AD12" s="939"/>
    </row>
    <row r="13" spans="1:30" x14ac:dyDescent="0.25">
      <c r="A13" s="939"/>
      <c r="B13" s="1299" t="s">
        <v>74</v>
      </c>
      <c r="C13" s="1299" t="s">
        <v>75</v>
      </c>
      <c r="D13" s="1302" t="s">
        <v>935</v>
      </c>
      <c r="E13" s="1303"/>
      <c r="F13" s="1303"/>
      <c r="G13" s="1303"/>
      <c r="H13" s="1303"/>
      <c r="I13" s="1303"/>
      <c r="J13" s="1303"/>
      <c r="K13" s="1303"/>
      <c r="L13" s="1303"/>
      <c r="M13" s="1303"/>
      <c r="N13" s="1303"/>
      <c r="O13" s="1303"/>
      <c r="P13" s="1307" t="s">
        <v>936</v>
      </c>
      <c r="Q13" s="1307" t="s">
        <v>937</v>
      </c>
      <c r="R13" s="1307" t="s">
        <v>938</v>
      </c>
      <c r="S13" s="1299" t="s">
        <v>1371</v>
      </c>
      <c r="T13" s="1307" t="s">
        <v>939</v>
      </c>
      <c r="U13" s="1307" t="s">
        <v>937</v>
      </c>
      <c r="V13" s="1307" t="s">
        <v>939</v>
      </c>
      <c r="W13" s="1307" t="s">
        <v>937</v>
      </c>
      <c r="X13" s="1307" t="s">
        <v>939</v>
      </c>
      <c r="Y13" s="1307" t="s">
        <v>937</v>
      </c>
      <c r="Z13" s="1307" t="s">
        <v>939</v>
      </c>
      <c r="AA13" s="939"/>
      <c r="AB13" s="939"/>
      <c r="AC13" s="939"/>
      <c r="AD13" s="939"/>
    </row>
    <row r="14" spans="1:30" ht="90" x14ac:dyDescent="0.25">
      <c r="A14" s="939"/>
      <c r="B14" s="1300"/>
      <c r="C14" s="1300"/>
      <c r="D14" s="1302" t="s">
        <v>76</v>
      </c>
      <c r="E14" s="1303"/>
      <c r="F14" s="1306"/>
      <c r="G14" s="1302" t="s">
        <v>77</v>
      </c>
      <c r="H14" s="1303"/>
      <c r="I14" s="1306"/>
      <c r="J14" s="959" t="s">
        <v>106</v>
      </c>
      <c r="K14" s="1299" t="s">
        <v>79</v>
      </c>
      <c r="L14" s="1299" t="s">
        <v>80</v>
      </c>
      <c r="M14" s="1299" t="s">
        <v>82</v>
      </c>
      <c r="N14" s="1299" t="s">
        <v>83</v>
      </c>
      <c r="O14" s="1304" t="s">
        <v>84</v>
      </c>
      <c r="P14" s="1307"/>
      <c r="Q14" s="1307"/>
      <c r="R14" s="1307"/>
      <c r="S14" s="1300"/>
      <c r="T14" s="1307"/>
      <c r="U14" s="1307"/>
      <c r="V14" s="1307"/>
      <c r="W14" s="1307"/>
      <c r="X14" s="1307"/>
      <c r="Y14" s="1307"/>
      <c r="Z14" s="1307"/>
      <c r="AA14" s="939"/>
      <c r="AB14" s="939"/>
      <c r="AC14" s="939"/>
      <c r="AD14" s="939"/>
    </row>
    <row r="15" spans="1:30" ht="75" x14ac:dyDescent="0.25">
      <c r="A15" s="939"/>
      <c r="B15" s="1301"/>
      <c r="C15" s="1301"/>
      <c r="D15" s="959" t="s">
        <v>90</v>
      </c>
      <c r="E15" s="959" t="s">
        <v>91</v>
      </c>
      <c r="F15" s="959" t="s">
        <v>92</v>
      </c>
      <c r="G15" s="959" t="s">
        <v>90</v>
      </c>
      <c r="H15" s="959" t="s">
        <v>91</v>
      </c>
      <c r="I15" s="959" t="s">
        <v>93</v>
      </c>
      <c r="J15" s="959" t="s">
        <v>94</v>
      </c>
      <c r="K15" s="1301"/>
      <c r="L15" s="1301"/>
      <c r="M15" s="1301"/>
      <c r="N15" s="1301"/>
      <c r="O15" s="1305"/>
      <c r="P15" s="1307"/>
      <c r="Q15" s="1307"/>
      <c r="R15" s="1307"/>
      <c r="S15" s="1301"/>
      <c r="T15" s="1307"/>
      <c r="U15" s="1299"/>
      <c r="V15" s="1299"/>
      <c r="W15" s="1299"/>
      <c r="X15" s="1299"/>
      <c r="Y15" s="1299"/>
      <c r="Z15" s="1299"/>
      <c r="AA15" s="939"/>
      <c r="AB15" s="939"/>
      <c r="AC15" s="939"/>
      <c r="AD15" s="939"/>
    </row>
    <row r="16" spans="1:30" x14ac:dyDescent="0.25">
      <c r="A16" s="939"/>
      <c r="B16" s="963">
        <v>1</v>
      </c>
      <c r="C16" s="963">
        <v>2</v>
      </c>
      <c r="D16" s="964">
        <v>3</v>
      </c>
      <c r="E16" s="964">
        <v>4</v>
      </c>
      <c r="F16" s="964">
        <v>5</v>
      </c>
      <c r="G16" s="964">
        <v>6</v>
      </c>
      <c r="H16" s="964">
        <v>7</v>
      </c>
      <c r="I16" s="964">
        <v>8</v>
      </c>
      <c r="J16" s="964">
        <v>9</v>
      </c>
      <c r="K16" s="964">
        <v>10</v>
      </c>
      <c r="L16" s="963">
        <v>11</v>
      </c>
      <c r="M16" s="963">
        <v>12</v>
      </c>
      <c r="N16" s="964">
        <v>13</v>
      </c>
      <c r="O16" s="964">
        <v>14</v>
      </c>
      <c r="P16" s="964">
        <v>15</v>
      </c>
      <c r="Q16" s="964">
        <v>16</v>
      </c>
      <c r="R16" s="964">
        <v>17</v>
      </c>
      <c r="S16" s="964">
        <v>18</v>
      </c>
      <c r="T16" s="963">
        <v>19</v>
      </c>
      <c r="U16" s="963">
        <v>20</v>
      </c>
      <c r="V16" s="963">
        <v>21</v>
      </c>
      <c r="W16" s="963">
        <v>22</v>
      </c>
      <c r="X16" s="963">
        <v>23</v>
      </c>
      <c r="Y16" s="963">
        <v>24</v>
      </c>
      <c r="Z16" s="963">
        <v>25</v>
      </c>
      <c r="AA16" s="939"/>
      <c r="AB16" s="939"/>
      <c r="AC16" s="939"/>
      <c r="AD16" s="939"/>
    </row>
    <row r="17" spans="1:30" ht="123" customHeight="1" x14ac:dyDescent="0.25">
      <c r="A17" s="939"/>
      <c r="B17" s="963">
        <v>60141</v>
      </c>
      <c r="C17" s="966" t="s">
        <v>940</v>
      </c>
      <c r="D17" s="967">
        <v>0</v>
      </c>
      <c r="E17" s="967">
        <v>90</v>
      </c>
      <c r="F17" s="967">
        <v>0</v>
      </c>
      <c r="G17" s="968">
        <v>0</v>
      </c>
      <c r="H17" s="968">
        <v>8.35</v>
      </c>
      <c r="I17" s="968">
        <v>0</v>
      </c>
      <c r="J17" s="968">
        <f>ROUND(H17*0.2359,2)</f>
        <v>1.97</v>
      </c>
      <c r="K17" s="969">
        <v>13.663667599388379</v>
      </c>
      <c r="L17" s="968">
        <v>6.5699999999999995E-2</v>
      </c>
      <c r="M17" s="968">
        <v>2.42</v>
      </c>
      <c r="N17" s="968">
        <v>0.26</v>
      </c>
      <c r="O17" s="970">
        <v>0.42</v>
      </c>
      <c r="P17" s="971">
        <f>SUM(G17:N17)</f>
        <v>26.729367599388379</v>
      </c>
      <c r="Q17" s="967">
        <v>5</v>
      </c>
      <c r="R17" s="967">
        <v>7</v>
      </c>
      <c r="S17" s="967">
        <v>2</v>
      </c>
      <c r="T17" s="977">
        <v>1903.2557319571865</v>
      </c>
      <c r="U17" s="967">
        <v>2</v>
      </c>
      <c r="V17" s="977">
        <f>P17*R17*S17*U17</f>
        <v>748.42229278287459</v>
      </c>
      <c r="W17" s="967">
        <f>U17+1</f>
        <v>3</v>
      </c>
      <c r="X17" s="977">
        <f>P17*R17*S17*W17</f>
        <v>1122.6334391743119</v>
      </c>
      <c r="Y17" s="967">
        <f>W17+1</f>
        <v>4</v>
      </c>
      <c r="Z17" s="977">
        <f>P17*R17*S17*Y17</f>
        <v>1496.8445855657492</v>
      </c>
      <c r="AA17" s="973" t="s">
        <v>1369</v>
      </c>
      <c r="AB17" s="974"/>
      <c r="AC17" s="974"/>
      <c r="AD17" s="974"/>
    </row>
    <row r="18" spans="1:30" ht="151.5" customHeight="1" x14ac:dyDescent="0.25">
      <c r="A18" s="939"/>
      <c r="B18" s="975">
        <v>60142</v>
      </c>
      <c r="C18" s="976" t="s">
        <v>1365</v>
      </c>
      <c r="D18" s="975">
        <v>0</v>
      </c>
      <c r="E18" s="975">
        <v>0</v>
      </c>
      <c r="F18" s="975">
        <v>0</v>
      </c>
      <c r="G18" s="977">
        <v>0</v>
      </c>
      <c r="H18" s="977">
        <v>0</v>
      </c>
      <c r="I18" s="977">
        <v>0</v>
      </c>
      <c r="J18" s="977">
        <v>0</v>
      </c>
      <c r="K18" s="978">
        <v>41.432499999999997</v>
      </c>
      <c r="L18" s="977">
        <v>0</v>
      </c>
      <c r="M18" s="977">
        <v>0</v>
      </c>
      <c r="N18" s="977">
        <v>0</v>
      </c>
      <c r="O18" s="977">
        <v>0</v>
      </c>
      <c r="P18" s="971">
        <v>41.432499999999997</v>
      </c>
      <c r="Q18" s="979">
        <v>5</v>
      </c>
      <c r="R18" s="967">
        <v>4</v>
      </c>
      <c r="S18" s="967">
        <v>2</v>
      </c>
      <c r="T18" s="977">
        <v>1657.3</v>
      </c>
      <c r="U18" s="967">
        <v>2</v>
      </c>
      <c r="V18" s="977">
        <f>P18*R18*S18*U18</f>
        <v>662.92</v>
      </c>
      <c r="W18" s="967">
        <f>U18+1</f>
        <v>3</v>
      </c>
      <c r="X18" s="977">
        <f>P18*R18*S18*W18</f>
        <v>994.37999999999988</v>
      </c>
      <c r="Y18" s="967">
        <f>W18+1</f>
        <v>4</v>
      </c>
      <c r="Z18" s="977">
        <f>P18*R18*S18*Y18</f>
        <v>1325.84</v>
      </c>
      <c r="AA18" s="973" t="s">
        <v>1370</v>
      </c>
      <c r="AB18" s="939"/>
      <c r="AC18" s="939"/>
      <c r="AD18" s="939"/>
    </row>
    <row r="19" spans="1:30" x14ac:dyDescent="0.25">
      <c r="A19" s="935"/>
      <c r="B19" s="935"/>
      <c r="C19" s="935"/>
      <c r="D19" s="935"/>
      <c r="E19" s="935"/>
      <c r="F19" s="935"/>
      <c r="G19" s="935"/>
      <c r="H19" s="935"/>
      <c r="I19" s="935"/>
      <c r="J19" s="935"/>
      <c r="K19" s="935"/>
      <c r="L19" s="935"/>
      <c r="M19" s="935"/>
      <c r="N19" s="935"/>
      <c r="O19" s="935"/>
      <c r="P19" s="935"/>
      <c r="Q19" s="935"/>
      <c r="S19" s="980" t="s">
        <v>102</v>
      </c>
      <c r="T19" s="977">
        <v>3560.5557319571863</v>
      </c>
      <c r="U19" s="977"/>
      <c r="V19" s="938">
        <f>SUM(V17:V18)</f>
        <v>1411.3422927828747</v>
      </c>
      <c r="W19" s="938"/>
      <c r="X19" s="938">
        <f t="shared" ref="X19:Z19" si="0">SUM(X17:X18)</f>
        <v>2117.0134391743118</v>
      </c>
      <c r="Y19" s="938"/>
      <c r="Z19" s="938">
        <f t="shared" si="0"/>
        <v>2822.6845855657493</v>
      </c>
      <c r="AA19" s="935"/>
      <c r="AB19" s="935"/>
      <c r="AC19" s="935"/>
      <c r="AD19" s="935"/>
    </row>
    <row r="20" spans="1:30" x14ac:dyDescent="0.25">
      <c r="A20" s="935"/>
      <c r="B20" s="935"/>
      <c r="C20" s="935"/>
      <c r="D20" s="935"/>
      <c r="E20" s="935"/>
      <c r="F20" s="935"/>
      <c r="G20" s="935"/>
      <c r="H20" s="935"/>
      <c r="I20" s="935"/>
      <c r="J20" s="935"/>
      <c r="K20" s="935"/>
      <c r="L20" s="935"/>
      <c r="M20" s="935"/>
      <c r="N20" s="935"/>
      <c r="O20" s="935"/>
      <c r="P20" s="935"/>
      <c r="Q20" s="935"/>
      <c r="R20" s="939"/>
      <c r="T20" s="939"/>
      <c r="U20" s="1311" t="s">
        <v>1366</v>
      </c>
      <c r="V20" s="1312"/>
      <c r="W20" s="1312"/>
      <c r="X20" s="1312"/>
      <c r="Y20" s="1312"/>
      <c r="Z20" s="1312"/>
      <c r="AA20" s="935"/>
      <c r="AB20" s="935"/>
      <c r="AC20" s="935"/>
      <c r="AD20" s="935"/>
    </row>
    <row r="21" spans="1:30" x14ac:dyDescent="0.25">
      <c r="B21" s="937"/>
    </row>
    <row r="22" spans="1:30" x14ac:dyDescent="0.25">
      <c r="B22" s="936"/>
    </row>
  </sheetData>
  <mergeCells count="34">
    <mergeCell ref="W1:Y1"/>
    <mergeCell ref="T2:Y2"/>
    <mergeCell ref="U20:Z20"/>
    <mergeCell ref="P13:P15"/>
    <mergeCell ref="Q13:Q15"/>
    <mergeCell ref="R13:R15"/>
    <mergeCell ref="S13:S15"/>
    <mergeCell ref="T13:T15"/>
    <mergeCell ref="U13:U15"/>
    <mergeCell ref="V13:V15"/>
    <mergeCell ref="W13:W15"/>
    <mergeCell ref="Z13:Z15"/>
    <mergeCell ref="X13:X15"/>
    <mergeCell ref="Y13:Y15"/>
    <mergeCell ref="Q12:T12"/>
    <mergeCell ref="U12:V12"/>
    <mergeCell ref="J9:J10"/>
    <mergeCell ref="M9:M10"/>
    <mergeCell ref="N9:N10"/>
    <mergeCell ref="O9:O10"/>
    <mergeCell ref="U11:Z11"/>
    <mergeCell ref="Y12:Z12"/>
    <mergeCell ref="W12:X12"/>
    <mergeCell ref="B13:B15"/>
    <mergeCell ref="C13:C15"/>
    <mergeCell ref="D13:K13"/>
    <mergeCell ref="L13:O13"/>
    <mergeCell ref="O14:O15"/>
    <mergeCell ref="N14:N15"/>
    <mergeCell ref="D14:F14"/>
    <mergeCell ref="G14:I14"/>
    <mergeCell ref="K14:K15"/>
    <mergeCell ref="L14:L15"/>
    <mergeCell ref="M14:M15"/>
  </mergeCells>
  <pageMargins left="0.70866141732283472" right="0.70866141732283472" top="0.74803149606299213" bottom="0.74803149606299213" header="0.31496062992125984" footer="0.31496062992125984"/>
  <pageSetup paperSize="9" scale="3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Z20"/>
  <sheetViews>
    <sheetView topLeftCell="A4" zoomScale="90" zoomScaleNormal="90" workbookViewId="0">
      <selection activeCell="N23" sqref="N23"/>
    </sheetView>
  </sheetViews>
  <sheetFormatPr defaultRowHeight="15" x14ac:dyDescent="0.25"/>
  <cols>
    <col min="1" max="1" width="3.85546875" style="947" customWidth="1"/>
    <col min="2" max="2" width="13" style="947" customWidth="1"/>
    <col min="3" max="3" width="29.5703125" style="947" customWidth="1"/>
    <col min="4" max="4" width="7" style="947" bestFit="1" customWidth="1"/>
    <col min="5" max="5" width="7.140625" style="947" customWidth="1"/>
    <col min="6" max="6" width="11.140625" style="947" customWidth="1"/>
    <col min="7" max="7" width="10.140625" style="947" bestFit="1" customWidth="1"/>
    <col min="8" max="8" width="8.42578125" style="947" bestFit="1" customWidth="1"/>
    <col min="9" max="9" width="11.42578125" style="947" bestFit="1" customWidth="1"/>
    <col min="10" max="10" width="16" style="947" bestFit="1" customWidth="1"/>
    <col min="11" max="11" width="11.7109375" style="947" customWidth="1"/>
    <col min="12" max="12" width="11.28515625" style="947" customWidth="1"/>
    <col min="13" max="13" width="12.5703125" style="947" bestFit="1" customWidth="1"/>
    <col min="14" max="14" width="14.85546875" style="947" bestFit="1" customWidth="1"/>
    <col min="15" max="15" width="15" style="947" customWidth="1"/>
    <col min="16" max="16" width="7.140625" style="947" customWidth="1"/>
    <col min="17" max="17" width="9.140625" style="947"/>
    <col min="18" max="18" width="13.42578125" style="947" customWidth="1"/>
    <col min="19" max="19" width="14.42578125" style="947" customWidth="1"/>
    <col min="20" max="20" width="9.85546875" style="947" customWidth="1"/>
    <col min="21" max="21" width="14.42578125" style="947" customWidth="1"/>
    <col min="22" max="22" width="9" style="947" customWidth="1"/>
    <col min="23" max="23" width="14.42578125" style="947" customWidth="1"/>
    <col min="24" max="24" width="8.42578125" style="947" customWidth="1"/>
    <col min="25" max="25" width="14.42578125" style="947" customWidth="1"/>
    <col min="26" max="26" width="47.85546875" style="947" customWidth="1"/>
    <col min="27" max="16384" width="9.140625" style="947"/>
  </cols>
  <sheetData>
    <row r="1" spans="1:25" ht="15.75" x14ac:dyDescent="0.25">
      <c r="Q1" s="100"/>
      <c r="R1" s="901"/>
      <c r="S1" s="901"/>
      <c r="T1" s="1137" t="s">
        <v>1435</v>
      </c>
      <c r="U1" s="1137"/>
      <c r="V1" s="1137"/>
    </row>
    <row r="2" spans="1:25" ht="50.25" customHeight="1" x14ac:dyDescent="0.25">
      <c r="Q2" s="1161" t="s">
        <v>1342</v>
      </c>
      <c r="R2" s="1161"/>
      <c r="S2" s="1161"/>
      <c r="T2" s="1161"/>
      <c r="U2" s="1161"/>
      <c r="V2" s="1161"/>
    </row>
    <row r="4" spans="1:25" ht="18.75" x14ac:dyDescent="0.3">
      <c r="B4" s="948" t="s">
        <v>1202</v>
      </c>
      <c r="C4" s="949"/>
      <c r="D4" s="949"/>
      <c r="E4" s="949"/>
      <c r="F4" s="949"/>
      <c r="G4" s="949"/>
      <c r="H4" s="949"/>
      <c r="I4" s="949"/>
      <c r="J4" s="949"/>
      <c r="K4" s="949"/>
      <c r="L4" s="949"/>
    </row>
    <row r="5" spans="1:25" ht="16.5" thickBot="1" x14ac:dyDescent="0.3">
      <c r="B5" s="951"/>
      <c r="C5" s="952"/>
      <c r="D5" s="952"/>
      <c r="E5" s="952"/>
      <c r="F5" s="952"/>
      <c r="G5" s="764">
        <v>2022</v>
      </c>
      <c r="H5" s="764">
        <v>2023</v>
      </c>
      <c r="I5" s="764">
        <v>2024</v>
      </c>
      <c r="J5" s="941"/>
      <c r="K5" s="952"/>
      <c r="L5" s="952"/>
    </row>
    <row r="6" spans="1:25" s="946" customFormat="1" ht="17.25" thickBot="1" x14ac:dyDescent="0.3">
      <c r="A6" s="941"/>
      <c r="B6" s="942" t="s">
        <v>919</v>
      </c>
      <c r="C6" s="943"/>
      <c r="D6" s="953"/>
      <c r="E6" s="953"/>
      <c r="F6" s="954"/>
      <c r="G6" s="944">
        <f>ROUND(U17,0)</f>
        <v>3791</v>
      </c>
      <c r="H6" s="944">
        <f>ROUND(W17,0)</f>
        <v>7202</v>
      </c>
      <c r="I6" s="944">
        <f>ROUND(Y17,0)</f>
        <v>10614</v>
      </c>
      <c r="J6" s="945" t="s">
        <v>6</v>
      </c>
      <c r="K6" s="941"/>
      <c r="L6" s="941"/>
      <c r="M6" s="941"/>
      <c r="N6" s="941"/>
      <c r="O6" s="941"/>
      <c r="P6" s="941"/>
      <c r="Q6" s="941"/>
      <c r="R6" s="941"/>
    </row>
    <row r="7" spans="1:25" s="955" customFormat="1" ht="12" x14ac:dyDescent="0.2">
      <c r="B7" s="956"/>
      <c r="C7" s="957"/>
      <c r="D7" s="957"/>
      <c r="E7" s="957"/>
      <c r="F7" s="957"/>
      <c r="G7" s="957"/>
      <c r="H7" s="957"/>
      <c r="I7" s="957"/>
      <c r="J7" s="957"/>
      <c r="K7" s="957"/>
      <c r="L7" s="957"/>
    </row>
    <row r="8" spans="1:25" x14ac:dyDescent="0.25">
      <c r="A8" s="981"/>
    </row>
    <row r="9" spans="1:25" ht="75" x14ac:dyDescent="0.25">
      <c r="B9" s="214"/>
      <c r="C9" s="214"/>
      <c r="D9" s="214"/>
      <c r="E9" s="214"/>
      <c r="F9" s="214"/>
      <c r="G9" s="932" t="s">
        <v>64</v>
      </c>
      <c r="H9" s="932" t="s">
        <v>65</v>
      </c>
      <c r="I9" s="932" t="s">
        <v>66</v>
      </c>
      <c r="J9" s="1316" t="s">
        <v>67</v>
      </c>
      <c r="K9" s="661"/>
      <c r="L9" s="214"/>
      <c r="M9" s="1317" t="s">
        <v>68</v>
      </c>
      <c r="N9" s="1317" t="s">
        <v>69</v>
      </c>
      <c r="O9" s="1317" t="s">
        <v>70</v>
      </c>
      <c r="P9" s="214"/>
    </row>
    <row r="10" spans="1:25" ht="15" customHeight="1" x14ac:dyDescent="0.25">
      <c r="B10" s="214"/>
      <c r="C10" s="214"/>
      <c r="D10" s="214"/>
      <c r="E10" s="214"/>
      <c r="F10" s="662" t="s">
        <v>71</v>
      </c>
      <c r="G10" s="663">
        <v>1485</v>
      </c>
      <c r="H10" s="663">
        <v>891</v>
      </c>
      <c r="I10" s="663">
        <v>594</v>
      </c>
      <c r="J10" s="1331"/>
      <c r="K10" s="214"/>
      <c r="L10" s="214"/>
      <c r="M10" s="1332"/>
      <c r="N10" s="1332"/>
      <c r="O10" s="1332"/>
      <c r="P10" s="214"/>
    </row>
    <row r="11" spans="1:25" ht="19.5" customHeight="1" x14ac:dyDescent="0.25">
      <c r="B11" s="214"/>
      <c r="C11" s="214"/>
      <c r="D11" s="214"/>
      <c r="E11" s="214"/>
      <c r="F11" s="662" t="s">
        <v>72</v>
      </c>
      <c r="G11" s="663">
        <f>ROUND(G10/9600,4)</f>
        <v>0.1547</v>
      </c>
      <c r="H11" s="663">
        <f t="shared" ref="H11" si="0">ROUND(H10/9600,4)</f>
        <v>9.2799999999999994E-2</v>
      </c>
      <c r="I11" s="663">
        <f>ROUND(I10/9600,4)</f>
        <v>6.1899999999999997E-2</v>
      </c>
      <c r="J11" s="663">
        <v>0.2359</v>
      </c>
      <c r="K11" s="214"/>
      <c r="L11" s="662" t="s">
        <v>73</v>
      </c>
      <c r="M11" s="663">
        <v>0.2898</v>
      </c>
      <c r="N11" s="663">
        <v>3.15E-2</v>
      </c>
      <c r="O11" s="663">
        <v>5.0200000000000002E-2</v>
      </c>
      <c r="P11" s="214"/>
      <c r="T11" s="1310" t="s">
        <v>1412</v>
      </c>
      <c r="U11" s="1310"/>
      <c r="V11" s="1310"/>
      <c r="W11" s="1310"/>
      <c r="X11" s="1310"/>
      <c r="Y11" s="1310"/>
    </row>
    <row r="12" spans="1:25" x14ac:dyDescent="0.25">
      <c r="B12" s="214"/>
      <c r="C12" s="214"/>
      <c r="D12" s="214"/>
      <c r="E12" s="214"/>
      <c r="F12" s="214"/>
      <c r="G12" s="214"/>
      <c r="H12" s="214"/>
      <c r="I12" s="214"/>
      <c r="J12" s="214"/>
      <c r="K12" s="214"/>
      <c r="L12" s="214"/>
      <c r="M12" s="214"/>
      <c r="N12" s="214"/>
      <c r="O12" s="214"/>
      <c r="P12" s="214"/>
      <c r="Q12" s="1320" t="s">
        <v>1362</v>
      </c>
      <c r="R12" s="1321"/>
      <c r="S12" s="1322"/>
      <c r="T12" s="1297" t="s">
        <v>1363</v>
      </c>
      <c r="U12" s="1298"/>
      <c r="V12" s="1297" t="s">
        <v>1364</v>
      </c>
      <c r="W12" s="1298"/>
      <c r="X12" s="1296" t="s">
        <v>1367</v>
      </c>
      <c r="Y12" s="1296"/>
    </row>
    <row r="13" spans="1:25" ht="15" customHeight="1" x14ac:dyDescent="0.25">
      <c r="B13" s="1317" t="s">
        <v>934</v>
      </c>
      <c r="C13" s="1317" t="s">
        <v>75</v>
      </c>
      <c r="D13" s="1324" t="s">
        <v>935</v>
      </c>
      <c r="E13" s="1325"/>
      <c r="F13" s="1325"/>
      <c r="G13" s="1325"/>
      <c r="H13" s="1325"/>
      <c r="I13" s="1325"/>
      <c r="J13" s="1325"/>
      <c r="K13" s="1325"/>
      <c r="L13" s="1325"/>
      <c r="M13" s="1325"/>
      <c r="N13" s="1325"/>
      <c r="O13" s="1325"/>
      <c r="P13" s="1316" t="s">
        <v>936</v>
      </c>
      <c r="Q13" s="1316" t="s">
        <v>941</v>
      </c>
      <c r="R13" s="1316" t="s">
        <v>938</v>
      </c>
      <c r="S13" s="1323" t="s">
        <v>942</v>
      </c>
      <c r="T13" s="1316" t="s">
        <v>937</v>
      </c>
      <c r="U13" s="1316" t="s">
        <v>939</v>
      </c>
      <c r="V13" s="1316" t="s">
        <v>937</v>
      </c>
      <c r="W13" s="1316" t="s">
        <v>939</v>
      </c>
      <c r="X13" s="1316" t="s">
        <v>937</v>
      </c>
      <c r="Y13" s="1316" t="s">
        <v>939</v>
      </c>
    </row>
    <row r="14" spans="1:25" ht="60" x14ac:dyDescent="0.25">
      <c r="B14" s="1328"/>
      <c r="C14" s="1328"/>
      <c r="D14" s="1324" t="s">
        <v>76</v>
      </c>
      <c r="E14" s="1325"/>
      <c r="F14" s="1326"/>
      <c r="G14" s="1324" t="s">
        <v>77</v>
      </c>
      <c r="H14" s="1325"/>
      <c r="I14" s="1326"/>
      <c r="J14" s="932" t="s">
        <v>78</v>
      </c>
      <c r="K14" s="1317" t="s">
        <v>79</v>
      </c>
      <c r="L14" s="1317" t="s">
        <v>80</v>
      </c>
      <c r="M14" s="1317" t="s">
        <v>82</v>
      </c>
      <c r="N14" s="1317" t="s">
        <v>83</v>
      </c>
      <c r="O14" s="1329" t="s">
        <v>84</v>
      </c>
      <c r="P14" s="1316"/>
      <c r="Q14" s="1316"/>
      <c r="R14" s="1316"/>
      <c r="S14" s="1323"/>
      <c r="T14" s="1316"/>
      <c r="U14" s="1316"/>
      <c r="V14" s="1316"/>
      <c r="W14" s="1316"/>
      <c r="X14" s="1316"/>
      <c r="Y14" s="1316"/>
    </row>
    <row r="15" spans="1:25" ht="45" x14ac:dyDescent="0.25">
      <c r="B15" s="1327"/>
      <c r="C15" s="1327"/>
      <c r="D15" s="932" t="s">
        <v>90</v>
      </c>
      <c r="E15" s="932" t="s">
        <v>91</v>
      </c>
      <c r="F15" s="932" t="s">
        <v>92</v>
      </c>
      <c r="G15" s="932" t="s">
        <v>90</v>
      </c>
      <c r="H15" s="932" t="s">
        <v>91</v>
      </c>
      <c r="I15" s="932" t="s">
        <v>93</v>
      </c>
      <c r="J15" s="932" t="s">
        <v>94</v>
      </c>
      <c r="K15" s="1327"/>
      <c r="L15" s="1327"/>
      <c r="M15" s="1327"/>
      <c r="N15" s="1327"/>
      <c r="O15" s="1330"/>
      <c r="P15" s="1316"/>
      <c r="Q15" s="1316"/>
      <c r="R15" s="1316"/>
      <c r="S15" s="1323"/>
      <c r="T15" s="1317"/>
      <c r="U15" s="1317"/>
      <c r="V15" s="1317"/>
      <c r="W15" s="1317"/>
      <c r="X15" s="1317"/>
      <c r="Y15" s="1317"/>
    </row>
    <row r="16" spans="1:25" x14ac:dyDescent="0.25">
      <c r="B16" s="933">
        <v>1</v>
      </c>
      <c r="C16" s="933">
        <v>2</v>
      </c>
      <c r="D16" s="934">
        <v>3</v>
      </c>
      <c r="E16" s="934">
        <v>4</v>
      </c>
      <c r="F16" s="934">
        <v>5</v>
      </c>
      <c r="G16" s="934">
        <v>6</v>
      </c>
      <c r="H16" s="934">
        <v>7</v>
      </c>
      <c r="I16" s="934">
        <v>8</v>
      </c>
      <c r="J16" s="934">
        <v>9</v>
      </c>
      <c r="K16" s="934">
        <v>10</v>
      </c>
      <c r="L16" s="933">
        <v>11</v>
      </c>
      <c r="M16" s="933">
        <v>12</v>
      </c>
      <c r="N16" s="934">
        <v>13</v>
      </c>
      <c r="O16" s="934">
        <v>14</v>
      </c>
      <c r="P16" s="934">
        <v>15</v>
      </c>
      <c r="Q16" s="934">
        <v>16</v>
      </c>
      <c r="R16" s="934">
        <v>17</v>
      </c>
      <c r="S16" s="965">
        <v>18</v>
      </c>
      <c r="T16" s="933">
        <v>19</v>
      </c>
      <c r="U16" s="933">
        <v>20</v>
      </c>
      <c r="V16" s="933">
        <v>21</v>
      </c>
      <c r="W16" s="933">
        <v>22</v>
      </c>
      <c r="X16" s="933">
        <v>23</v>
      </c>
      <c r="Y16" s="933">
        <v>24</v>
      </c>
    </row>
    <row r="17" spans="2:26" ht="75" x14ac:dyDescent="0.25">
      <c r="B17" s="975">
        <v>60143</v>
      </c>
      <c r="C17" s="982" t="s">
        <v>943</v>
      </c>
      <c r="D17" s="967">
        <v>0</v>
      </c>
      <c r="E17" s="967">
        <v>90</v>
      </c>
      <c r="F17" s="967">
        <v>0</v>
      </c>
      <c r="G17" s="968">
        <f>ROUND((D17*G11),2)</f>
        <v>0</v>
      </c>
      <c r="H17" s="968">
        <f>ROUND((E17*H11),2)</f>
        <v>8.35</v>
      </c>
      <c r="I17" s="968">
        <f>ROUND((F17*I11),2)</f>
        <v>0</v>
      </c>
      <c r="J17" s="968">
        <f>ROUND(((H17+G17+I17)*J11),2)</f>
        <v>1.97</v>
      </c>
      <c r="K17" s="968">
        <v>5.4672142857142871</v>
      </c>
      <c r="L17" s="968">
        <v>6.5699999999999995E-2</v>
      </c>
      <c r="M17" s="968">
        <f>ROUND((G17+H17+I17)*M11,2)</f>
        <v>2.42</v>
      </c>
      <c r="N17" s="968">
        <f>ROUND((G17+H17+I17)*N11,2)</f>
        <v>0.26</v>
      </c>
      <c r="O17" s="970">
        <f>ROUND((G17+H17+I17)*O11,2)</f>
        <v>0.42</v>
      </c>
      <c r="P17" s="971">
        <f>G17+H17+I17+J17+K17+L17+M17+N17+O17</f>
        <v>18.952914285714289</v>
      </c>
      <c r="Q17" s="967">
        <v>55</v>
      </c>
      <c r="R17" s="967">
        <v>3</v>
      </c>
      <c r="S17" s="972">
        <f>(P17*Q17*R17)*1.333333</f>
        <v>4169.640100446858</v>
      </c>
      <c r="T17" s="967">
        <v>50</v>
      </c>
      <c r="U17" s="938">
        <f>(P17*T17*R17)*1.333333</f>
        <v>3790.5819094971439</v>
      </c>
      <c r="V17" s="967">
        <f>T17+45</f>
        <v>95</v>
      </c>
      <c r="W17" s="938">
        <f>(P17*V17*R17)*1.333333</f>
        <v>7202.1056280445737</v>
      </c>
      <c r="X17" s="967">
        <f>V17+45</f>
        <v>140</v>
      </c>
      <c r="Y17" s="938">
        <f>(P17*X17*R17)*1.33333</f>
        <v>10613.60546592</v>
      </c>
      <c r="Z17" s="983" t="s">
        <v>1372</v>
      </c>
    </row>
    <row r="18" spans="2:26" ht="15" customHeight="1" x14ac:dyDescent="0.25">
      <c r="T18" s="1318" t="s">
        <v>1373</v>
      </c>
      <c r="U18" s="1318"/>
      <c r="V18" s="1318"/>
      <c r="W18" s="1318"/>
      <c r="X18" s="1318"/>
      <c r="Y18" s="1318"/>
    </row>
    <row r="19" spans="2:26" x14ac:dyDescent="0.25">
      <c r="T19" s="1319"/>
      <c r="U19" s="1319"/>
      <c r="V19" s="1319"/>
      <c r="W19" s="1319"/>
      <c r="X19" s="1319"/>
      <c r="Y19" s="1319"/>
    </row>
    <row r="20" spans="2:26" x14ac:dyDescent="0.25">
      <c r="T20" s="1319"/>
      <c r="U20" s="1319"/>
      <c r="V20" s="1319"/>
      <c r="W20" s="1319"/>
      <c r="X20" s="1319"/>
      <c r="Y20" s="1319"/>
    </row>
  </sheetData>
  <mergeCells count="33">
    <mergeCell ref="T1:V1"/>
    <mergeCell ref="Q2:V2"/>
    <mergeCell ref="J9:J10"/>
    <mergeCell ref="M9:M10"/>
    <mergeCell ref="N9:N10"/>
    <mergeCell ref="O9:O10"/>
    <mergeCell ref="B13:B15"/>
    <mergeCell ref="C13:C15"/>
    <mergeCell ref="D13:K13"/>
    <mergeCell ref="L13:O13"/>
    <mergeCell ref="O14:O15"/>
    <mergeCell ref="P13:P15"/>
    <mergeCell ref="Q13:Q15"/>
    <mergeCell ref="R13:R15"/>
    <mergeCell ref="S13:S15"/>
    <mergeCell ref="D14:F14"/>
    <mergeCell ref="G14:I14"/>
    <mergeCell ref="K14:K15"/>
    <mergeCell ref="L14:L15"/>
    <mergeCell ref="M14:M15"/>
    <mergeCell ref="N14:N15"/>
    <mergeCell ref="T11:Y11"/>
    <mergeCell ref="Q12:S12"/>
    <mergeCell ref="T12:U12"/>
    <mergeCell ref="V12:W12"/>
    <mergeCell ref="X12:Y12"/>
    <mergeCell ref="Y13:Y15"/>
    <mergeCell ref="T18:Y20"/>
    <mergeCell ref="T13:T15"/>
    <mergeCell ref="U13:U15"/>
    <mergeCell ref="V13:V15"/>
    <mergeCell ref="W13:W15"/>
    <mergeCell ref="X13:X15"/>
  </mergeCells>
  <pageMargins left="0.70866141732283472" right="0.70866141732283472" top="0.74803149606299213" bottom="0.74803149606299213" header="0.31496062992125984" footer="0.31496062992125984"/>
  <pageSetup paperSize="9" scale="3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Y26"/>
  <sheetViews>
    <sheetView topLeftCell="A7" zoomScale="90" zoomScaleNormal="90" workbookViewId="0">
      <selection activeCell="J17" sqref="J17"/>
    </sheetView>
  </sheetViews>
  <sheetFormatPr defaultRowHeight="15" x14ac:dyDescent="0.25"/>
  <cols>
    <col min="1" max="1" width="4.7109375" style="947" customWidth="1"/>
    <col min="2" max="2" width="8.7109375" style="947" customWidth="1"/>
    <col min="3" max="3" width="20.140625" style="947" customWidth="1"/>
    <col min="4" max="4" width="7" style="947" bestFit="1" customWidth="1"/>
    <col min="5" max="5" width="7.140625" style="947" customWidth="1"/>
    <col min="6" max="6" width="11.140625" style="947" customWidth="1"/>
    <col min="7" max="7" width="10.140625" style="947" bestFit="1" customWidth="1"/>
    <col min="8" max="8" width="8.42578125" style="947" bestFit="1" customWidth="1"/>
    <col min="9" max="9" width="11.42578125" style="947" bestFit="1" customWidth="1"/>
    <col min="10" max="10" width="16" style="947" bestFit="1" customWidth="1"/>
    <col min="11" max="11" width="11.7109375" style="947" customWidth="1"/>
    <col min="12" max="12" width="11.28515625" style="947" customWidth="1"/>
    <col min="13" max="13" width="12.5703125" style="947" bestFit="1" customWidth="1"/>
    <col min="14" max="14" width="14.85546875" style="947" bestFit="1" customWidth="1"/>
    <col min="15" max="15" width="15" style="947" customWidth="1"/>
    <col min="16" max="16" width="8" style="947" customWidth="1"/>
    <col min="17" max="17" width="9.140625" style="947"/>
    <col min="18" max="18" width="12" style="947" customWidth="1"/>
    <col min="19" max="19" width="14.42578125" style="947" customWidth="1"/>
    <col min="20" max="20" width="8.42578125" style="947" customWidth="1"/>
    <col min="21" max="21" width="14.42578125" style="947" customWidth="1"/>
    <col min="22" max="22" width="9" style="947" customWidth="1"/>
    <col min="23" max="23" width="14.42578125" style="947" customWidth="1"/>
    <col min="24" max="24" width="9" style="947" customWidth="1"/>
    <col min="25" max="25" width="14.42578125" style="947" customWidth="1"/>
    <col min="26" max="16384" width="9.140625" style="947"/>
  </cols>
  <sheetData>
    <row r="1" spans="1:25" ht="15.75" x14ac:dyDescent="0.25">
      <c r="R1" s="100"/>
      <c r="S1" s="901"/>
      <c r="T1" s="901"/>
      <c r="U1" s="1137" t="s">
        <v>1436</v>
      </c>
      <c r="V1" s="1137"/>
      <c r="W1" s="1137"/>
    </row>
    <row r="2" spans="1:25" ht="51" customHeight="1" x14ac:dyDescent="0.25">
      <c r="R2" s="1161" t="s">
        <v>1342</v>
      </c>
      <c r="S2" s="1161"/>
      <c r="T2" s="1161"/>
      <c r="U2" s="1161"/>
      <c r="V2" s="1161"/>
      <c r="W2" s="1161"/>
    </row>
    <row r="4" spans="1:25" ht="18.75" x14ac:dyDescent="0.3">
      <c r="B4" s="948" t="s">
        <v>1376</v>
      </c>
      <c r="C4" s="949"/>
      <c r="D4" s="949"/>
      <c r="E4" s="949"/>
      <c r="F4" s="949"/>
      <c r="G4" s="949"/>
      <c r="H4" s="949"/>
      <c r="I4" s="949"/>
      <c r="J4" s="949"/>
      <c r="K4" s="949"/>
      <c r="L4" s="949"/>
    </row>
    <row r="5" spans="1:25" ht="16.5" thickBot="1" x14ac:dyDescent="0.3">
      <c r="B5" s="951"/>
      <c r="C5" s="952"/>
      <c r="D5" s="952"/>
      <c r="E5" s="952"/>
      <c r="F5" s="952"/>
      <c r="G5" s="764">
        <v>2022</v>
      </c>
      <c r="H5" s="764">
        <v>2023</v>
      </c>
      <c r="I5" s="764">
        <v>2024</v>
      </c>
      <c r="J5" s="941"/>
      <c r="K5" s="952"/>
      <c r="L5" s="952"/>
    </row>
    <row r="6" spans="1:25" s="946" customFormat="1" ht="17.25" thickBot="1" x14ac:dyDescent="0.3">
      <c r="A6" s="941"/>
      <c r="B6" s="942" t="s">
        <v>919</v>
      </c>
      <c r="C6" s="943"/>
      <c r="D6" s="953"/>
      <c r="E6" s="953"/>
      <c r="F6" s="954"/>
      <c r="G6" s="944">
        <f>ROUND(U17,0)</f>
        <v>1078</v>
      </c>
      <c r="H6" s="944">
        <f>ROUND(W17,0)</f>
        <v>1617</v>
      </c>
      <c r="I6" s="944">
        <f>ROUND(Y17,0)</f>
        <v>2155</v>
      </c>
      <c r="J6" s="945" t="s">
        <v>6</v>
      </c>
      <c r="K6" s="941"/>
      <c r="L6" s="941"/>
      <c r="M6" s="941"/>
      <c r="N6" s="941"/>
      <c r="O6" s="941"/>
      <c r="P6" s="941"/>
      <c r="Q6" s="941"/>
      <c r="R6" s="941"/>
    </row>
    <row r="7" spans="1:25" s="955" customFormat="1" ht="12" x14ac:dyDescent="0.2">
      <c r="B7" s="956"/>
      <c r="C7" s="957"/>
      <c r="D7" s="957"/>
      <c r="E7" s="957"/>
      <c r="F7" s="957"/>
      <c r="G7" s="957"/>
      <c r="H7" s="957"/>
      <c r="I7" s="957"/>
      <c r="J7" s="957"/>
      <c r="K7" s="957"/>
      <c r="L7" s="957"/>
    </row>
    <row r="9" spans="1:25" ht="75" x14ac:dyDescent="0.25">
      <c r="B9" s="214"/>
      <c r="C9" s="214"/>
      <c r="D9" s="214"/>
      <c r="E9" s="214"/>
      <c r="F9" s="214"/>
      <c r="G9" s="932" t="s">
        <v>64</v>
      </c>
      <c r="H9" s="932" t="s">
        <v>65</v>
      </c>
      <c r="I9" s="932" t="s">
        <v>66</v>
      </c>
      <c r="J9" s="1316" t="s">
        <v>67</v>
      </c>
      <c r="K9" s="661"/>
      <c r="L9" s="214"/>
      <c r="M9" s="1317" t="s">
        <v>68</v>
      </c>
      <c r="N9" s="1317" t="s">
        <v>69</v>
      </c>
      <c r="O9" s="1317" t="s">
        <v>70</v>
      </c>
      <c r="P9" s="214"/>
    </row>
    <row r="10" spans="1:25" x14ac:dyDescent="0.25">
      <c r="B10" s="214"/>
      <c r="C10" s="214"/>
      <c r="D10" s="214"/>
      <c r="E10" s="214"/>
      <c r="F10" s="662" t="s">
        <v>71</v>
      </c>
      <c r="G10" s="663">
        <v>1485</v>
      </c>
      <c r="H10" s="663">
        <v>891</v>
      </c>
      <c r="I10" s="663">
        <v>594</v>
      </c>
      <c r="J10" s="1331"/>
      <c r="K10" s="214"/>
      <c r="L10" s="214"/>
      <c r="M10" s="1332"/>
      <c r="N10" s="1332"/>
      <c r="O10" s="1332"/>
      <c r="P10" s="214"/>
    </row>
    <row r="11" spans="1:25" x14ac:dyDescent="0.25">
      <c r="B11" s="214"/>
      <c r="C11" s="214"/>
      <c r="D11" s="214"/>
      <c r="E11" s="214"/>
      <c r="F11" s="662" t="s">
        <v>72</v>
      </c>
      <c r="G11" s="663">
        <f>ROUND(G10/9600,4)</f>
        <v>0.1547</v>
      </c>
      <c r="H11" s="663">
        <f t="shared" ref="H11" si="0">ROUND(H10/9600,4)</f>
        <v>9.2799999999999994E-2</v>
      </c>
      <c r="I11" s="663">
        <f>ROUND(I10/9600,4)</f>
        <v>6.1899999999999997E-2</v>
      </c>
      <c r="J11" s="663">
        <v>0.2359</v>
      </c>
      <c r="K11" s="214"/>
      <c r="L11" s="662" t="s">
        <v>73</v>
      </c>
      <c r="M11" s="663">
        <v>0.2898</v>
      </c>
      <c r="N11" s="663">
        <v>3.15E-2</v>
      </c>
      <c r="O11" s="663">
        <v>5.0200000000000002E-2</v>
      </c>
      <c r="P11" s="214"/>
      <c r="T11" s="1310" t="s">
        <v>1361</v>
      </c>
      <c r="U11" s="1310"/>
      <c r="V11" s="1310"/>
      <c r="W11" s="1310"/>
      <c r="X11" s="1310"/>
      <c r="Y11" s="1310"/>
    </row>
    <row r="12" spans="1:25" x14ac:dyDescent="0.25">
      <c r="B12" s="214"/>
      <c r="C12" s="214"/>
      <c r="D12" s="214"/>
      <c r="E12" s="214"/>
      <c r="F12" s="214"/>
      <c r="G12" s="214"/>
      <c r="H12" s="214"/>
      <c r="I12" s="214"/>
      <c r="J12" s="214"/>
      <c r="K12" s="214"/>
      <c r="L12" s="214"/>
      <c r="M12" s="214"/>
      <c r="N12" s="214"/>
      <c r="O12" s="214"/>
      <c r="P12" s="214"/>
      <c r="Q12" s="1337" t="s">
        <v>1362</v>
      </c>
      <c r="R12" s="1338"/>
      <c r="S12" s="1339"/>
      <c r="T12" s="1334" t="s">
        <v>1363</v>
      </c>
      <c r="U12" s="1335"/>
      <c r="V12" s="1334" t="s">
        <v>1364</v>
      </c>
      <c r="W12" s="1335"/>
      <c r="X12" s="1336" t="s">
        <v>1367</v>
      </c>
      <c r="Y12" s="1336"/>
    </row>
    <row r="13" spans="1:25" ht="15" customHeight="1" x14ac:dyDescent="0.25">
      <c r="B13" s="1317" t="s">
        <v>74</v>
      </c>
      <c r="C13" s="1317" t="s">
        <v>75</v>
      </c>
      <c r="D13" s="1324" t="s">
        <v>935</v>
      </c>
      <c r="E13" s="1325"/>
      <c r="F13" s="1325"/>
      <c r="G13" s="1325"/>
      <c r="H13" s="1325"/>
      <c r="I13" s="1325"/>
      <c r="J13" s="1325"/>
      <c r="K13" s="1325"/>
      <c r="L13" s="1325"/>
      <c r="M13" s="1325"/>
      <c r="N13" s="1325"/>
      <c r="O13" s="1325"/>
      <c r="P13" s="1316" t="s">
        <v>936</v>
      </c>
      <c r="Q13" s="1316" t="s">
        <v>937</v>
      </c>
      <c r="R13" s="1316" t="s">
        <v>944</v>
      </c>
      <c r="S13" s="1307" t="s">
        <v>939</v>
      </c>
      <c r="T13" s="1316" t="s">
        <v>937</v>
      </c>
      <c r="U13" s="1316" t="s">
        <v>939</v>
      </c>
      <c r="V13" s="1316" t="s">
        <v>937</v>
      </c>
      <c r="W13" s="1316" t="s">
        <v>939</v>
      </c>
      <c r="X13" s="1316" t="s">
        <v>937</v>
      </c>
      <c r="Y13" s="1316" t="s">
        <v>939</v>
      </c>
    </row>
    <row r="14" spans="1:25" ht="60" x14ac:dyDescent="0.25">
      <c r="B14" s="1328"/>
      <c r="C14" s="1328"/>
      <c r="D14" s="1324" t="s">
        <v>945</v>
      </c>
      <c r="E14" s="1325"/>
      <c r="F14" s="1326"/>
      <c r="G14" s="1324" t="s">
        <v>77</v>
      </c>
      <c r="H14" s="1325"/>
      <c r="I14" s="1326"/>
      <c r="J14" s="932" t="s">
        <v>78</v>
      </c>
      <c r="K14" s="1317" t="s">
        <v>79</v>
      </c>
      <c r="L14" s="1317" t="s">
        <v>80</v>
      </c>
      <c r="M14" s="1317" t="s">
        <v>82</v>
      </c>
      <c r="N14" s="1317" t="s">
        <v>83</v>
      </c>
      <c r="O14" s="1329" t="s">
        <v>84</v>
      </c>
      <c r="P14" s="1316"/>
      <c r="Q14" s="1316"/>
      <c r="R14" s="1316"/>
      <c r="S14" s="1307"/>
      <c r="T14" s="1316"/>
      <c r="U14" s="1316"/>
      <c r="V14" s="1316"/>
      <c r="W14" s="1316"/>
      <c r="X14" s="1316"/>
      <c r="Y14" s="1316"/>
    </row>
    <row r="15" spans="1:25" ht="45" x14ac:dyDescent="0.25">
      <c r="B15" s="1327"/>
      <c r="C15" s="1327"/>
      <c r="D15" s="932" t="s">
        <v>90</v>
      </c>
      <c r="E15" s="932" t="s">
        <v>91</v>
      </c>
      <c r="F15" s="932" t="s">
        <v>92</v>
      </c>
      <c r="G15" s="932" t="s">
        <v>90</v>
      </c>
      <c r="H15" s="932" t="s">
        <v>91</v>
      </c>
      <c r="I15" s="932" t="s">
        <v>93</v>
      </c>
      <c r="J15" s="932" t="s">
        <v>94</v>
      </c>
      <c r="K15" s="1327"/>
      <c r="L15" s="1327"/>
      <c r="M15" s="1327"/>
      <c r="N15" s="1327"/>
      <c r="O15" s="1330"/>
      <c r="P15" s="1316"/>
      <c r="Q15" s="1316"/>
      <c r="R15" s="1316"/>
      <c r="S15" s="1307"/>
      <c r="T15" s="1317"/>
      <c r="U15" s="1317"/>
      <c r="V15" s="1317"/>
      <c r="W15" s="1317"/>
      <c r="X15" s="1317"/>
      <c r="Y15" s="1317"/>
    </row>
    <row r="16" spans="1:25" x14ac:dyDescent="0.25">
      <c r="B16" s="933">
        <v>1</v>
      </c>
      <c r="C16" s="933">
        <v>2</v>
      </c>
      <c r="D16" s="934">
        <v>3</v>
      </c>
      <c r="E16" s="934">
        <v>4</v>
      </c>
      <c r="F16" s="934">
        <v>5</v>
      </c>
      <c r="G16" s="934">
        <v>6</v>
      </c>
      <c r="H16" s="934">
        <v>7</v>
      </c>
      <c r="I16" s="934">
        <v>8</v>
      </c>
      <c r="J16" s="934">
        <v>9</v>
      </c>
      <c r="K16" s="934">
        <v>10</v>
      </c>
      <c r="L16" s="933">
        <v>11</v>
      </c>
      <c r="M16" s="933">
        <v>12</v>
      </c>
      <c r="N16" s="934">
        <v>13</v>
      </c>
      <c r="O16" s="934">
        <v>14</v>
      </c>
      <c r="P16" s="934">
        <v>15</v>
      </c>
      <c r="Q16" s="934">
        <v>16</v>
      </c>
      <c r="R16" s="934">
        <v>17</v>
      </c>
      <c r="S16" s="964">
        <v>18</v>
      </c>
      <c r="T16" s="933">
        <v>19</v>
      </c>
      <c r="U16" s="933">
        <v>20</v>
      </c>
      <c r="V16" s="933">
        <v>21</v>
      </c>
      <c r="W16" s="933">
        <v>22</v>
      </c>
      <c r="X16" s="933">
        <v>23</v>
      </c>
      <c r="Y16" s="933">
        <v>24</v>
      </c>
    </row>
    <row r="17" spans="2:25" ht="60" x14ac:dyDescent="0.25">
      <c r="B17" s="975">
        <v>60144</v>
      </c>
      <c r="C17" s="982" t="s">
        <v>1374</v>
      </c>
      <c r="D17" s="967">
        <v>34</v>
      </c>
      <c r="E17" s="967">
        <v>4</v>
      </c>
      <c r="F17" s="967">
        <v>0</v>
      </c>
      <c r="G17" s="968">
        <f>ROUND((D17*G11),2)</f>
        <v>5.26</v>
      </c>
      <c r="H17" s="968">
        <f>ROUND((E17*H11),2)</f>
        <v>0.37</v>
      </c>
      <c r="I17" s="968">
        <f>ROUND((F17*I11),2)</f>
        <v>0</v>
      </c>
      <c r="J17" s="968">
        <f>ROUND(((H17+G17+I17)*J11),2)</f>
        <v>1.33</v>
      </c>
      <c r="K17" s="969">
        <v>11.465000932721711</v>
      </c>
      <c r="L17" s="968">
        <v>0.21049999999999999</v>
      </c>
      <c r="M17" s="968">
        <f>ROUND((G17+H17+I17)*M11,2)</f>
        <v>1.63</v>
      </c>
      <c r="N17" s="968">
        <f>ROUND((G17+H17+I17)*N11,2)</f>
        <v>0.18</v>
      </c>
      <c r="O17" s="970">
        <f>ROUND((G17+H17+I17)*O11,2)</f>
        <v>0.28000000000000003</v>
      </c>
      <c r="P17" s="971">
        <f>G17+H17+I17+J17+K17+L17+M17+N17+O17</f>
        <v>20.725500932721712</v>
      </c>
      <c r="Q17" s="967">
        <v>5</v>
      </c>
      <c r="R17" s="967">
        <f>130/Q17</f>
        <v>26</v>
      </c>
      <c r="S17" s="977">
        <f>P17*Q17*R17</f>
        <v>2694.3151212538228</v>
      </c>
      <c r="T17" s="967">
        <v>2</v>
      </c>
      <c r="U17" s="938">
        <f>P17*T17*R17</f>
        <v>1077.726048501529</v>
      </c>
      <c r="V17" s="967">
        <f>T17+1</f>
        <v>3</v>
      </c>
      <c r="W17" s="938">
        <f>P17*V17*R17</f>
        <v>1616.5890727522933</v>
      </c>
      <c r="X17" s="665">
        <f>V17+1</f>
        <v>4</v>
      </c>
      <c r="Y17" s="938">
        <f>P17*X17*R17</f>
        <v>2155.452097003058</v>
      </c>
    </row>
    <row r="18" spans="2:25" ht="15" customHeight="1" x14ac:dyDescent="0.25">
      <c r="T18" s="1318" t="s">
        <v>1375</v>
      </c>
      <c r="U18" s="1318"/>
      <c r="V18" s="1318"/>
      <c r="W18" s="1318"/>
      <c r="X18" s="1318"/>
      <c r="Y18" s="1318"/>
    </row>
    <row r="19" spans="2:25" x14ac:dyDescent="0.25">
      <c r="T19" s="1319"/>
      <c r="U19" s="1319"/>
      <c r="V19" s="1319"/>
      <c r="W19" s="1319"/>
      <c r="X19" s="1319"/>
      <c r="Y19" s="1319"/>
    </row>
    <row r="20" spans="2:25" ht="15" customHeight="1" x14ac:dyDescent="0.25">
      <c r="B20" s="1333" t="s">
        <v>946</v>
      </c>
      <c r="C20" s="1333"/>
      <c r="D20" s="1333"/>
      <c r="E20" s="1333"/>
      <c r="F20" s="1333"/>
      <c r="G20" s="1333"/>
    </row>
    <row r="21" spans="2:25" ht="15" customHeight="1" x14ac:dyDescent="0.25">
      <c r="B21" s="1333"/>
      <c r="C21" s="1333"/>
      <c r="D21" s="1333"/>
      <c r="E21" s="1333"/>
      <c r="F21" s="1333"/>
      <c r="G21" s="1333"/>
    </row>
    <row r="22" spans="2:25" x14ac:dyDescent="0.25">
      <c r="B22" s="1333"/>
      <c r="C22" s="1333"/>
      <c r="D22" s="1333"/>
      <c r="E22" s="1333"/>
      <c r="F22" s="1333"/>
      <c r="G22" s="1333"/>
    </row>
    <row r="23" spans="2:25" x14ac:dyDescent="0.25">
      <c r="B23" s="1333"/>
      <c r="C23" s="1333"/>
      <c r="D23" s="1333"/>
      <c r="E23" s="1333"/>
      <c r="F23" s="1333"/>
      <c r="G23" s="1333"/>
    </row>
    <row r="24" spans="2:25" x14ac:dyDescent="0.25">
      <c r="B24" s="1333"/>
      <c r="C24" s="1333"/>
      <c r="D24" s="1333"/>
      <c r="E24" s="1333"/>
      <c r="F24" s="1333"/>
      <c r="G24" s="1333"/>
    </row>
    <row r="25" spans="2:25" x14ac:dyDescent="0.25">
      <c r="B25" s="1333"/>
      <c r="C25" s="1333"/>
      <c r="D25" s="1333"/>
      <c r="E25" s="1333"/>
      <c r="F25" s="1333"/>
      <c r="G25" s="1333"/>
    </row>
    <row r="26" spans="2:25" x14ac:dyDescent="0.25">
      <c r="B26" s="1333"/>
      <c r="C26" s="1333"/>
      <c r="D26" s="1333"/>
      <c r="E26" s="1333"/>
      <c r="F26" s="1333"/>
      <c r="G26" s="1333"/>
    </row>
  </sheetData>
  <mergeCells count="34">
    <mergeCell ref="J9:J10"/>
    <mergeCell ref="M9:M10"/>
    <mergeCell ref="N9:N10"/>
    <mergeCell ref="T11:Y11"/>
    <mergeCell ref="Q12:S12"/>
    <mergeCell ref="T12:U12"/>
    <mergeCell ref="D13:K13"/>
    <mergeCell ref="L13:O13"/>
    <mergeCell ref="O14:O15"/>
    <mergeCell ref="M14:M15"/>
    <mergeCell ref="N14:N15"/>
    <mergeCell ref="K14:K15"/>
    <mergeCell ref="L14:L15"/>
    <mergeCell ref="U1:W1"/>
    <mergeCell ref="R2:W2"/>
    <mergeCell ref="O9:O10"/>
    <mergeCell ref="V12:W12"/>
    <mergeCell ref="X12:Y12"/>
    <mergeCell ref="Y13:Y15"/>
    <mergeCell ref="T18:Y19"/>
    <mergeCell ref="B20:G26"/>
    <mergeCell ref="T13:T15"/>
    <mergeCell ref="U13:U15"/>
    <mergeCell ref="V13:V15"/>
    <mergeCell ref="W13:W15"/>
    <mergeCell ref="X13:X15"/>
    <mergeCell ref="P13:P15"/>
    <mergeCell ref="Q13:Q15"/>
    <mergeCell ref="R13:R15"/>
    <mergeCell ref="S13:S15"/>
    <mergeCell ref="D14:F14"/>
    <mergeCell ref="G14:I14"/>
    <mergeCell ref="B13:B15"/>
    <mergeCell ref="C13:C15"/>
  </mergeCells>
  <pageMargins left="0.70866141732283472" right="0.70866141732283472" top="0.74803149606299213" bottom="0.74803149606299213" header="0.31496062992125984"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Kopā_valsts_budžets</vt:lpstr>
      <vt:lpstr>3.3.</vt:lpstr>
      <vt:lpstr>3.3.1.</vt:lpstr>
      <vt:lpstr>3.6.</vt:lpstr>
      <vt:lpstr>3.6.1.</vt:lpstr>
      <vt:lpstr>3.6.2.</vt:lpstr>
      <vt:lpstr>3.6.3.1.</vt:lpstr>
      <vt:lpstr>3.6.3.2.</vt:lpstr>
      <vt:lpstr>3.6.4.1.</vt:lpstr>
      <vt:lpstr>3.6.4.2.</vt:lpstr>
      <vt:lpstr>3.6.5.</vt:lpstr>
      <vt:lpstr>3.6.6.</vt:lpstr>
      <vt:lpstr>3.6.7.</vt:lpstr>
      <vt:lpstr>3.6.8.</vt:lpstr>
      <vt:lpstr>4.1.</vt:lpstr>
      <vt:lpstr>5.5.</vt:lpstr>
      <vt:lpstr>5.5.1.</vt:lpstr>
      <vt:lpstr>5.5.2.</vt:lpstr>
      <vt:lpstr>5.5.3.</vt:lpstr>
      <vt:lpstr>5.8.</vt:lpstr>
      <vt:lpstr>5.9.</vt:lpstr>
      <vt:lpstr>6.2.</vt:lpstr>
      <vt:lpstr>6.2.1.</vt:lpstr>
      <vt:lpstr>6.2.1.1.</vt:lpstr>
      <vt:lpstr>6.2.1.2.</vt:lpstr>
      <vt:lpstr>6.2.1.3.</vt:lpstr>
      <vt:lpstr>6.2.1.4.</vt:lpstr>
      <vt:lpstr>6.2.2.</vt:lpstr>
      <vt:lpstr>6.2.2.1.</vt:lpstr>
      <vt:lpstr>Sheet1</vt:lpstr>
      <vt:lpstr>Sheet2</vt:lpstr>
      <vt:lpstr>Sheet3</vt:lpstr>
      <vt:lpstr>Sheet4</vt:lpstr>
      <vt:lpstr>Sheet5</vt:lpstr>
      <vt:lpstr>Sheet6</vt:lpstr>
      <vt:lpstr>Sheet7</vt:lpstr>
      <vt:lpstr>Sheet8</vt:lpstr>
      <vt:lpstr>Sheet9</vt:lpstr>
      <vt:lpstr>Sheet10</vt:lpstr>
      <vt:lpstr>6.2.2.2.</vt:lpstr>
      <vt:lpstr>6.2.2.3.</vt:lpstr>
      <vt:lpstr>6.2.2.4.</vt:lpstr>
      <vt:lpstr>6.3.</vt:lpstr>
      <vt:lpstr>6.4.</vt:lpstr>
      <vt:lpstr>6.5.</vt:lpstr>
      <vt:lpstr>7.3.</vt:lpstr>
      <vt:lpstr>8.1.</vt:lpstr>
      <vt:lpstr>9.1.</vt:lpstr>
    </vt:vector>
  </TitlesOfParts>
  <Company>NVD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Kitija Irbe</dc:creator>
  <cp:lastModifiedBy>Anna Putāne</cp:lastModifiedBy>
  <cp:lastPrinted>2020-12-08T14:02:49Z</cp:lastPrinted>
  <dcterms:created xsi:type="dcterms:W3CDTF">2020-06-26T07:09:12Z</dcterms:created>
  <dcterms:modified xsi:type="dcterms:W3CDTF">2020-12-08T14:03:00Z</dcterms:modified>
</cp:coreProperties>
</file>