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Veselibas aprupes departaments\Veselibas aprupes organizacijas nodala\2.VAON\Psihiskā veselība\COVID_psihiskās veselības plāns 2021\Uz Valsts kanceleju\"/>
    </mc:Choice>
  </mc:AlternateContent>
  <xr:revisionPtr revIDLastSave="0" documentId="13_ncr:1_{0CDCEF41-DE8B-403D-8AB6-A56323F4E58F}" xr6:coauthVersionLast="45" xr6:coauthVersionMax="45" xr10:uidLastSave="{00000000-0000-0000-0000-000000000000}"/>
  <bookViews>
    <workbookView xWindow="-120" yWindow="-120" windowWidth="29040" windowHeight="14175" tabRatio="777" activeTab="13" xr2:uid="{00000000-000D-0000-FFFF-FFFF00000000}"/>
  </bookViews>
  <sheets>
    <sheet name="KOPSAVILKUMS" sheetId="16" r:id="rId1"/>
    <sheet name="1.1." sheetId="1" r:id="rId2"/>
    <sheet name="1.2." sheetId="2" r:id="rId3"/>
    <sheet name="1.3." sheetId="3" r:id="rId4"/>
    <sheet name="1.4." sheetId="4" r:id="rId5"/>
    <sheet name="1.5.1" sheetId="18" r:id="rId6"/>
    <sheet name="1.5.2." sheetId="19" r:id="rId7"/>
    <sheet name="2." sheetId="6" r:id="rId8"/>
    <sheet name="3.1.1." sheetId="8" r:id="rId9"/>
    <sheet name="3.1.2." sheetId="9" r:id="rId10"/>
    <sheet name="3.1.3." sheetId="17" r:id="rId11"/>
    <sheet name="3.1.4." sheetId="13" r:id="rId12"/>
    <sheet name="3.2." sheetId="15" r:id="rId13"/>
    <sheet name="4.1." sheetId="12" r:id="rId14"/>
  </sheets>
  <externalReferences>
    <externalReference r:id="rId15"/>
    <externalReference r:id="rId16"/>
    <externalReference r:id="rId17"/>
    <externalReference r:id="rId18"/>
    <externalReference r:id="rId19"/>
    <externalReference r:id="rId20"/>
    <externalReference r:id="rId21"/>
  </externalReferences>
  <definedNames>
    <definedName name="_1_2_d_NMP_lim" localSheetId="5">#REF!</definedName>
    <definedName name="_1_2_d_NMP_lim" localSheetId="6">#REF!</definedName>
    <definedName name="_1_2_d_NMP_lim">#REF!</definedName>
    <definedName name="aa" localSheetId="6">#REF!</definedName>
    <definedName name="aa">#REF!</definedName>
    <definedName name="_xlnm.Auto_Open" localSheetId="5">#REF!</definedName>
    <definedName name="_xlnm.Auto_Open">#REF!</definedName>
    <definedName name="b" localSheetId="5">#REF!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6">#REF!</definedName>
    <definedName name="bt">#REF!</definedName>
    <definedName name="BX" localSheetId="6">#REF!</definedName>
    <definedName name="BX">#REF!</definedName>
    <definedName name="CalendarYear" localSheetId="6">#REF!</definedName>
    <definedName name="CalendarYear">#REF!</definedName>
    <definedName name="ccc">#REF!</definedName>
    <definedName name="d">#REF!</definedName>
    <definedName name="D_Evija3">#REF!</definedName>
    <definedName name="DaysAndWeeks" localSheetId="5">{0,1,2,3,4,5,6} + {0;1;2;3;4;5}*7</definedName>
    <definedName name="DaysAndWeeks" localSheetId="6">{0,1,2,3,4,5,6} + {0;1;2;3;4;5}*7</definedName>
    <definedName name="DaysAndWeeks">{0,1,2,3,4,5,6} + {0;1;2;3;4;5}*7</definedName>
    <definedName name="de" localSheetId="5">#REF!</definedName>
    <definedName name="de" localSheetId="6">#REF!</definedName>
    <definedName name="de">#REF!</definedName>
    <definedName name="dff">#NAME?</definedName>
    <definedName name="DRGNAMES" localSheetId="5">#REF!</definedName>
    <definedName name="DRGNAMES" localSheetId="6">#REF!</definedName>
    <definedName name="DRGNAMES">#REF!</definedName>
    <definedName name="_xlnm.Print_Area" localSheetId="3">'1.3.'!$A$1:$I$44</definedName>
    <definedName name="_xlnm.Print_Area" localSheetId="6">'1.5.2.'!$A$1:$I$19</definedName>
    <definedName name="_xlnm.Print_Area" localSheetId="8">'3.1.1.'!$A$1:$L$8</definedName>
    <definedName name="_xlnm.Print_Area" localSheetId="9">'3.1.2.'!$A$1:$I$52</definedName>
    <definedName name="_xlnm.Print_Area" localSheetId="10">'3.1.3.'!$A$1:$M$55</definedName>
    <definedName name="e" localSheetId="5">#REF!</definedName>
    <definedName name="e">#REF!</definedName>
    <definedName name="ee" localSheetId="5">#REF!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 localSheetId="5">#REF!</definedName>
    <definedName name="izm.nos" localSheetId="6">#REF!</definedName>
    <definedName name="izm.nos">#REF!</definedName>
    <definedName name="izm.nos_1">[2]izm.posteni!$B$2:$B$216</definedName>
    <definedName name="jhg" localSheetId="5">#REF!</definedName>
    <definedName name="jhg" localSheetId="6">#REF!</definedName>
    <definedName name="jhg">#REF!</definedName>
    <definedName name="kk" localSheetId="5">#REF!</definedName>
    <definedName name="kk">#REF!</definedName>
    <definedName name="l" localSheetId="5">#REF!</definedName>
    <definedName name="l">#REF!</definedName>
    <definedName name="Limeni_7_9group">#REF!</definedName>
    <definedName name="mmm" hidden="1">[1]ZQZBC_PLN__04_03_10!#REF!</definedName>
    <definedName name="n" localSheetId="6">#REF!</definedName>
    <definedName name="n">#REF!</definedName>
    <definedName name="P_Dati_rikojums" localSheetId="6">#REF!</definedName>
    <definedName name="P_Dati_rikojums">#REF!</definedName>
    <definedName name="pp" localSheetId="6">#REF!</definedName>
    <definedName name="pp">#REF!</definedName>
    <definedName name="Recover">[3]Macro1!$A$80</definedName>
    <definedName name="Rikojums2222">[4]Macro1!$A$106</definedName>
    <definedName name="rr" localSheetId="5">#REF!</definedName>
    <definedName name="rr" localSheetId="6">#REF!</definedName>
    <definedName name="rr">#REF!</definedName>
    <definedName name="rt" localSheetId="5">#REF!</definedName>
    <definedName name="rt">#REF!</definedName>
    <definedName name="rty" localSheetId="5">#REF!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5">#REF!</definedName>
    <definedName name="Struktūrvien.kods" localSheetId="6">#REF!</definedName>
    <definedName name="Struktūrvien.kods">#REF!</definedName>
    <definedName name="Struktūrvien.kods_1">[2]strukturkodi!$A$2:$A$232</definedName>
    <definedName name="T13l6">[5]ATSKAITE_2v!#REF!</definedName>
    <definedName name="TableName">"Dummy"</definedName>
    <definedName name="TWO_LINKS">'[6]8.1.'!$C$5</definedName>
    <definedName name="ty" localSheetId="5">#REF!</definedName>
    <definedName name="ty" localSheetId="6">#REF!</definedName>
    <definedName name="ty">#REF!</definedName>
    <definedName name="tyuj" localSheetId="5">#REF!</definedName>
    <definedName name="tyuj">#REF!</definedName>
    <definedName name="u" localSheetId="5">#REF!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 localSheetId="5">#REF!</definedName>
    <definedName name="xxxx" localSheetId="6">#REF!</definedName>
    <definedName name="xxxx">#REF!</definedName>
    <definedName name="yuh" localSheetId="5">#REF!</definedName>
    <definedName name="yuh">#REF!</definedName>
    <definedName name="yyyy" localSheetId="5">#REF!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7" l="1"/>
  <c r="C8" i="17"/>
  <c r="D7" i="9"/>
  <c r="C7" i="9"/>
  <c r="C56" i="9"/>
  <c r="D56" i="9" s="1"/>
  <c r="H19" i="18" l="1"/>
  <c r="G19" i="18"/>
  <c r="C13" i="3"/>
  <c r="C52" i="4"/>
  <c r="B52" i="4"/>
  <c r="A52" i="4"/>
  <c r="B13" i="3"/>
  <c r="E6" i="6"/>
  <c r="D6" i="6"/>
  <c r="H12" i="15"/>
  <c r="G12" i="15"/>
  <c r="M10" i="16"/>
  <c r="D10" i="16"/>
  <c r="E10" i="16"/>
  <c r="F10" i="16"/>
  <c r="F37" i="3" l="1"/>
  <c r="E37" i="3"/>
  <c r="G30" i="3"/>
  <c r="F30" i="3"/>
  <c r="I21" i="3"/>
  <c r="H21" i="3"/>
  <c r="G30" i="4" l="1"/>
  <c r="F30" i="4"/>
  <c r="G31" i="4"/>
  <c r="F31" i="4" s="1"/>
  <c r="G28" i="4"/>
  <c r="O28" i="4"/>
  <c r="F29" i="4"/>
  <c r="F28" i="4"/>
  <c r="E36" i="3" l="1"/>
  <c r="F36" i="3" s="1"/>
  <c r="D35" i="3"/>
  <c r="D34" i="3"/>
  <c r="D33" i="3"/>
  <c r="E33" i="3" s="1"/>
  <c r="E28" i="3" l="1"/>
  <c r="C21" i="3" l="1"/>
  <c r="E35" i="3" l="1"/>
  <c r="E34" i="3"/>
  <c r="F34" i="3" s="1"/>
  <c r="F35" i="3" l="1"/>
  <c r="M9" i="16"/>
  <c r="M8" i="16"/>
  <c r="M7" i="16"/>
  <c r="G27" i="3"/>
  <c r="D27" i="3"/>
  <c r="F27" i="3" s="1"/>
  <c r="D29" i="3"/>
  <c r="D28" i="3"/>
  <c r="D26" i="3"/>
  <c r="D25" i="3"/>
  <c r="D24" i="3"/>
  <c r="E29" i="3"/>
  <c r="G29" i="3" s="1"/>
  <c r="G28" i="3"/>
  <c r="E26" i="3"/>
  <c r="G26" i="3" s="1"/>
  <c r="E25" i="3"/>
  <c r="G25" i="3" s="1"/>
  <c r="E24" i="3"/>
  <c r="G24" i="3" s="1"/>
  <c r="E20" i="3"/>
  <c r="E19" i="3"/>
  <c r="E18" i="3"/>
  <c r="F18" i="3" s="1"/>
  <c r="E17" i="3"/>
  <c r="G17" i="3" l="1"/>
  <c r="I17" i="3" s="1"/>
  <c r="F19" i="3"/>
  <c r="G19" i="3"/>
  <c r="F20" i="3"/>
  <c r="G20" i="3"/>
  <c r="F25" i="3"/>
  <c r="F28" i="3"/>
  <c r="F17" i="3"/>
  <c r="F29" i="3"/>
  <c r="F26" i="3"/>
  <c r="D30" i="3"/>
  <c r="E30" i="3"/>
  <c r="F24" i="3"/>
  <c r="G18" i="3"/>
  <c r="E21" i="3"/>
  <c r="H18" i="3" l="1"/>
  <c r="I18" i="3"/>
  <c r="H19" i="3"/>
  <c r="I19" i="3"/>
  <c r="H20" i="3"/>
  <c r="I20" i="3"/>
  <c r="F21" i="3"/>
  <c r="H17" i="3"/>
  <c r="G21" i="3"/>
  <c r="G15" i="16" l="1"/>
  <c r="H15" i="16"/>
  <c r="I15" i="16" s="1"/>
  <c r="J15" i="16" s="1"/>
  <c r="E7" i="16" l="1"/>
  <c r="F7" i="16"/>
  <c r="D7" i="16"/>
  <c r="H23" i="16"/>
  <c r="I23" i="16" s="1"/>
  <c r="J23" i="16" s="1"/>
  <c r="G23" i="16"/>
  <c r="H22" i="16"/>
  <c r="I22" i="16" s="1"/>
  <c r="J22" i="16" s="1"/>
  <c r="G22" i="16"/>
  <c r="H21" i="16"/>
  <c r="I21" i="16" s="1"/>
  <c r="J21" i="16" s="1"/>
  <c r="G21" i="16"/>
  <c r="G7" i="16" l="1"/>
  <c r="J20" i="16"/>
  <c r="J7" i="16"/>
  <c r="I7" i="16"/>
  <c r="H7" i="16"/>
  <c r="G20" i="16"/>
  <c r="I20" i="16"/>
  <c r="H20" i="16"/>
  <c r="F20" i="1"/>
  <c r="E20" i="1"/>
  <c r="D18" i="16" l="1"/>
  <c r="E18" i="16" s="1"/>
  <c r="F18" i="16" s="1"/>
  <c r="F19" i="18"/>
  <c r="F15" i="18"/>
  <c r="F16" i="18"/>
  <c r="F17" i="18"/>
  <c r="F18" i="18"/>
  <c r="F14" i="18"/>
  <c r="M25" i="16" l="1"/>
  <c r="M24" i="16" s="1"/>
  <c r="D13" i="16"/>
  <c r="E13" i="16" s="1"/>
  <c r="F13" i="16" s="1"/>
  <c r="M33" i="16"/>
  <c r="M11" i="16" s="1"/>
  <c r="M17" i="16"/>
  <c r="M12" i="16" s="1"/>
  <c r="M6" i="16" s="1"/>
  <c r="M20" i="16"/>
  <c r="M5" i="16" l="1"/>
  <c r="B19" i="18" l="1"/>
  <c r="D18" i="18"/>
  <c r="E18" i="18" s="1"/>
  <c r="C11" i="15" l="1"/>
  <c r="C10" i="15"/>
  <c r="D10" i="9"/>
  <c r="D10" i="15" l="1"/>
  <c r="F10" i="15"/>
  <c r="D11" i="15"/>
  <c r="F11" i="15"/>
  <c r="E5" i="6"/>
  <c r="K17" i="6"/>
  <c r="E17" i="6"/>
  <c r="F12" i="15" l="1"/>
  <c r="D32" i="16" s="1"/>
  <c r="E32" i="16" s="1"/>
  <c r="F32" i="16" s="1"/>
  <c r="E10" i="4"/>
  <c r="E12" i="4" s="1"/>
  <c r="G19" i="16" l="1"/>
  <c r="B11" i="6" l="1"/>
  <c r="D11" i="6" s="1"/>
  <c r="D15" i="18"/>
  <c r="E15" i="18" s="1"/>
  <c r="D16" i="18"/>
  <c r="E16" i="18" s="1"/>
  <c r="D17" i="18"/>
  <c r="E17" i="18" s="1"/>
  <c r="D14" i="18"/>
  <c r="E14" i="18" l="1"/>
  <c r="E19" i="18" s="1"/>
  <c r="D19" i="18"/>
  <c r="C46" i="4"/>
  <c r="C45" i="4"/>
  <c r="C44" i="4"/>
  <c r="J32" i="4"/>
  <c r="K32" i="4" s="1"/>
  <c r="N32" i="4" s="1"/>
  <c r="F32" i="4"/>
  <c r="G32" i="4" s="1"/>
  <c r="K31" i="4"/>
  <c r="N31" i="4" s="1"/>
  <c r="K30" i="4"/>
  <c r="N30" i="4" s="1"/>
  <c r="C47" i="4" l="1"/>
  <c r="N35" i="4" l="1"/>
  <c r="K35" i="4"/>
  <c r="G35" i="4"/>
  <c r="F24" i="4"/>
  <c r="G24" i="4" s="1"/>
  <c r="F12" i="2" l="1"/>
  <c r="K15" i="1"/>
  <c r="I11" i="1"/>
  <c r="I19" i="1"/>
  <c r="H10" i="1"/>
  <c r="E9" i="16" l="1"/>
  <c r="F9" i="16"/>
  <c r="G9" i="16"/>
  <c r="H9" i="16"/>
  <c r="I9" i="16"/>
  <c r="J9" i="16"/>
  <c r="D9" i="16"/>
  <c r="E8" i="16"/>
  <c r="F8" i="16"/>
  <c r="D8" i="16"/>
  <c r="E17" i="16" l="1"/>
  <c r="E12" i="16" s="1"/>
  <c r="F17" i="16"/>
  <c r="F12" i="16" s="1"/>
  <c r="D17" i="16"/>
  <c r="D12" i="16" s="1"/>
  <c r="G44" i="4" l="1"/>
  <c r="G19" i="19" l="1"/>
  <c r="E11" i="19"/>
  <c r="G11" i="19" l="1"/>
  <c r="E20" i="16"/>
  <c r="F20" i="16"/>
  <c r="D20" i="16"/>
  <c r="G33" i="16"/>
  <c r="H33" i="16"/>
  <c r="H11" i="16" s="1"/>
  <c r="I33" i="16"/>
  <c r="I11" i="16" s="1"/>
  <c r="G11" i="16"/>
  <c r="E31" i="16"/>
  <c r="F31" i="16" l="1"/>
  <c r="J31" i="16" s="1"/>
  <c r="J46" i="4"/>
  <c r="J45" i="4"/>
  <c r="J44" i="4"/>
  <c r="G45" i="4"/>
  <c r="G46" i="4"/>
  <c r="I47" i="4"/>
  <c r="F47" i="4"/>
  <c r="E47" i="4"/>
  <c r="D27" i="18"/>
  <c r="E27" i="18" s="1"/>
  <c r="G27" i="18" s="1"/>
  <c r="D26" i="18"/>
  <c r="E26" i="18" s="1"/>
  <c r="G26" i="18" s="1"/>
  <c r="C18" i="18" s="1"/>
  <c r="D25" i="18"/>
  <c r="E25" i="18" s="1"/>
  <c r="G25" i="18" s="1"/>
  <c r="D24" i="18"/>
  <c r="E24" i="18" s="1"/>
  <c r="G24" i="18" s="1"/>
  <c r="H18" i="18" l="1"/>
  <c r="C17" i="18"/>
  <c r="H17" i="18" s="1"/>
  <c r="G17" i="18" s="1"/>
  <c r="C15" i="18"/>
  <c r="H15" i="18" s="1"/>
  <c r="G15" i="18" s="1"/>
  <c r="C16" i="18"/>
  <c r="H16" i="18" s="1"/>
  <c r="G16" i="18" s="1"/>
  <c r="C14" i="18"/>
  <c r="C19" i="18" s="1"/>
  <c r="G47" i="4"/>
  <c r="H10" i="4"/>
  <c r="I10" i="4" s="1"/>
  <c r="F10" i="4"/>
  <c r="G10" i="4" s="1"/>
  <c r="G18" i="18" l="1"/>
  <c r="H14" i="18"/>
  <c r="H18" i="16" s="1"/>
  <c r="I18" i="16" s="1"/>
  <c r="I12" i="4"/>
  <c r="G12" i="4"/>
  <c r="J18" i="16" l="1"/>
  <c r="J17" i="16" s="1"/>
  <c r="I17" i="16"/>
  <c r="G14" i="18"/>
  <c r="G18" i="16" s="1"/>
  <c r="G17" i="16" s="1"/>
  <c r="I16" i="16"/>
  <c r="J16" i="16" s="1"/>
  <c r="H16" i="16"/>
  <c r="H17" i="16"/>
  <c r="F29" i="2"/>
  <c r="F28" i="2"/>
  <c r="F19" i="2"/>
  <c r="F18" i="2"/>
  <c r="D34" i="16" l="1"/>
  <c r="E34" i="16" s="1"/>
  <c r="E33" i="16" s="1"/>
  <c r="E11" i="16" s="1"/>
  <c r="F34" i="16" l="1"/>
  <c r="E53" i="17"/>
  <c r="G53" i="17" s="1"/>
  <c r="H53" i="17" s="1"/>
  <c r="I53" i="17" s="1"/>
  <c r="E52" i="17"/>
  <c r="G52" i="17" s="1"/>
  <c r="E51" i="17"/>
  <c r="G51" i="17" s="1"/>
  <c r="E50" i="17"/>
  <c r="G50" i="17" s="1"/>
  <c r="E49" i="17"/>
  <c r="G49" i="17" s="1"/>
  <c r="E48" i="17"/>
  <c r="G48" i="17" s="1"/>
  <c r="E47" i="17"/>
  <c r="G47" i="17" s="1"/>
  <c r="H47" i="17" s="1"/>
  <c r="I47" i="17" s="1"/>
  <c r="E46" i="17"/>
  <c r="G46" i="17" s="1"/>
  <c r="E45" i="17"/>
  <c r="G45" i="17" s="1"/>
  <c r="H45" i="17" s="1"/>
  <c r="E44" i="17"/>
  <c r="G44" i="17" s="1"/>
  <c r="E43" i="17"/>
  <c r="G43" i="17" s="1"/>
  <c r="E42" i="17"/>
  <c r="G42" i="17" s="1"/>
  <c r="E41" i="17"/>
  <c r="G41" i="17" s="1"/>
  <c r="E40" i="17"/>
  <c r="G40" i="17" s="1"/>
  <c r="H40" i="17" s="1"/>
  <c r="E39" i="17"/>
  <c r="G39" i="17" s="1"/>
  <c r="H39" i="17" s="1"/>
  <c r="E38" i="17"/>
  <c r="G38" i="17" s="1"/>
  <c r="E37" i="17"/>
  <c r="G37" i="17" s="1"/>
  <c r="E36" i="17"/>
  <c r="G36" i="17" s="1"/>
  <c r="E35" i="17"/>
  <c r="G35" i="17" s="1"/>
  <c r="E34" i="17"/>
  <c r="G34" i="17" s="1"/>
  <c r="E33" i="17"/>
  <c r="G33" i="17" s="1"/>
  <c r="E32" i="17"/>
  <c r="G32" i="17" s="1"/>
  <c r="H32" i="17" s="1"/>
  <c r="E31" i="17"/>
  <c r="G31" i="17" s="1"/>
  <c r="H31" i="17" s="1"/>
  <c r="E30" i="17"/>
  <c r="G30" i="17" s="1"/>
  <c r="E29" i="17"/>
  <c r="G29" i="17" s="1"/>
  <c r="H29" i="17" s="1"/>
  <c r="E28" i="17"/>
  <c r="G28" i="17" s="1"/>
  <c r="E27" i="17"/>
  <c r="G27" i="17" s="1"/>
  <c r="E26" i="17"/>
  <c r="G26" i="17" s="1"/>
  <c r="E25" i="17"/>
  <c r="G25" i="17" s="1"/>
  <c r="E24" i="17"/>
  <c r="G24" i="17" s="1"/>
  <c r="H24" i="17" s="1"/>
  <c r="E23" i="17"/>
  <c r="G23" i="17" s="1"/>
  <c r="E22" i="17"/>
  <c r="G22" i="17" s="1"/>
  <c r="E21" i="17"/>
  <c r="G21" i="17" s="1"/>
  <c r="H21" i="17" s="1"/>
  <c r="E20" i="17"/>
  <c r="G20" i="17" s="1"/>
  <c r="E19" i="17"/>
  <c r="G19" i="17" s="1"/>
  <c r="E18" i="17"/>
  <c r="G18" i="17" s="1"/>
  <c r="E17" i="17"/>
  <c r="G17" i="17" s="1"/>
  <c r="E16" i="17"/>
  <c r="G16" i="17" s="1"/>
  <c r="H16" i="17" s="1"/>
  <c r="E15" i="17"/>
  <c r="G15" i="17" s="1"/>
  <c r="D13" i="17"/>
  <c r="D19" i="17" s="1"/>
  <c r="H15" i="17" l="1"/>
  <c r="I15" i="17" s="1"/>
  <c r="D52" i="17"/>
  <c r="D33" i="17"/>
  <c r="D42" i="17"/>
  <c r="D48" i="17"/>
  <c r="D28" i="17"/>
  <c r="F33" i="16"/>
  <c r="J34" i="16"/>
  <c r="J33" i="16" s="1"/>
  <c r="J11" i="16" s="1"/>
  <c r="H46" i="17"/>
  <c r="I46" i="17" s="1"/>
  <c r="D49" i="17"/>
  <c r="D20" i="17"/>
  <c r="D17" i="17"/>
  <c r="D26" i="17"/>
  <c r="D35" i="17"/>
  <c r="D44" i="17"/>
  <c r="D50" i="17"/>
  <c r="D25" i="17"/>
  <c r="D34" i="17"/>
  <c r="D43" i="17"/>
  <c r="D18" i="17"/>
  <c r="D27" i="17"/>
  <c r="D36" i="17"/>
  <c r="D41" i="17"/>
  <c r="D51" i="17"/>
  <c r="H27" i="17"/>
  <c r="I27" i="17" s="1"/>
  <c r="H36" i="17"/>
  <c r="I36" i="17" s="1"/>
  <c r="H51" i="17"/>
  <c r="I51" i="17" s="1"/>
  <c r="H19" i="17"/>
  <c r="I19" i="17" s="1"/>
  <c r="J19" i="17" s="1"/>
  <c r="K19" i="17" s="1"/>
  <c r="L19" i="17" s="1"/>
  <c r="H28" i="17"/>
  <c r="I28" i="17" s="1"/>
  <c r="H20" i="17"/>
  <c r="I20" i="17" s="1"/>
  <c r="H43" i="17"/>
  <c r="I43" i="17" s="1"/>
  <c r="H35" i="17"/>
  <c r="I35" i="17" s="1"/>
  <c r="H44" i="17"/>
  <c r="I44" i="17" s="1"/>
  <c r="H49" i="17"/>
  <c r="I49" i="17" s="1"/>
  <c r="J49" i="17" s="1"/>
  <c r="K49" i="17" s="1"/>
  <c r="L49" i="17" s="1"/>
  <c r="H22" i="17"/>
  <c r="I22" i="17" s="1"/>
  <c r="H30" i="17"/>
  <c r="I30" i="17" s="1"/>
  <c r="H38" i="17"/>
  <c r="I38" i="17" s="1"/>
  <c r="H52" i="17"/>
  <c r="I52" i="17" s="1"/>
  <c r="J52" i="17" s="1"/>
  <c r="K52" i="17" s="1"/>
  <c r="L52" i="17" s="1"/>
  <c r="I16" i="17"/>
  <c r="H18" i="17"/>
  <c r="I18" i="17" s="1"/>
  <c r="I24" i="17"/>
  <c r="H26" i="17"/>
  <c r="I26" i="17" s="1"/>
  <c r="I32" i="17"/>
  <c r="H34" i="17"/>
  <c r="I34" i="17" s="1"/>
  <c r="I40" i="17"/>
  <c r="H42" i="17"/>
  <c r="I42" i="17" s="1"/>
  <c r="H50" i="17"/>
  <c r="H23" i="17"/>
  <c r="I23" i="17" s="1"/>
  <c r="H37" i="17"/>
  <c r="I37" i="17" s="1"/>
  <c r="H17" i="17"/>
  <c r="I17" i="17" s="1"/>
  <c r="I21" i="17"/>
  <c r="H25" i="17"/>
  <c r="I25" i="17" s="1"/>
  <c r="I29" i="17"/>
  <c r="I31" i="17"/>
  <c r="H33" i="17"/>
  <c r="I33" i="17" s="1"/>
  <c r="J33" i="17" s="1"/>
  <c r="K33" i="17" s="1"/>
  <c r="L33" i="17" s="1"/>
  <c r="I39" i="17"/>
  <c r="H41" i="17"/>
  <c r="I41" i="17" s="1"/>
  <c r="I45" i="17"/>
  <c r="H48" i="17"/>
  <c r="I48" i="17" s="1"/>
  <c r="D23" i="17"/>
  <c r="D47" i="17"/>
  <c r="J47" i="17" s="1"/>
  <c r="K47" i="17" s="1"/>
  <c r="L47" i="17" s="1"/>
  <c r="D22" i="17"/>
  <c r="D30" i="17"/>
  <c r="D38" i="17"/>
  <c r="D46" i="17"/>
  <c r="D53" i="17"/>
  <c r="J53" i="17" s="1"/>
  <c r="K53" i="17" s="1"/>
  <c r="L53" i="17" s="1"/>
  <c r="D16" i="17"/>
  <c r="D24" i="17"/>
  <c r="D32" i="17"/>
  <c r="D40" i="17"/>
  <c r="D15" i="17"/>
  <c r="D31" i="17"/>
  <c r="D39" i="17"/>
  <c r="D21" i="17"/>
  <c r="D29" i="17"/>
  <c r="D37" i="17"/>
  <c r="D45" i="17"/>
  <c r="H30" i="16" l="1"/>
  <c r="I50" i="17"/>
  <c r="J44" i="17"/>
  <c r="K44" i="17" s="1"/>
  <c r="L44" i="17" s="1"/>
  <c r="J16" i="17"/>
  <c r="K16" i="17" s="1"/>
  <c r="L16" i="17" s="1"/>
  <c r="J20" i="17"/>
  <c r="K20" i="17" s="1"/>
  <c r="L20" i="17" s="1"/>
  <c r="J48" i="17"/>
  <c r="K48" i="17" s="1"/>
  <c r="L48" i="17" s="1"/>
  <c r="J18" i="17"/>
  <c r="K18" i="17" s="1"/>
  <c r="L18" i="17" s="1"/>
  <c r="J42" i="17"/>
  <c r="K42" i="17" s="1"/>
  <c r="L42" i="17" s="1"/>
  <c r="J17" i="17"/>
  <c r="K17" i="17" s="1"/>
  <c r="L17" i="17" s="1"/>
  <c r="J26" i="17"/>
  <c r="K26" i="17" s="1"/>
  <c r="L26" i="17" s="1"/>
  <c r="J36" i="17"/>
  <c r="K36" i="17" s="1"/>
  <c r="L36" i="17" s="1"/>
  <c r="J40" i="17"/>
  <c r="K40" i="17" s="1"/>
  <c r="L40" i="17" s="1"/>
  <c r="J35" i="17"/>
  <c r="K35" i="17" s="1"/>
  <c r="L35" i="17" s="1"/>
  <c r="J34" i="17"/>
  <c r="K34" i="17" s="1"/>
  <c r="L34" i="17" s="1"/>
  <c r="J28" i="17"/>
  <c r="K28" i="17" s="1"/>
  <c r="L28" i="17" s="1"/>
  <c r="J27" i="17"/>
  <c r="K27" i="17" s="1"/>
  <c r="L27" i="17" s="1"/>
  <c r="J39" i="17"/>
  <c r="K39" i="17" s="1"/>
  <c r="L39" i="17" s="1"/>
  <c r="J25" i="17"/>
  <c r="K25" i="17" s="1"/>
  <c r="L25" i="17" s="1"/>
  <c r="J46" i="17"/>
  <c r="K46" i="17" s="1"/>
  <c r="L46" i="17" s="1"/>
  <c r="J50" i="17"/>
  <c r="J38" i="17"/>
  <c r="K38" i="17" s="1"/>
  <c r="L38" i="17" s="1"/>
  <c r="J45" i="17"/>
  <c r="K45" i="17" s="1"/>
  <c r="L45" i="17" s="1"/>
  <c r="J41" i="17"/>
  <c r="K41" i="17" s="1"/>
  <c r="L41" i="17" s="1"/>
  <c r="J51" i="17"/>
  <c r="K51" i="17" s="1"/>
  <c r="L51" i="17" s="1"/>
  <c r="J43" i="17"/>
  <c r="K43" i="17" s="1"/>
  <c r="L43" i="17" s="1"/>
  <c r="J31" i="17"/>
  <c r="K31" i="17" s="1"/>
  <c r="L31" i="17" s="1"/>
  <c r="J15" i="17"/>
  <c r="J29" i="17"/>
  <c r="K29" i="17" s="1"/>
  <c r="L29" i="17" s="1"/>
  <c r="J32" i="17"/>
  <c r="K32" i="17" s="1"/>
  <c r="L32" i="17" s="1"/>
  <c r="J30" i="17"/>
  <c r="K30" i="17" s="1"/>
  <c r="L30" i="17" s="1"/>
  <c r="J37" i="17"/>
  <c r="K37" i="17" s="1"/>
  <c r="L37" i="17" s="1"/>
  <c r="J22" i="17"/>
  <c r="K22" i="17" s="1"/>
  <c r="L22" i="17" s="1"/>
  <c r="J21" i="17"/>
  <c r="K21" i="17" s="1"/>
  <c r="L21" i="17" s="1"/>
  <c r="J24" i="17"/>
  <c r="K24" i="17" s="1"/>
  <c r="L24" i="17" s="1"/>
  <c r="J23" i="17"/>
  <c r="K23" i="17" s="1"/>
  <c r="L23" i="17" s="1"/>
  <c r="K50" i="17" l="1"/>
  <c r="L50" i="17" s="1"/>
  <c r="C59" i="17"/>
  <c r="D59" i="17" s="1"/>
  <c r="G30" i="16"/>
  <c r="I30" i="16"/>
  <c r="J54" i="17"/>
  <c r="K15" i="17"/>
  <c r="C7" i="17" s="1"/>
  <c r="G29" i="16" s="1"/>
  <c r="D26" i="16"/>
  <c r="R19" i="1"/>
  <c r="S19" i="1" s="1"/>
  <c r="I14" i="1"/>
  <c r="H14" i="1"/>
  <c r="H19" i="1"/>
  <c r="C9" i="17" l="1"/>
  <c r="J30" i="16"/>
  <c r="K54" i="17"/>
  <c r="L15" i="17"/>
  <c r="D25" i="16"/>
  <c r="M19" i="1"/>
  <c r="L54" i="17" l="1"/>
  <c r="D7" i="17"/>
  <c r="N19" i="1"/>
  <c r="P19" i="1" s="1"/>
  <c r="F26" i="16"/>
  <c r="F11" i="16" s="1"/>
  <c r="E25" i="16"/>
  <c r="E24" i="16" s="1"/>
  <c r="O19" i="1"/>
  <c r="H29" i="16" l="1"/>
  <c r="I29" i="16" s="1"/>
  <c r="J29" i="16" s="1"/>
  <c r="D9" i="17"/>
  <c r="U19" i="1"/>
  <c r="T19" i="1"/>
  <c r="E6" i="16"/>
  <c r="E5" i="16" s="1"/>
  <c r="F25" i="16"/>
  <c r="F24" i="16" s="1"/>
  <c r="F6" i="16" l="1"/>
  <c r="F5" i="16" s="1"/>
  <c r="D24" i="16"/>
  <c r="D6" i="16" s="1"/>
  <c r="D33" i="16" l="1"/>
  <c r="D11" i="16" s="1"/>
  <c r="D12" i="6"/>
  <c r="R31" i="6" s="1"/>
  <c r="D5" i="16" l="1"/>
  <c r="F35" i="2" l="1"/>
  <c r="F25" i="2"/>
  <c r="P35" i="2" l="1"/>
  <c r="I35" i="2"/>
  <c r="O35" i="2"/>
  <c r="N35" i="2"/>
  <c r="P25" i="2"/>
  <c r="O25" i="2"/>
  <c r="I25" i="2"/>
  <c r="N25" i="2"/>
  <c r="Q35" i="2" l="1"/>
  <c r="Q25" i="2"/>
  <c r="F13" i="2"/>
  <c r="G28" i="16" l="1"/>
  <c r="R18" i="1"/>
  <c r="S18" i="1" s="1"/>
  <c r="I18" i="1"/>
  <c r="H18" i="1"/>
  <c r="R17" i="1"/>
  <c r="S17" i="1" s="1"/>
  <c r="I17" i="1"/>
  <c r="H17" i="1"/>
  <c r="R16" i="1"/>
  <c r="S16" i="1" s="1"/>
  <c r="I16" i="1"/>
  <c r="H16" i="1"/>
  <c r="R15" i="1"/>
  <c r="S15" i="1" s="1"/>
  <c r="L15" i="1"/>
  <c r="R14" i="1"/>
  <c r="S14" i="1" s="1"/>
  <c r="R13" i="1"/>
  <c r="S13" i="1" s="1"/>
  <c r="I13" i="1"/>
  <c r="H13" i="1"/>
  <c r="R12" i="1"/>
  <c r="S12" i="1" s="1"/>
  <c r="I12" i="1"/>
  <c r="H12" i="1"/>
  <c r="R11" i="1"/>
  <c r="S11" i="1" s="1"/>
  <c r="H11" i="1"/>
  <c r="R10" i="1"/>
  <c r="S10" i="1" s="1"/>
  <c r="J10" i="1"/>
  <c r="G10" i="16" l="1"/>
  <c r="H28" i="16"/>
  <c r="M10" i="1"/>
  <c r="O10" i="1" s="1"/>
  <c r="M11" i="1"/>
  <c r="M12" i="1"/>
  <c r="M13" i="1"/>
  <c r="M14" i="1"/>
  <c r="M15" i="1"/>
  <c r="M16" i="1"/>
  <c r="M17" i="1"/>
  <c r="M18" i="1"/>
  <c r="I28" i="16" l="1"/>
  <c r="H10" i="16"/>
  <c r="N17" i="1"/>
  <c r="P17" i="1" s="1"/>
  <c r="N14" i="1"/>
  <c r="P14" i="1" s="1"/>
  <c r="N15" i="1"/>
  <c r="P15" i="1" s="1"/>
  <c r="N12" i="1"/>
  <c r="P12" i="1" s="1"/>
  <c r="N11" i="1"/>
  <c r="P11" i="1" s="1"/>
  <c r="T16" i="1"/>
  <c r="N16" i="1"/>
  <c r="P16" i="1" s="1"/>
  <c r="N13" i="1"/>
  <c r="P13" i="1" s="1"/>
  <c r="N18" i="1"/>
  <c r="P18" i="1" s="1"/>
  <c r="N10" i="1"/>
  <c r="P10" i="1" s="1"/>
  <c r="T10" i="1"/>
  <c r="O13" i="1"/>
  <c r="T13" i="1" s="1"/>
  <c r="O12" i="1"/>
  <c r="U12" i="1" s="1"/>
  <c r="O17" i="1"/>
  <c r="O15" i="1"/>
  <c r="T15" i="1" s="1"/>
  <c r="O11" i="1"/>
  <c r="T11" i="1" s="1"/>
  <c r="O16" i="1"/>
  <c r="O18" i="1"/>
  <c r="T18" i="1" s="1"/>
  <c r="O14" i="1"/>
  <c r="T14" i="1" s="1"/>
  <c r="E11" i="15"/>
  <c r="E10" i="15"/>
  <c r="J28" i="16" l="1"/>
  <c r="I10" i="16"/>
  <c r="T12" i="1"/>
  <c r="U10" i="1"/>
  <c r="U17" i="1"/>
  <c r="U14" i="1"/>
  <c r="U18" i="1"/>
  <c r="U15" i="1"/>
  <c r="U11" i="1"/>
  <c r="T17" i="1"/>
  <c r="U13" i="1"/>
  <c r="U16" i="1"/>
  <c r="H10" i="15"/>
  <c r="G10" i="15"/>
  <c r="G11" i="15"/>
  <c r="H11" i="15"/>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J10" i="16" l="1"/>
  <c r="T20" i="1"/>
  <c r="G13" i="16" s="1"/>
  <c r="U20" i="1"/>
  <c r="H32" i="16"/>
  <c r="G32" i="16"/>
  <c r="E12" i="9"/>
  <c r="F12" i="9" s="1"/>
  <c r="E13" i="9"/>
  <c r="F13" i="9" s="1"/>
  <c r="E14" i="9"/>
  <c r="F14" i="9" s="1"/>
  <c r="E15" i="9"/>
  <c r="F15" i="9" s="1"/>
  <c r="E16" i="9"/>
  <c r="F16" i="9" s="1"/>
  <c r="E17" i="9"/>
  <c r="F17" i="9" s="1"/>
  <c r="E18" i="9"/>
  <c r="F18" i="9" s="1"/>
  <c r="E19" i="9"/>
  <c r="F19" i="9" s="1"/>
  <c r="E20" i="9"/>
  <c r="F20" i="9" s="1"/>
  <c r="E21" i="9"/>
  <c r="F21" i="9" s="1"/>
  <c r="E22" i="9"/>
  <c r="F22" i="9" s="1"/>
  <c r="E23" i="9"/>
  <c r="F23" i="9" s="1"/>
  <c r="E24" i="9"/>
  <c r="F24" i="9" s="1"/>
  <c r="E25" i="9"/>
  <c r="F25" i="9" s="1"/>
  <c r="E26" i="9"/>
  <c r="F26" i="9" s="1"/>
  <c r="E27" i="9"/>
  <c r="F27" i="9" s="1"/>
  <c r="E28" i="9"/>
  <c r="F28" i="9" s="1"/>
  <c r="E29" i="9"/>
  <c r="F29" i="9" s="1"/>
  <c r="E30" i="9"/>
  <c r="F30" i="9" s="1"/>
  <c r="E31" i="9"/>
  <c r="F31" i="9" s="1"/>
  <c r="E32" i="9"/>
  <c r="F32" i="9" s="1"/>
  <c r="E33" i="9"/>
  <c r="F33" i="9" s="1"/>
  <c r="E34" i="9"/>
  <c r="F34" i="9" s="1"/>
  <c r="E35" i="9"/>
  <c r="F35" i="9" s="1"/>
  <c r="E36" i="9"/>
  <c r="F36" i="9" s="1"/>
  <c r="E37" i="9"/>
  <c r="F37" i="9" s="1"/>
  <c r="E38" i="9"/>
  <c r="F38" i="9" s="1"/>
  <c r="E39" i="9"/>
  <c r="F39" i="9" s="1"/>
  <c r="E40" i="9"/>
  <c r="F40" i="9" s="1"/>
  <c r="E41" i="9"/>
  <c r="F41" i="9" s="1"/>
  <c r="E42" i="9"/>
  <c r="F42" i="9" s="1"/>
  <c r="E43" i="9"/>
  <c r="F43" i="9" s="1"/>
  <c r="E44" i="9"/>
  <c r="F44" i="9" s="1"/>
  <c r="E45" i="9"/>
  <c r="F45" i="9" s="1"/>
  <c r="E46" i="9"/>
  <c r="F46" i="9" s="1"/>
  <c r="E47" i="9"/>
  <c r="F47" i="9" s="1"/>
  <c r="E48" i="9"/>
  <c r="F48" i="9" s="1"/>
  <c r="E49" i="9"/>
  <c r="F49" i="9" s="1"/>
  <c r="E50" i="9"/>
  <c r="F50" i="9" s="1"/>
  <c r="J13" i="16" l="1"/>
  <c r="I13" i="16"/>
  <c r="H13" i="16"/>
  <c r="G42" i="9"/>
  <c r="H42" i="9"/>
  <c r="G34" i="9"/>
  <c r="H34" i="9"/>
  <c r="G26" i="9"/>
  <c r="H26" i="9"/>
  <c r="G18" i="9"/>
  <c r="H18" i="9"/>
  <c r="G41" i="9"/>
  <c r="H41" i="9"/>
  <c r="G33" i="9"/>
  <c r="H33" i="9"/>
  <c r="G25" i="9"/>
  <c r="H25" i="9"/>
  <c r="G17" i="9"/>
  <c r="H17" i="9"/>
  <c r="G40" i="9"/>
  <c r="H40" i="9"/>
  <c r="G32" i="9"/>
  <c r="H32" i="9"/>
  <c r="G24" i="9"/>
  <c r="H24" i="9"/>
  <c r="G16" i="9"/>
  <c r="H16" i="9"/>
  <c r="G48" i="9"/>
  <c r="H48" i="9"/>
  <c r="G39" i="9"/>
  <c r="H39" i="9"/>
  <c r="G31" i="9"/>
  <c r="H31" i="9"/>
  <c r="G23" i="9"/>
  <c r="H23" i="9"/>
  <c r="G15" i="9"/>
  <c r="H15" i="9"/>
  <c r="G46" i="9"/>
  <c r="H46" i="9"/>
  <c r="G38" i="9"/>
  <c r="H38" i="9"/>
  <c r="G30" i="9"/>
  <c r="H30" i="9"/>
  <c r="G22" i="9"/>
  <c r="H22" i="9"/>
  <c r="G14" i="9"/>
  <c r="H14" i="9"/>
  <c r="G49" i="9"/>
  <c r="H49" i="9"/>
  <c r="G37" i="9"/>
  <c r="H37" i="9"/>
  <c r="G29" i="9"/>
  <c r="H29" i="9"/>
  <c r="G21" i="9"/>
  <c r="H21" i="9"/>
  <c r="G13" i="9"/>
  <c r="H13" i="9"/>
  <c r="G45" i="9"/>
  <c r="H45" i="9"/>
  <c r="G36" i="9"/>
  <c r="H36" i="9"/>
  <c r="G28" i="9"/>
  <c r="H28" i="9"/>
  <c r="G20" i="9"/>
  <c r="H20" i="9"/>
  <c r="G12" i="9"/>
  <c r="H12" i="9"/>
  <c r="G47" i="9"/>
  <c r="H47" i="9"/>
  <c r="G44" i="9"/>
  <c r="H44" i="9"/>
  <c r="G50" i="9"/>
  <c r="H50" i="9"/>
  <c r="G43" i="9"/>
  <c r="H43" i="9"/>
  <c r="G35" i="9"/>
  <c r="H35" i="9"/>
  <c r="G27" i="9"/>
  <c r="H27" i="9"/>
  <c r="G19" i="9"/>
  <c r="H19" i="9"/>
  <c r="I32" i="16"/>
  <c r="D6" i="9" l="1"/>
  <c r="H51" i="9"/>
  <c r="C6" i="9"/>
  <c r="G51" i="9"/>
  <c r="J32" i="16"/>
  <c r="J31" i="6"/>
  <c r="H25" i="6"/>
  <c r="G25" i="6"/>
  <c r="F25" i="6"/>
  <c r="H31" i="6" s="1"/>
  <c r="G27" i="16" l="1"/>
  <c r="G25" i="16" s="1"/>
  <c r="G24" i="16" s="1"/>
  <c r="C8" i="9"/>
  <c r="H27" i="16"/>
  <c r="D8" i="9"/>
  <c r="F31" i="6"/>
  <c r="G31" i="6"/>
  <c r="I27" i="16" l="1"/>
  <c r="H25" i="16"/>
  <c r="H24" i="16" s="1"/>
  <c r="P31" i="6"/>
  <c r="O31" i="6"/>
  <c r="N31" i="6"/>
  <c r="I31" i="6"/>
  <c r="J27" i="16" l="1"/>
  <c r="J25" i="16" s="1"/>
  <c r="J24" i="16" s="1"/>
  <c r="I25" i="16"/>
  <c r="I24" i="16" s="1"/>
  <c r="Q31" i="6"/>
  <c r="S31" i="6" l="1"/>
  <c r="T31" i="6"/>
  <c r="B47" i="4"/>
  <c r="M36" i="4"/>
  <c r="N36" i="4" s="1"/>
  <c r="J36" i="4"/>
  <c r="K36" i="4" s="1"/>
  <c r="F36" i="4"/>
  <c r="L32" i="4"/>
  <c r="M32" i="4" s="1"/>
  <c r="I32" i="4"/>
  <c r="D32" i="4"/>
  <c r="L29" i="4"/>
  <c r="M29" i="4" s="1"/>
  <c r="I29" i="4"/>
  <c r="J29" i="4" s="1"/>
  <c r="D29" i="4"/>
  <c r="L28" i="4"/>
  <c r="M28" i="4" s="1"/>
  <c r="I28" i="4"/>
  <c r="J28" i="4" s="1"/>
  <c r="D28" i="4"/>
  <c r="F26" i="4"/>
  <c r="G26" i="4" s="1"/>
  <c r="M25" i="4"/>
  <c r="N25" i="4" s="1"/>
  <c r="J25" i="4"/>
  <c r="K25" i="4" s="1"/>
  <c r="F25" i="4"/>
  <c r="G25" i="4" s="1"/>
  <c r="M24" i="4"/>
  <c r="N24" i="4" s="1"/>
  <c r="J24" i="4"/>
  <c r="K24" i="4" s="1"/>
  <c r="B10" i="4"/>
  <c r="K28" i="4" l="1"/>
  <c r="N28" i="4" s="1"/>
  <c r="K29" i="4"/>
  <c r="G29" i="4"/>
  <c r="D10" i="4"/>
  <c r="D12" i="4" s="1"/>
  <c r="F34" i="4"/>
  <c r="G36" i="4"/>
  <c r="M34" i="4"/>
  <c r="K34" i="4"/>
  <c r="J34" i="4"/>
  <c r="N34" i="4"/>
  <c r="M27" i="4"/>
  <c r="J27" i="4"/>
  <c r="F23" i="4"/>
  <c r="M26" i="4"/>
  <c r="N26" i="4" s="1"/>
  <c r="J26" i="4"/>
  <c r="K26" i="4" s="1"/>
  <c r="F27" i="4" l="1"/>
  <c r="F37" i="4" s="1"/>
  <c r="F38" i="4" s="1"/>
  <c r="F39" i="4" s="1"/>
  <c r="N29" i="4"/>
  <c r="N27" i="4" s="1"/>
  <c r="N23" i="4"/>
  <c r="G34" i="4"/>
  <c r="G23" i="4"/>
  <c r="G27" i="4"/>
  <c r="M23" i="4"/>
  <c r="M37" i="4" s="1"/>
  <c r="M38" i="4" s="1"/>
  <c r="M39" i="4" s="1"/>
  <c r="K27" i="4"/>
  <c r="J23" i="4"/>
  <c r="J37" i="4" s="1"/>
  <c r="G37" i="4" l="1"/>
  <c r="N37" i="4"/>
  <c r="N38" i="4" s="1"/>
  <c r="K23" i="4"/>
  <c r="J38" i="4"/>
  <c r="J39" i="4" s="1"/>
  <c r="G38" i="4" l="1"/>
  <c r="K37" i="4"/>
  <c r="N39" i="4"/>
  <c r="C13" i="2"/>
  <c r="C12" i="2"/>
  <c r="G12" i="2" l="1"/>
  <c r="H12" i="2"/>
  <c r="H14" i="2" s="1"/>
  <c r="G13" i="2"/>
  <c r="H13" i="2"/>
  <c r="G39" i="4"/>
  <c r="D44" i="4" s="1"/>
  <c r="D46" i="4"/>
  <c r="K38" i="4"/>
  <c r="G14" i="2"/>
  <c r="G14" i="16" s="1"/>
  <c r="I14" i="16" l="1"/>
  <c r="I12" i="16" s="1"/>
  <c r="J14" i="16"/>
  <c r="J12" i="16" s="1"/>
  <c r="H14" i="16"/>
  <c r="H12" i="16" s="1"/>
  <c r="K39" i="4"/>
  <c r="A17" i="6"/>
  <c r="B17" i="6" s="1"/>
  <c r="D17" i="6" s="1"/>
  <c r="G17" i="6"/>
  <c r="H17" i="6" l="1"/>
  <c r="J17" i="6" s="1"/>
  <c r="D5" i="6"/>
  <c r="D45" i="4"/>
  <c r="N40" i="4"/>
  <c r="D47" i="4" l="1"/>
  <c r="H8" i="16" l="1"/>
  <c r="H6" i="16"/>
  <c r="H5" i="16" s="1"/>
  <c r="J8" i="16" l="1"/>
  <c r="I8" i="16"/>
  <c r="I6" i="16"/>
  <c r="I5" i="16" s="1"/>
  <c r="G16" i="16" l="1"/>
  <c r="J6" i="16"/>
  <c r="J5" i="16" s="1"/>
  <c r="G12" i="16" l="1"/>
  <c r="G6" i="16" s="1"/>
  <c r="G5" i="16" s="1"/>
  <c r="G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4" authorId="0" shapeId="0" xr:uid="{00000000-0006-0000-0A00-000001000000}">
      <text>
        <r>
          <rPr>
            <b/>
            <sz val="9"/>
            <color indexed="81"/>
            <rFont val="Tahoma"/>
            <family val="2"/>
            <charset val="204"/>
          </rPr>
          <t>Administrator:</t>
        </r>
        <r>
          <rPr>
            <sz val="9"/>
            <color indexed="81"/>
            <rFont val="Tahoma"/>
            <family val="2"/>
            <charset val="204"/>
          </rPr>
          <t xml:space="preserve">
ielikts psihiatra kabineta fiksētais maksājums.
</t>
        </r>
      </text>
    </comment>
  </commentList>
</comments>
</file>

<file path=xl/sharedStrings.xml><?xml version="1.0" encoding="utf-8"?>
<sst xmlns="http://schemas.openxmlformats.org/spreadsheetml/2006/main" count="961" uniqueCount="536">
  <si>
    <t>Iestādes nosaukums</t>
  </si>
  <si>
    <t>Kabineta veids</t>
  </si>
  <si>
    <t>Daugavpils psihoneiroloģiskā slimnīca, VSIA</t>
  </si>
  <si>
    <t>Bērnu klīniskā universitātes slimnīca, VSIA</t>
  </si>
  <si>
    <t>Rīgas psihiatrijas un narkoloģijas centrs, VSIA</t>
  </si>
  <si>
    <t>Strenču psihoneiroloģiskā slimnīca, SIA</t>
  </si>
  <si>
    <t>Slimnīca Ģintermuiža, VSIA</t>
  </si>
  <si>
    <t>Ārstniecības iestādes kods</t>
  </si>
  <si>
    <t>Plānotais pacientu skaits 2021.gadā</t>
  </si>
  <si>
    <t>Finansējums 2021.gadam, EUR</t>
  </si>
  <si>
    <t>KOPĀ</t>
  </si>
  <si>
    <t>Liepājas (esošā) filiāle</t>
  </si>
  <si>
    <t>ATTĪSTĪBA - Daugavpils filiāle</t>
  </si>
  <si>
    <t>ATTĪSTĪBA - Valmieras filiāle</t>
  </si>
  <si>
    <t>Izmaksu pozīcija</t>
  </si>
  <si>
    <t>mērvienība</t>
  </si>
  <si>
    <t xml:space="preserve"> Vienību skaits mēnesī </t>
  </si>
  <si>
    <t xml:space="preserve"> Vienību skaits SR kursā</t>
  </si>
  <si>
    <t>Komentārs</t>
  </si>
  <si>
    <t xml:space="preserve"> Vienas vienības izmaksas</t>
  </si>
  <si>
    <t>mēnesī</t>
  </si>
  <si>
    <t>EUR</t>
  </si>
  <si>
    <t>vienību skaits</t>
  </si>
  <si>
    <t>1.Tiešās  pakalpojuma nodrošināšanas izmaksas</t>
  </si>
  <si>
    <t>x</t>
  </si>
  <si>
    <t xml:space="preserve">Centra vadītājs </t>
  </si>
  <si>
    <t>slodzes</t>
  </si>
  <si>
    <t>Klientu lietu vadītājs (psihologs)</t>
  </si>
  <si>
    <t>Konsultāciju kabinetu noma/uzturēšana</t>
  </si>
  <si>
    <t>kabineti</t>
  </si>
  <si>
    <t xml:space="preserve">1 kabinets aptuveni 420 eur (īre, komunālie, uzkopšana). 1 kabinets uz maksimums 25 klientiem. (5 klienti dienā x 5 dienas).  </t>
  </si>
  <si>
    <t>Speciālistu konsultācijas Kategorija 1 (psihologs, atbalsta speciālists)</t>
  </si>
  <si>
    <t>skaits</t>
  </si>
  <si>
    <t>Speciālistu konsultācijas Kategorija 2 (psihoterapeits, psihiatrs, narkologs)</t>
  </si>
  <si>
    <t>Grupu nodarbības vecākiem</t>
  </si>
  <si>
    <t>Konsultācijas vecākiem</t>
  </si>
  <si>
    <t>Psihodiagnostika</t>
  </si>
  <si>
    <t xml:space="preserve">Vidēji vienam no 4 klientiem nepieciešama psihodiagnostika. </t>
  </si>
  <si>
    <t xml:space="preserve">2. Ar pilotprojekta pakalpojuma nodrošināšanu saistītās izmaksas </t>
  </si>
  <si>
    <t xml:space="preserve">2.1.Ar pakalpojuma nodrošināšanu saistītās izmaksas </t>
  </si>
  <si>
    <t>Izglītojošu info materiālu izstrāde/druka klientiem un viņu vecākiem</t>
  </si>
  <si>
    <t>reģions</t>
  </si>
  <si>
    <t xml:space="preserve">Atbalsta un informatīvie materiāli klientiem un viņu vecākiem, jaunu klientu uzrunāšanai, informēšanai </t>
  </si>
  <si>
    <t>Darbinieku kvalifikācijas celšana (mācības), grupu un individuālā supervīzija, mācību materiālu iegāde</t>
  </si>
  <si>
    <t>nodarbība</t>
  </si>
  <si>
    <t>3. Pakalpojuma izmaksas (1.+2.)****</t>
  </si>
  <si>
    <t xml:space="preserve">4. Administrēšanas izmaksas </t>
  </si>
  <si>
    <t>5. Izmaksas KOPĀ (3.+4.)</t>
  </si>
  <si>
    <t>Kopējais nepieciešamais finansējums trīs filiāļu atvēršanai</t>
  </si>
  <si>
    <t>2.tabula "Pakalpojumu apjoma palielināšana jauniešiem ar garastāvokļa un uzvedības traucējumiem un to seku mazināšanai reģionos"</t>
  </si>
  <si>
    <t>Liepāja</t>
  </si>
  <si>
    <t>Daugavpils</t>
  </si>
  <si>
    <t>Valmiera</t>
  </si>
  <si>
    <t>Gan individuālās, gan grupu supervīzijas, gan mācības u.c. kvalifikācijas celšanai nepieciešamās darbības un materiāli. Aprēķinā pieņemts, ka 1 darbiniekam nepieciešams vidēji 2 šāda tipa kvalifikācijas celšanas aktivitātes mēnesī. Aprēķinā pieņemts, ka kvalifikācijas celšanā piedalīsies 3.5 darbinieki - klienta lietas vadītāji un pakalpojumu vadītājs. 
Projekta izmaksu aprēķins: Vienas vienības izmaksas * 6 nodarbības*12 mēneši</t>
  </si>
  <si>
    <t>Budžeta programmas (apakšprogrammas) kods un nosaukums:</t>
  </si>
  <si>
    <t>33.14.00. "Primārās ambulatorās veselības aprūpes nodrošināšana"</t>
  </si>
  <si>
    <t>Primārā veselības aprūpe ar pamatadiagnozi pēc SSK-10 diagnozes kodi F00–F09, F10–F19, F20–F62, F63.0, F63.1–F99</t>
  </si>
  <si>
    <t xml:space="preserve">Apmeklējumu skaits </t>
  </si>
  <si>
    <t xml:space="preserve">Pacientu skaits </t>
  </si>
  <si>
    <t>Stiprināt esošajās slimnīcās strādājošo ārstniecības personu psihisko veselību</t>
  </si>
  <si>
    <t>Papildus slodzes apjoms 2021. gadā</t>
  </si>
  <si>
    <t>1.1.</t>
  </si>
  <si>
    <t>1.2.</t>
  </si>
  <si>
    <t xml:space="preserve">1. </t>
  </si>
  <si>
    <t>1.3.</t>
  </si>
  <si>
    <t>1.4.</t>
  </si>
  <si>
    <t>2.</t>
  </si>
  <si>
    <t>2.1.</t>
  </si>
  <si>
    <t>3.</t>
  </si>
  <si>
    <t>3.1.</t>
  </si>
  <si>
    <t>3.1.2.</t>
  </si>
  <si>
    <t>3.1.3.</t>
  </si>
  <si>
    <t>3.2.</t>
  </si>
  <si>
    <t>4.</t>
  </si>
  <si>
    <t>4.1.</t>
  </si>
  <si>
    <t>Izveidot ārstniecības iestādē psihiskās veselības aptaujas anketu, lai monitorētu ārstniecības personu psihisko veselību COVID-19 pandēmijas laikā</t>
  </si>
  <si>
    <t>Organizēt atbildīgos darbiniekus ārstniecības iestādē par ārstniecības personu psihiskās veselības stāvokļa monitorēšanu un procesa uzraudzību COVID-19 pandēmijas laikā</t>
  </si>
  <si>
    <t>Slimnīcu līmenis</t>
  </si>
  <si>
    <t>Ārstniecības iestādes nosaukums</t>
  </si>
  <si>
    <t>Slodzes</t>
  </si>
  <si>
    <t>Alga</t>
  </si>
  <si>
    <t>VSAI</t>
  </si>
  <si>
    <t>Kopā alga mēnesī</t>
  </si>
  <si>
    <t xml:space="preserve">V </t>
  </si>
  <si>
    <t>VSIA "Paula Stradiņa klīniskā universitātes slimnīca"</t>
  </si>
  <si>
    <t>SIA "Rīgas Austrumu klīniskā universitātes slimnīca"</t>
  </si>
  <si>
    <t>VSIA "Bērnu klīniskā universitātes slimnīca"</t>
  </si>
  <si>
    <t>IV</t>
  </si>
  <si>
    <t>SIA "Liepājas reģionālā slimnīca"</t>
  </si>
  <si>
    <t>SIA "Daugavpils reģionālā slimnīca"</t>
  </si>
  <si>
    <t>SIA "Ziemeļkurzemes reģionālā slimnīca"</t>
  </si>
  <si>
    <t>SIA "Jelgavas pilsētas slimnīca"</t>
  </si>
  <si>
    <t>SIA "Vidzemes slimnīca"</t>
  </si>
  <si>
    <t>SIA "Jēkabpils reģionālā slimnīca"</t>
  </si>
  <si>
    <t>SIA "Rēzeknes slimnīca"</t>
  </si>
  <si>
    <t>III</t>
  </si>
  <si>
    <t>Madonas novada pašvaldības SIA "Madonas slimnīca"</t>
  </si>
  <si>
    <t>SIA "Cēsu klīnika"</t>
  </si>
  <si>
    <t>SIA "Dobeles un apkārtnes slimnīca"</t>
  </si>
  <si>
    <t>SIA "Jūrmalas slimnīca"</t>
  </si>
  <si>
    <t>SIA "Ogres rajona slimnīca"</t>
  </si>
  <si>
    <t>SIA "Balvu un Gulbenes slimnīcu apvienība"</t>
  </si>
  <si>
    <t>SIA "Kuldīgas slimnīca"</t>
  </si>
  <si>
    <t>II</t>
  </si>
  <si>
    <t>SIA "Alūksnes slimnīca"</t>
  </si>
  <si>
    <t>Spec</t>
  </si>
  <si>
    <t>VSIA "Rīgas psihiatrijas un narkoloģijas centrs"</t>
  </si>
  <si>
    <t>VSIA "Bērnu psihoneiroloģiskā slimnīca "Ainaži""</t>
  </si>
  <si>
    <t>VSIA "Piejūras slimnīca"</t>
  </si>
  <si>
    <t>VSIA "Slimnīca "Ģintermuiža""</t>
  </si>
  <si>
    <t>VSIA "Strenču psihoneiroloģiskā slimnīca"</t>
  </si>
  <si>
    <t>Bērnu psihiatrs</t>
  </si>
  <si>
    <t>Psihiatrs</t>
  </si>
  <si>
    <t>Vidēji mēnesī</t>
  </si>
  <si>
    <t>Skaits</t>
  </si>
  <si>
    <t>Manipulācijas aprēķins</t>
  </si>
  <si>
    <t>Manipulācijas nosaukums</t>
  </si>
  <si>
    <t>Medikamenti</t>
  </si>
  <si>
    <t>Materiāli</t>
  </si>
  <si>
    <t>Tarifs, euro</t>
  </si>
  <si>
    <t>(piemaksājamā manipulācija par darbu ar psihiskiem uzvedības traucējumiem, līdzīgi kā SCORE)</t>
  </si>
  <si>
    <t>SIA "Preiļu slminīca"</t>
  </si>
  <si>
    <t>SIA "Tukuma slimnīca"</t>
  </si>
  <si>
    <t>SIA "Krāslavas slimnīca"</t>
  </si>
  <si>
    <t>I</t>
  </si>
  <si>
    <t>Līvānu novada domes pašvaldības SIA "Līvānu slimnīca"</t>
  </si>
  <si>
    <t>SIA "Aizkraukles slimnīca"</t>
  </si>
  <si>
    <t>SIA "Bauskas slimnīca"</t>
  </si>
  <si>
    <t>SIA "Limbažu slimnīca"</t>
  </si>
  <si>
    <t>SIA "Ludzas medicīnas centrs"</t>
  </si>
  <si>
    <t>V Spec</t>
  </si>
  <si>
    <t>VSIA "Traumatoloģijas un ortopēdijas slimnīca"</t>
  </si>
  <si>
    <t>SIA "Rīgas Dzemdību nams"</t>
  </si>
  <si>
    <t>VSIA "Nacionālais rehabilitācijas centrs "Vaivari""</t>
  </si>
  <si>
    <t>SIA "Rīgas 2. slimnīca"</t>
  </si>
  <si>
    <t>SIA "Siguldas slimnīca"</t>
  </si>
  <si>
    <t xml:space="preserve">Pārējās </t>
  </si>
  <si>
    <t>SIA "Saldus medicīnas centrs"</t>
  </si>
  <si>
    <t>SIA "Priekules slimnīca"</t>
  </si>
  <si>
    <t>Apmācāmie darbinieki</t>
  </si>
  <si>
    <t>VSIA "Daugavpils psihoneiroloģiskā slimnīca" (t.sk. VSIA ""Aknīstes psihoneiroloģiskā slimnīca"")</t>
  </si>
  <si>
    <t>Neatliekamās medicīniskās palīdzības dienests</t>
  </si>
  <si>
    <t>Kabinetu skaits papildus</t>
  </si>
  <si>
    <t>-</t>
  </si>
  <si>
    <t>Psihologa kabinets</t>
  </si>
  <si>
    <t>Psihiatra kabinets</t>
  </si>
  <si>
    <t>psihologa/ psihoterapeita kabinets</t>
  </si>
  <si>
    <t>māsas kabinets psihiatrijā</t>
  </si>
  <si>
    <t>Psihiatrijas kabinets</t>
  </si>
  <si>
    <t>Funkcinālā speciālista kabinets</t>
  </si>
  <si>
    <t>Darba samaksa ārstam, euro</t>
  </si>
  <si>
    <t>Darba samaksa māsai, euro</t>
  </si>
  <si>
    <t>Darba samaksa jaunākajam personālam, euro</t>
  </si>
  <si>
    <t>Valsts sociālās apdrošināšanas obligātās iemaksas, %</t>
  </si>
  <si>
    <t xml:space="preserve">Pieskaitāmās un netiešās ražošanas izmaksas </t>
  </si>
  <si>
    <t xml:space="preserve">Administratīvās izmaksas </t>
  </si>
  <si>
    <t xml:space="preserve">Pārējo pamatlīdzekļu amortizācija </t>
  </si>
  <si>
    <t>Mēneša darba samaksa</t>
  </si>
  <si>
    <t>1 minūtes vērtība darba samaksai</t>
  </si>
  <si>
    <t>Koeficienti</t>
  </si>
  <si>
    <t>Manipulācijas kods</t>
  </si>
  <si>
    <t>Mainīgās izmaksas</t>
  </si>
  <si>
    <t>Darba laiks (minūtes)</t>
  </si>
  <si>
    <t>Darba samaksa D, euro</t>
  </si>
  <si>
    <t>Valsts sociālās adrošināšanas obligātās iemaksas S, euro</t>
  </si>
  <si>
    <t>Ārstniecības līdzekļi M, euro</t>
  </si>
  <si>
    <t>Iekārtu amortizācija N, euro</t>
  </si>
  <si>
    <t>Pieskaitāmās un netiešās ražošanas izmaksas U, euro</t>
  </si>
  <si>
    <t>Administratīvās izmaksas A, euro</t>
  </si>
  <si>
    <t>Pārējo pamatlīdzekļu amortizācija n, euro</t>
  </si>
  <si>
    <t>ārstam</t>
  </si>
  <si>
    <t>māsai</t>
  </si>
  <si>
    <t>jaunākajam personālām</t>
  </si>
  <si>
    <t>jaunākajam personālam</t>
  </si>
  <si>
    <t>ārstam, māsai un jaunākajam personālām kopā</t>
  </si>
  <si>
    <t>M kopā</t>
  </si>
  <si>
    <t>10 = 11 + 12</t>
  </si>
  <si>
    <t xml:space="preserve">JAUNS </t>
  </si>
  <si>
    <t>Vienas konsutlācijas izmaksas, EUR</t>
  </si>
  <si>
    <t>Pakalpojuma daļa</t>
  </si>
  <si>
    <t>Kopā</t>
  </si>
  <si>
    <t>KOPĀ:</t>
  </si>
  <si>
    <t>1.1. Fiksētās izmaksas kopā</t>
  </si>
  <si>
    <t>1.2. Mainīgās izmaksas kopā</t>
  </si>
  <si>
    <t>2021.g. alga, EUR</t>
  </si>
  <si>
    <t>Ģimenes ārsta darbs ar pacientu ar psihiskiem un uzvedības traucējumiem</t>
  </si>
  <si>
    <t>Sabiedriskās domas aptauja (ominubuss)</t>
  </si>
  <si>
    <t>1 aptauja ar 12 jaut.</t>
  </si>
  <si>
    <t>Vienība</t>
  </si>
  <si>
    <t xml:space="preserve"> Vienību skaits</t>
  </si>
  <si>
    <t>Vienības izmaksas, EUR</t>
  </si>
  <si>
    <t>Izmaksas, EUR</t>
  </si>
  <si>
    <t>PROGRAMMAS IZSTRĀDE</t>
  </si>
  <si>
    <t>programmas izstrāde un saskaņošana</t>
  </si>
  <si>
    <t>stundas</t>
  </si>
  <si>
    <t>metodiskais materiāls lektoriem - izstrāde</t>
  </si>
  <si>
    <t>metodiskais materiāls lektoriem - druka</t>
  </si>
  <si>
    <t>lappuses</t>
  </si>
  <si>
    <t>izdales materiāls  izglītojamajiem - izstrāde</t>
  </si>
  <si>
    <t>izdales materiāls  izglītojamajiem - druka</t>
  </si>
  <si>
    <t>zināšanu pārbaudes materiāli - izstrāde</t>
  </si>
  <si>
    <t>zināšanu pārbaudes materiāli - druka</t>
  </si>
  <si>
    <t>APMĀCĪBU NOVADĪŠANA</t>
  </si>
  <si>
    <t>Apmācību vadīšana attālināti (20 cilvēki grupā, 2 dienas)</t>
  </si>
  <si>
    <t>grupu dienas</t>
  </si>
  <si>
    <t>Attālinātās apmācības koordinātors (atbalsts pasniedzējam, uzraudzība)</t>
  </si>
  <si>
    <t>Zoom abonements</t>
  </si>
  <si>
    <t>mēnesis</t>
  </si>
  <si>
    <t>Tehniskais nodrošinājums</t>
  </si>
  <si>
    <t>ORGANIZATORISKAIS DARBS</t>
  </si>
  <si>
    <t>Informācijas par apmācībām sagatavošana un izplatīšana</t>
  </si>
  <si>
    <t>Dalībnieku pieteikumu reģistrēšana</t>
  </si>
  <si>
    <t>Apmācību vadītāju koordinēšana</t>
  </si>
  <si>
    <t>Anketu savadīšana un apkopošana (h)</t>
  </si>
  <si>
    <t>PROJEKTA VADĪBA</t>
  </si>
  <si>
    <t>Komunikācija ar pasūtītāju (saskaņošana, atskaites)</t>
  </si>
  <si>
    <t>Līgumu sagatavošana, noslēgšana (pasūtītājs, autori)</t>
  </si>
  <si>
    <t>Grāmatvedības pakalpojumi</t>
  </si>
  <si>
    <t>Kancelejas izdevumi</t>
  </si>
  <si>
    <t>Neparedzētie izdevumi</t>
  </si>
  <si>
    <t>%</t>
  </si>
  <si>
    <t>Administrācijas izmaksas</t>
  </si>
  <si>
    <t>PAKALPOJUMA IZMAKSAS</t>
  </si>
  <si>
    <t>PVN</t>
  </si>
  <si>
    <t>PAKALPOJUMA IZMAKSAS AR PVN</t>
  </si>
  <si>
    <t>pakalpojuma izmaksas uz dalībnieku</t>
  </si>
  <si>
    <t>Specialitāte (pakalpojuma sniedzēja)</t>
  </si>
  <si>
    <t>Kopā 2020. gada 10 mēnešos</t>
  </si>
  <si>
    <t>Plānotais attālināto konsultāciju skaits (20% no apmeklējumu skaita)</t>
  </si>
  <si>
    <t xml:space="preserve">Papildus slodze </t>
  </si>
  <si>
    <t>Kabineta plānotais darbības periods mēnešos 2021. gadā</t>
  </si>
  <si>
    <t>Ārsta darba samaksa, EUR</t>
  </si>
  <si>
    <t>Funkcionālā speciālista piemaksa (psihiatrija), EUR</t>
  </si>
  <si>
    <t>Māsas darba samaksa, EUR</t>
  </si>
  <si>
    <t>Māsas darba piemaksa (psihiatrija), EUR</t>
  </si>
  <si>
    <t>Kabineta nodrošinājuma maksājums gadā, EUR</t>
  </si>
  <si>
    <t>Apraksts</t>
  </si>
  <si>
    <t>Stiprināt emocionālo, psiholoģisko, kosultatīvo atbalstu pa tālruni vai tiešaitē, arī attālinātu konsultāciju veidā (t.sk. arī ārstniecības personu psihoemocionālo atbalstu)</t>
  </si>
  <si>
    <t>Speciālistu skaits</t>
  </si>
  <si>
    <t>Sniedzamo konsultāciju skaits</t>
  </si>
  <si>
    <t>Konsultāciju skaits darba dienā</t>
  </si>
  <si>
    <t>Finansējuma aprēķins ģimenes ārsta konsultācijai ar psihiatru (samaksa ģimenes ārstam)</t>
  </si>
  <si>
    <t>Finansējuma aprēķins ģimenes ārsta konsultācijai ar psihiatru (samaksa psihiatram)</t>
  </si>
  <si>
    <t>1.2.2. Psihologu un psihoterapeitu konsultāciju apmaksai nepieciešamais finansējums 2021. gada 9 mēnešiem</t>
  </si>
  <si>
    <t>VSIA "Daugavpils psihoneiroloģiskā slimnīca" (t.sk. VSIA "Aknīstes psihoneiroloģiskā slimnīca")</t>
  </si>
  <si>
    <t>33.16.00. "Pārējo ambulatoro veselības aprūpes pakalpojumu nodrošināšana"</t>
  </si>
  <si>
    <t>(darba dienu skaits 2021. gada 9 mēnešos (no aprīļa))</t>
  </si>
  <si>
    <t>Nr.</t>
  </si>
  <si>
    <t>Pasākums</t>
  </si>
  <si>
    <t>Apakšprogramma</t>
  </si>
  <si>
    <t xml:space="preserve">tai skaitā, valsts pamatbudžeta finansējums </t>
  </si>
  <si>
    <t>33.16.00.</t>
  </si>
  <si>
    <t xml:space="preserve">33.14.00.  </t>
  </si>
  <si>
    <t xml:space="preserve">63.07.00. </t>
  </si>
  <si>
    <t>tai skaitā, Eiropas Savienības struktūrfondu finansējums</t>
  </si>
  <si>
    <t>Organizēt “Psihiskās veselības sporta zāle ārstniecības personām”, kura laikā nodrošina attālinātas konsultācijas vai konsultāciju ciklu COVID-19 pandēmijas laikā iesaistīto slimnīcu administrācijai un atbildīgajiem par darbinieku psihisko veselību - par psihiskās veselības stiprināšanu savas slimnīcas darbiniekiem</t>
  </si>
  <si>
    <t>Summa eiro (bez PVN)</t>
  </si>
  <si>
    <t>Summa eiro (ar PVN)</t>
  </si>
  <si>
    <t>Ārstniecības personu aptauja</t>
  </si>
  <si>
    <t>Psihologa/psihoterapetita kabineti</t>
  </si>
  <si>
    <t xml:space="preserve"> Finasējums pieejams ESF līdzfinansēta projekta Nr.9.2.4.1/16/I/001 ietvaros</t>
  </si>
  <si>
    <t>Finasējums pieejams ESF līdzfinansēta projekta Nr.9.2.4.1/16/I/001 ietvaros</t>
  </si>
  <si>
    <t>1.1.pasākums "Palielināt specializētajos psihiskās veselības aprūpes ambulatorajos centros multiprofesionalajā komandā (psihiatrs, bērnu psihiatrs, māsa funkcionālais speciālists, klīniskais un veselības psihologs u.c.) strādājošo ārstniecības personas skaitu" </t>
  </si>
  <si>
    <t>Kabineta fiksētais maksājums, 1 slodzei gadā, EUR</t>
  </si>
  <si>
    <t xml:space="preserve">Pasākums iekļauts informatīvajā ziņojumā “Veselības nozares 
kapacitātes celšana un noturības stiprināšana 
Covid-19 apstākļos Latvijā” </t>
  </si>
  <si>
    <t>3.1.pasākums "Stiprināt esošajās slimnīcās strādājošo ārstniecības personu psihisko veselību"</t>
  </si>
  <si>
    <t>3.2.pasākums "Attālinātu konsultāciju pacientu līdzmaksājumu kompensēšana psihiatrijas jomā"</t>
  </si>
  <si>
    <t>4.1.pasākums "Izveidot sabiedrības aptaujas anketu par COVID-pandēmijas laikā pieņemtajiem lēmumiem un iekļaut tajā psihiskās veselības sadaļu"</t>
  </si>
  <si>
    <t>12 mēnešiem</t>
  </si>
  <si>
    <t>ĀRSTA</t>
  </si>
  <si>
    <t>1 mēnesī</t>
  </si>
  <si>
    <t>Fiks.kab.maks. mēnesī</t>
  </si>
  <si>
    <t>Darba samaksa mēnesī</t>
  </si>
  <si>
    <t>Kopā izmaksas mēnesī</t>
  </si>
  <si>
    <t>VSIA "Daugavpils psihoneiroloģiskā slimnīca" (t.sk. VSIA "Aknīstes psihoneiroloģiskā slimnīca)"</t>
  </si>
  <si>
    <t>3.1.4.</t>
  </si>
  <si>
    <t>Vidēja termiņa budžeta ietvara likumā plānotais finansējums</t>
  </si>
  <si>
    <t>Nepieciešamais finansējums 2021.gada 9 mēnešiem, EUR</t>
  </si>
  <si>
    <t>Nepieciešamais finansējums gadam, EUR</t>
  </si>
  <si>
    <t>(darba dienu skaits 2021. gadā)</t>
  </si>
  <si>
    <t>Nepieciešamais finansējums 2021.gada 6 mēnešiem, EUR</t>
  </si>
  <si>
    <t>Plānotais pacientu skaits 2022.gadā</t>
  </si>
  <si>
    <t>Finansējums 2022.gadam, EUR</t>
  </si>
  <si>
    <t>Plānotais pacientu skaits 2023.gadā</t>
  </si>
  <si>
    <t>Kabineta nosaukums</t>
  </si>
  <si>
    <t>Bērnu psihiatra kabinets</t>
  </si>
  <si>
    <t>Māsas kabinets</t>
  </si>
  <si>
    <t>Psihologa/psihoterapeita kabinets</t>
  </si>
  <si>
    <t>Funkcionālā speciālista kabinets</t>
  </si>
  <si>
    <t>Alga mēnesī, EUR</t>
  </si>
  <si>
    <t>Darba samaksa gadam, EUR</t>
  </si>
  <si>
    <t>Fiksētais maksājums gadā, EUR</t>
  </si>
  <si>
    <t>Kopējās izmaksas gadā, EUR</t>
  </si>
  <si>
    <t>4=(2+3)* 0,2359</t>
  </si>
  <si>
    <t>5= (2+3+4)*12</t>
  </si>
  <si>
    <t>Psihiatra/bērnu psihiatra kabinets</t>
  </si>
  <si>
    <t>Funkc.spec.kabinets</t>
  </si>
  <si>
    <t>VSAI (0,2359) mēnesī, EUR</t>
  </si>
  <si>
    <t>Vidējā izmaksa uz pacientu 2022.gadā, EUR</t>
  </si>
  <si>
    <t>Vidējā izmaksa uz pacientu 2021.gadā, EUR</t>
  </si>
  <si>
    <t>Vidējā izmaksa uz pacientu 2023.gadā, EUR</t>
  </si>
  <si>
    <t>Papildus nepieciešamais finansējums 2022.gadam, EUR</t>
  </si>
  <si>
    <t>1.5.</t>
  </si>
  <si>
    <t>2024 un turpmāk ik gadu</t>
  </si>
  <si>
    <t>1 aptauja</t>
  </si>
  <si>
    <t xml:space="preserve">Kopējais moduļu skaits </t>
  </si>
  <si>
    <t>Attīstības izmaksas, EUR ar PVN</t>
  </si>
  <si>
    <t xml:space="preserve">Plānotais attīstības projekta īstenošanas periods </t>
  </si>
  <si>
    <t>33.17.00. "Neatliekamās medicīniskās palīdzības nodrošināšana stacionārās ārstniecības iestādēs"</t>
  </si>
  <si>
    <t>1 Moduļu platība / m2</t>
  </si>
  <si>
    <t>Platība  uz gultu diennakts stacionārā / m2</t>
  </si>
  <si>
    <t xml:space="preserve"> Nepieciešamā attīstāmā platība  / m2 </t>
  </si>
  <si>
    <t>Attīstības izmaksas uz 1 m2 / EUR</t>
  </si>
  <si>
    <t>1. Moduļu mājas ar iekšējie apdari (griesti; sienas; grīdas), kā arī iekšējie inženiertīkli (elektrība; aukstais/karstais ūdens; kanalizācija), t.sk.,</t>
  </si>
  <si>
    <t>1.1. Moduļu mājas ar iekšējie apdari (griesti; sienas; grīdas), kā arī iekšējie inženiertīkli (elektrība; aukstais/karstais ūdens; kanalizācija)</t>
  </si>
  <si>
    <t>1.2. apliecinājuma kartas izstrāde (projektēšana bez iekšējiem inženierīkliem)</t>
  </si>
  <si>
    <t>1.3. būvuzraudzība</t>
  </si>
  <si>
    <t>1.4. autoruzraudzība</t>
  </si>
  <si>
    <t>1.5. ventilācija; zibensaidzsardzība</t>
  </si>
  <si>
    <t>1.6. būvdarbi (kanalizācijas pievilkšana, elektrības pievilkšana, vājstrāvas pievilkšana; karstais/aukstais ūdens)</t>
  </si>
  <si>
    <t>1.7. moduļu piegāde, uzstādīšana</t>
  </si>
  <si>
    <t>1.8. moduļu aprīkojums (gulta; skapītis)</t>
  </si>
  <si>
    <t>1.5.1.</t>
  </si>
  <si>
    <t>1.5.2.</t>
  </si>
  <si>
    <t>Uzlabot bērnu un pusaudžu psihiskās veselības pakalpojumu pieejamību, attīstot pakalpojumu reģionos</t>
  </si>
  <si>
    <t>Speciālistu savstarpējās sadarbības uzlabošana psihiskās veselības nozarē, t.sk. ģimenes ārstu prakšu  motivēšana iesaistīties savu pacientu psihiskās veselības novērtēšanā un uzraudzīšanā</t>
  </si>
  <si>
    <t>Esošā medicīniskā personāla resursa psihoemocionāls atbalsts un tā monitorings</t>
  </si>
  <si>
    <t xml:space="preserve">Nodrošināta līdzmaksājuma kompensēšana no valsts budžeta līdzekļiem psihiatriem par pacientu attālinātu konsultāciju sniegšanu </t>
  </si>
  <si>
    <t>Regulārs un salīdzināms iedzīvotāju psihiskās veselības monitorings COVID-19 pandēmijas laikā</t>
  </si>
  <si>
    <t>Veikt aptaujas izstrādi un ik pēc noteikta perioda to atkārtoti izsūtot novērtēt iegūtos rādītājus un salīdzināt tos dinamikā</t>
  </si>
  <si>
    <t>33.17.00</t>
  </si>
  <si>
    <t>33.16.00</t>
  </si>
  <si>
    <t>1.2. pasākums "Palielināt psihiskās veselības aprūpes speciālistu klātienes un attālinātu konsultāciju saņemšanas iespējas iedzīvotājiem"</t>
  </si>
  <si>
    <t>1.3.pasākums: "Stiprināt emocionālo, psiholoģisko, kosultatīvo atbalstu pa tālruni vai tiešaitē, arī attālinātu konsultāciju veidā (t.sk. arī ārstniecības personu psihoemocionālo atbalstu)"</t>
  </si>
  <si>
    <t>1.4.pasākums "Uzlabot bērnu un pusaudžu psihiskās veselības pakalpojumu pieejamību, attīstot pakalpojumu reģionos"</t>
  </si>
  <si>
    <t>Nepieciešamais finansējums 2021.gadam, EUR</t>
  </si>
  <si>
    <t>2021*</t>
  </si>
  <si>
    <t>Nepieciešamais finansējums 2022. gadam un turpmāk ik gadu, EUR</t>
  </si>
  <si>
    <t>Papildus nepieciešamais finansējums 2022.gadam un turpmāk ik gadu, EUR</t>
  </si>
  <si>
    <t>Par nepieciešamajiem pasākumiem 2021. gadam un turpmāk, lai samazinātu ilglaicīgu negatīvo ietekmi uz sabiedrības psihisko veselību, ko rada COVID-19 pandēmija</t>
  </si>
  <si>
    <t>Palielināt psiholoģiskās palīdzības un psihiskās veselības aprūpes pakalpojumu pieejamību</t>
  </si>
  <si>
    <t>Klīniskā un veselības psihologa konsultācija*</t>
  </si>
  <si>
    <t>60037: Ārsta-speciālista sniegta attālināta konsultācija ģimenes ārstam vai citas specialitātes ārstam-speciālistam (manipulāciju norāda ārsts-speciālists)**</t>
  </si>
  <si>
    <t>Koeficients*</t>
  </si>
  <si>
    <t>Ārsta piemaksa (psihiatrija), EUR</t>
  </si>
  <si>
    <t>Nepieciešamais finansējums 2021.gada 6 mēnešiem (no jūlija), EUR</t>
  </si>
  <si>
    <t>Finansējums 2021. gada 11 mēnešiem, EUR</t>
  </si>
  <si>
    <t>1.4.1.pasākums "Pakalpojumu pieejamības uzlabošana jauniešiem ar garastāvokļa un uzvedības traucējumiem un to seku mazināšana Rīgā nepieciešamais finansējums" (2021. gada 11 mēneši)</t>
  </si>
  <si>
    <t>1.tabula "Izmaksu aprēķins/finansējuma grozs 2021. gada 11 mēnešiem"</t>
  </si>
  <si>
    <t>11 mēn</t>
  </si>
  <si>
    <t>Aprēķins gadam veikts ņemot vērā, ka pakalpojuma nodrošināšanas laiks ir 11 mēneši un pakalpojums tiks sniegts vairākos reģionos, viena centra aprēķins līdz 37-55 bērniem.</t>
  </si>
  <si>
    <t>Vidēji uz vienu klientu no šīs kategorijas nepieciešams 5 konsultācijas mēnesī 3 mēnešu garumā. Projekta izmaksu aprēķins: Vienas vienības izmaksas * 37-55 klienti projekta laikā * 15 konsultācijas.</t>
  </si>
  <si>
    <t>Vidēji uz vienu klientu no šīs kategorijas nepiecišama 1 konsultācija mēnesī 3 mēnešu garumā.  Projekta izmaksu aprēķins: Vienas vienības izmaksas * 37-55 klienti projekta laikā * 3 konsultācijas.</t>
  </si>
  <si>
    <t>Projekta izmaksu aprēķins: Vienas vienības izmaksas *4 nodarbības*11 mēneši</t>
  </si>
  <si>
    <t>Projekta izmaksu aprēķins: Vienas vienības izmaksas * 15 nodarbības* 10-15  klienti projekta laikā</t>
  </si>
  <si>
    <t>Pakalpojuma izmaksas jauna centra atvēršana (līdz 37 klienti)</t>
  </si>
  <si>
    <t>Finansējums 2021.gada 11 mēnešiem, EUR</t>
  </si>
  <si>
    <t>Koeficients pieaugumam = 13/11 =</t>
  </si>
  <si>
    <t>Nepieciešamais papildus slodžu skaits (uz epidem.pasākumu nodrošināšanas rēķina)</t>
  </si>
  <si>
    <t>2021. gada 11 mēneši</t>
  </si>
  <si>
    <t>Investīciju vajadzības</t>
  </si>
  <si>
    <t>** Manipulāciju tarifs no 2021. gada</t>
  </si>
  <si>
    <t>Apmeklējumu skaits, mēnesī</t>
  </si>
  <si>
    <t>Pacientu skaits mēnesī</t>
  </si>
  <si>
    <t>Pacientu skaits 11 mēnešos</t>
  </si>
  <si>
    <t>Papildus nepieciešamais finansējums 2021.gada 11 mēnešiem, EUR</t>
  </si>
  <si>
    <t>Apmeklējumu skaits mēnesī</t>
  </si>
  <si>
    <t>Nepieciešamais finansējums 2021. gada 6 mēnešiem, EUR</t>
  </si>
  <si>
    <t>Pacienta līdzmaksājuma kompensācija 2021. gada 11 mēnešiem, EUR</t>
  </si>
  <si>
    <t xml:space="preserve">Apmeklējumu skaits psihiatram un bērnu psihiatram ambulatori un kabinetos, izņemot dienas stacionāra pakalpojumus </t>
  </si>
  <si>
    <t>Darba samaksa kopā mēnesī, EUR</t>
  </si>
  <si>
    <t>VSAOI mēnesī, EUR</t>
  </si>
  <si>
    <t>Pakalpojums*</t>
  </si>
  <si>
    <t>* Lai palielinātu psihiskās veselības aprūpes speciālistu klātienes un attālinātu konsultāciju saņemšanas iespējas iedzīvotājiem 2021. gadā ar ģimenes ārsta nosūtījumu plānots apmaksāt 5-10 divu veidu psihologu sniegtas konsultācijas. Plānotas apmaksāt divu veidu konsultācijas - pirmās sniedz klīniskais un veselības psihologs, savukārt otrās arī klīniskais un veselības psihologs, bet ar papildus apgūtu psihoterapijas metodi, tādēļ arī manipulāciju tarifs paredzēts lielāks, jo šīs speciālists ir ieguvis vairāk praktiskās iemaņas un zināšanas.</t>
  </si>
  <si>
    <t>Klīniskā un veselības psihologa konsultācija</t>
  </si>
  <si>
    <t>Klīniskā un veselības psihologa ar psihoterapeita izglītību konsultācija*</t>
  </si>
  <si>
    <t>Klīniskā un veselības psihologa ar psihoterapeita izglītību konsultācija</t>
  </si>
  <si>
    <t>Paredzēto telefonlīniju skaits no 2021. gada februāra līdz jūnijam</t>
  </si>
  <si>
    <t>Paredzeto telefonlīniju skaits no 2021. gada jūlija*</t>
  </si>
  <si>
    <t>Nepieciešamais finansējums 2021.gada 5 mēnešiem (no februāra līdz jūnijam), EUR</t>
  </si>
  <si>
    <t>* Igaunijā un Lietuvā ir ieviestas vienotas psihoemocionālā atbalsta līnijas, kur palīdzību nodrošina cilvēki, kas ir kompetenti izvērtēt zvanītāja psihoemocionālo stāvokli un sniegt viņam nepieciešamo atbalstu. 2020. gadā šāds pakalpojums tika nodrošināts krīzes un konsultāciju centrā “Skalbes”, ko apmaksāja Rīgas pašvaldība. No 2021. gadā šo pakalpojumu ir gatava nodrošināt VSIA “Rīgas psihiatrijas un narkoloģijas centrs”, sadarbībā ar krīzes un konsultāciju centru “Skalbes”, nodrošinot arī papildus specializētu personālu un psihologus, jo kā pierādījusi COVID-19 pandēmijas ārkārtas situācijas pasludināšana vai esošie uzliesmojumi, tiem ir ļoti liela nozīme psihiskās veselības traucējumu attīstībā vai esošo traucējumu potencēšanā, kas var izpausties kā “atsitiena” efekts – gan uzliesmojuma laikā, gan pēc uzliesmojuma t.i. novēloti. Ņemot vērā šogad saņemto zvanu skaitu un sniegtu palīdzību, pieprasījumam ir tendence palielināties, tāpēc ar 2021. gada jūliju plānots atvērt papildus psihoemocionālā atbalsta līniju.</t>
  </si>
  <si>
    <t>Plānotais pacientu skaits 2021. gada 11 mēnešos, EUR</t>
  </si>
  <si>
    <t>KOPSAVILKUMS - papildus nepieciešamais finansējums kopā</t>
  </si>
  <si>
    <r>
      <t>Piemaksa par intensitāti</t>
    </r>
    <r>
      <rPr>
        <vertAlign val="superscript"/>
        <sz val="10"/>
        <rFont val="Times New Roman"/>
        <family val="1"/>
      </rPr>
      <t>1</t>
    </r>
    <r>
      <rPr>
        <sz val="10"/>
        <rFont val="Times New Roman"/>
        <family val="1"/>
      </rPr>
      <t> mēnesī, EUR </t>
    </r>
  </si>
  <si>
    <r>
      <t>1</t>
    </r>
    <r>
      <rPr>
        <sz val="10"/>
        <rFont val="Times New Roman"/>
        <family val="1"/>
      </rPr>
      <t>2018. gada 28. augusta Ministru kabineta noteikumos Nr. 555 10.pielikuma 22. punkts -  aprēķinot ikmēneša fiksēto maksājumu psihiatra kabinetam, psihologa/psihoterapeita kabinetam, māsas un funkcionālo speciālistu kabinetiem, darba samaksas aprēķinā papildus iekļauj maksu par sarežģītību (darbu ar pacientiem ar garīgiem un psihiskiem traucējumiem) 30 % apmērā un psihiatram, psihologam un psihoterapeitam papildu maksu 40 % apmērā par pieejamības nodrošināšanu un darbu paaugstinātas intensitātes apstākļos. Abi koeficienti tiek piemēroti bāzes atalgojumam, kas noteikts šo noteikumu 153. punktā.</t>
    </r>
    <r>
      <rPr>
        <vertAlign val="superscript"/>
        <sz val="10"/>
        <rFont val="Times New Roman"/>
        <family val="1"/>
      </rPr>
      <t xml:space="preserve">
</t>
    </r>
    <r>
      <rPr>
        <sz val="10"/>
        <rFont val="Times New Roman"/>
        <family val="1"/>
      </rPr>
      <t>Šo noteikumu 10. pielikuma 2. piezīmē minētos darba samaksas aprēķinā iekļaujamos koeficientus no 2020. gada piemēro vidējai darba samaksai, kas bija spēkā līdz 2019. gada 31. decembrim (ārstiem un funkcionālajiem speciālistiem – 1 350,00 euro, ārstniecības un pacientu aprūpes personām un funkcionālo speciālistu asistentiem – 810,00 euro).</t>
    </r>
  </si>
  <si>
    <t>Eksperta pakalpojums, kas ietver aptaujas metodoloģijas izstrādi, anketas izstrādi, aptaujas veicēju apmācību un konsultācijas. Finasējums pieejams ESF līdzfinansēta projekta Nr.9.2.4.1/16/I/001 “Kompleksi veselības vecināšanas un slimību profilakses pasākumi” ietvaros.</t>
  </si>
  <si>
    <t>Alga*</t>
  </si>
  <si>
    <t>* Saskaņā ar MK noteikumu Nr.555 10.pielikuma “Steidzamās medicīniskās palīdzības punkti un fiksētā ikmēneša maksājuma (piemaksas) aprēķins ārstu speciālistu kabinetiem un struktūrvienībām” 2.13. apakšpunktu psihologa/psihoterapeita kabinetam, darba samaksas aprēķinā papildus iekļauj maksu par sarežģītību (darbu ar pacientiem ar garīgiem un psihiskiem traucējumiem) 30% apmērā, kuru piemēro atalgojumam, kas noteikts šo Noteikumu 153. punktā. Tādējādi klīniskā un veselības psihologa konsultācijām tiek piemērots papildus 30% darba samaksas pieaugums, lai izkonkurētu psihologu atalgojumu privātajā sektorā.</t>
  </si>
  <si>
    <t>Finasējums pieejams ESF līdzfinansēta projektā 9.2.3.0/15/I/001 “Veselības tīklu attīstības vadlīniju un kvalitātes nodrošināšanas sistēmas izstrāde un ieviešana prioritāro jomu ietvaros”  ietvaros, paredzot atbilstošus grozījumus MK 2014.gada 28.oktobra noteikumos Nr.666.</t>
  </si>
  <si>
    <t>Sabiedriskās domas pētījuma (omnibusa aptaujas) veikšana 1 gada periodā reizi mēnesī. Finanšu aprēķinā ietverts intervēšana, datu apstrāde un ziņojuma sagatavošana.                                                     Finasējums pieejams ESF līdzfinansēta projektā Nr.9.2.4.1/16/I/001 “Kompleksi veselības vecināšanas un slimību profilakses pasākumi”</t>
  </si>
  <si>
    <t>Pacienta līdzmaksājuma* kompensācija mēnesī, EUR</t>
  </si>
  <si>
    <t>*Atbilstoši MK noteikumiem Nr.555 pacienta līdzmaksājums ir 4 euro.</t>
  </si>
  <si>
    <t>Pacienta līdzmaksājuma kompensācija 2022. gadā un turpmāk ik gadu, EUR</t>
  </si>
  <si>
    <t>Palielināt psihiskās veselības aprūpes speciālistu klātienes un attālinātu konsultāciju saņemšanas iespējas iedzīvotājiem (1.2.2. pasākums - nodrošināt, ka pacients var saņemt 5-10 psihologa vai psihoterapeita konsultācijas ar ģimenes ārsta nosūtījumu)</t>
  </si>
  <si>
    <t>Viens apmeklējums aizņem 360/13=27,7 minūtes</t>
  </si>
  <si>
    <t>Viena psihiatra slodze ir 13 apmeklējumi dienā un divas stundas medicīnisko dokumentu aizpildīšanai, kas kopā aizņem astoņas stundas darba laika</t>
  </si>
  <si>
    <t xml:space="preserve">Pieliekot klāt 5 min pacientu apmeklējumu laikam, lai veiktu epidemioloģiskās drošības pasākumus 6 stundās var pieņemt 11 pacientus (360 minūtes/32,7 (27,7+5) minūtēm = 11 apmeklējumi dienā) </t>
  </si>
  <si>
    <t>Viena kabineta (1 slodzes) kopējās izmaksas 2021.gadā, EUR</t>
  </si>
  <si>
    <t>Nepieciešamais papildus finansējums papildus slodzēm 2021.gada 11 mēnešiem</t>
  </si>
  <si>
    <t>Nepieciešamais papildus finansējums papildus slodzēm 2022.gadam un turpmāk ik gadu</t>
  </si>
  <si>
    <t>2021.gadā plānotais slodžu skaits</t>
  </si>
  <si>
    <t>Kopā mēnesī</t>
  </si>
  <si>
    <t>VSAOI</t>
  </si>
  <si>
    <t>2021**</t>
  </si>
  <si>
    <t>* Veselības ministrija normatīvos aktos noteiktā kārtībā sagatavos un iesniegs izskatīšanai Ministru kabinetā rīkojuma projektu par finanšu līdzekļu piešķiršanu no valsts budžeta programmas 02.00.00 “Līdzekļi neparedzētiem gadījumiem” 2021.gadā, attiecīgi ieplānojot piešķirto finansējumu apakšprogrammā 99.00.00 "Līdzekļu neparedzētiem gadījumiem izlietojums".</t>
  </si>
  <si>
    <t>** Ministru kabinets 08.12.2020. sēdē ir pieņemis lēmumu Veselības ministrijai normatīvos aktos noteiktā kārtībā sagatavot un iesniegt izskatīšanai Ministru kabinetā rīkojuma projektus par finanšu līdzekļu piešķiršanu no valsts budžeta programmas 02.00.00 "Līdzekļi neparedzētiem gadījumiem"  informatīvā ziņojumā minēto pasākumu Covid-19 izplatības mazināšanai, atbilstoši faktiskajai nepieciešamībai 2021.gadā.</t>
  </si>
  <si>
    <t>1.8.3.</t>
  </si>
  <si>
    <t>1.8.2.</t>
  </si>
  <si>
    <t>1.7.5.</t>
  </si>
  <si>
    <t>1.12.18.</t>
  </si>
  <si>
    <t>1.8.1.</t>
  </si>
  <si>
    <t>1.7.6.</t>
  </si>
  <si>
    <t>2021.gadam pieejamais finansējums</t>
  </si>
  <si>
    <t>Papildus nepieciešamais finansējums gadam, EUR</t>
  </si>
  <si>
    <t>Ambulatorās psihiatrijas kapacitātes uzlabošanai (uz epidemioloģisko pasākumu ievērošanas rēķina)</t>
  </si>
  <si>
    <t>COVID-19 pacientu aprūpē iesaistīto ārstniecības personu nepieciešamā psiholoģiskā atbalsta nodrošinājums</t>
  </si>
  <si>
    <t>"Skalbes" krīzes telefona darbības nodrošinājums</t>
  </si>
  <si>
    <t>Moduļu mājas ar iekšējie apdari (griesti; sienas; grīdas), kā arī iekšējie inženiertīkli (elektrība; aukstais/karstais ūdens; kanalizācija)</t>
  </si>
  <si>
    <t>Attālinātu konsultāciju pacientu līdzmaksājumu kompensēšanai psihiatrijas jomā</t>
  </si>
  <si>
    <t>Mēneša darba samaksa * 1.3**</t>
  </si>
  <si>
    <t>Mēneša darba samaksa * 1.5**</t>
  </si>
  <si>
    <t>** tiek plānoti grozījumi Ministru kabineta 28.08.2018. noteikumos Nr.555 "Veselības aprūpes pakalpojumu organizēšanas un samaksas kārtība"</t>
  </si>
  <si>
    <t>Nepieciešamais slodžu skaits COVID-19 pandēmijas</t>
  </si>
  <si>
    <t>2021.gadam pieejamais finansējums ir aprēķināts pie 1.5.1.pasākuma</t>
  </si>
  <si>
    <t>Palielināt specializētajos psihiskās veselības aprūpes ambulatorajos centros multiprofesionalajā komandā (psihiatrs, bērnu psihiatrs, māsa funkcionālais speciālists, klīniskais un veselības psihologs u.c.) strādājošo ārstniecības personas skaitu (Vidēja termiņa budžeta ietvara likumā plānotais finansējums 2021.-2023.gadiem ir iekļauts 1.5.1.pasākumā)</t>
  </si>
  <si>
    <r>
      <t xml:space="preserve">Informatīvajā ziņojumā  iekļauto pasākumu īstenošanai </t>
    </r>
    <r>
      <rPr>
        <b/>
        <sz val="10"/>
        <rFont val="Times New Roman"/>
        <family val="1"/>
      </rPr>
      <t>nepieciešamais papildus finansējums</t>
    </r>
  </si>
  <si>
    <t xml:space="preserve">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vērtējumam </t>
  </si>
  <si>
    <t>3.1.1.</t>
  </si>
  <si>
    <t>3.1.1.pasākums "Izveidot ārstniecības iestādē psihiskās veselības aptaujas anketu, lai monitorētu ārstniecības personu psihisko veselību COVID-19 pandēmijas laikā"</t>
  </si>
  <si>
    <t>3.1.2.pasākums "Organizēt atbildīgos darbiniekus ārstniecības iestādē par ārstniecības personu psihiskās veselības stāvokļa monitorēšanu un procesa uzraudzību COVID-19 pandēmijas laikā"</t>
  </si>
  <si>
    <t xml:space="preserve">3.1.3.pasākums "Veicināt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izvērtējumam" </t>
  </si>
  <si>
    <t>3.1.4.pasākums "Organizēt “Psihiskās veselības sporta zāle ārstniecības personām”, kura laikā nodrošina attālinātas konsultācijas vai konsultāciju ciklu COVID-19 pandēmijas laikā iesaistīto slimnīcu administrācijai un atbildīgajiem par darbinieku psihisko veselību - par psihiskās veselības stiprināšanu savas slimnīcas darbiniekiem"</t>
  </si>
  <si>
    <t>2.2.</t>
  </si>
  <si>
    <t xml:space="preserve">2.pasākums "Psihiskās veselības aprūpes speciālistu un ģimenes ārstu komandas savstarpējās sadarbības uzlabošana" </t>
  </si>
  <si>
    <t>2.2.pasākums "Izstrādāt apmaksas nosacījumus ģimenes ārsta komandas darbam pacientiem ar psihiskiem un uzvedības traucējumiem" (2021. gada 6 mēneši)</t>
  </si>
  <si>
    <t>Izstrādāt apmaksas nosacījumus ģimenes ārsta komandas darbam pacientiem ar psihiskiem un uzvedības traucējumiem</t>
  </si>
  <si>
    <t>1.2.2. pasākums "Nodrošināt, ka pacients var saņemt 5-10 psihologa vai psihoterapeita konsultācijas ar ģimenes ārsta nosūtijumu"</t>
  </si>
  <si>
    <t>1.pielikums Informatīvajam ziņojumam “Par nepieciešamajiem pasākumiem 2021. gadam un turpmāk ik gadu, lai samazinātu ilglaicīgu negatīvo ietekmi uz sabiedrības psihisko veselību, ko rada COVID-19 pandēmija”</t>
  </si>
  <si>
    <t>2.pielikums Informatīvajam ziņojumam “Par nepieciešamajiem pasākumiem 2021. gadam un turpmāk ik gadu, lai samazinātu ilglaicīgu negatīvo ietekmi uz sabiedrības psihisko veselību, ko rada COVID-19 pandēmija”</t>
  </si>
  <si>
    <t>3.pielikums Informatīvajam ziņojumam “Par nepieciešamajiem pasākumiem 2021. gadam un turpmāk ik gadu, lai samazinātu ilglaicīgu negatīvo ietekmi uz sabiedrības psihisko veselību, ko rada COVID-19 pandēmija”</t>
  </si>
  <si>
    <t>4.pielikums Informatīvajam ziņojumam “Par nepieciešamajiem pasākumiem 2021. gadam un turpmāk ik gadu, lai samazinātu ilglaicīgu negatīvo ietekmi uz sabiedrības psihisko veselību, ko rada COVID-19 pandēmija”</t>
  </si>
  <si>
    <t>5.pielikums Informatīvajam ziņojumam “Par nepieciešamajiem pasākumiem 2021. gadam un turpmāk ik gadu, lai samazinātu ilglaicīgu negatīvo ietekmi uz sabiedrības psihisko veselību, ko rada COVID-19 pandēmija”</t>
  </si>
  <si>
    <t>6.pielikums Informatīvajam ziņojumam “Par nepieciešamajiem pasākumiem 2021. gadam un turpmāk ik gadu, lai samazinātu ilglaicīgu negatīvo ietekmi uz sabiedrības psihisko veselību, ko rada COVID-19 pandēmija”</t>
  </si>
  <si>
    <t>7.pielikums Informatīvajam ziņojumam “Par nepieciešamajiem pasākumiem 2021. gadam un turpmāk ik gadu, lai samazinātu ilglaicīgu negatīvo ietekmi uz sabiedrības psihisko veselību, ko rada COVID-19 pandēmija”</t>
  </si>
  <si>
    <t>8.pielikums Informatīvajam ziņojumam “Par nepieciešamajiem pasākumiem 2021. gadam un turpmāk ik gadu, lai samazinātu ilglaicīgu negatīvo ietekmi uz sabiedrības psihisko veselību, ko rada COVID-19 pandēmija”</t>
  </si>
  <si>
    <t>9.pielikums Informatīvajam ziņojumam “Par nepieciešamajiem pasākumiem 2021. gadam un turpmāk ik gadu, lai samazinātu ilglaicīgu negatīvo ietekmi uz sabiedrības psihisko veselību, ko rada COVID-19 pandēmija”</t>
  </si>
  <si>
    <t>10.pielikums Informatīvajam ziņojumam “Par nepieciešamajiem pasākumiem 2021. gadam un turpmāk ik gadu, lai samazinātu ilglaicīgu negatīvo ietekmi uz sabiedrības psihisko veselību, ko rada COVID-19 pandēmija”</t>
  </si>
  <si>
    <t>11.pielikums Informatīvajam ziņojumam “Par nepieciešamajiem pasākumiem 2021. gadam un turpmāk ik gadu, lai samazinātu ilglaicīgu negatīvo ietekmi uz sabiedrības psihisko veselību, ko rada COVID-19 pandēmija”</t>
  </si>
  <si>
    <t>12.pielikums Informatīvajam ziņojumam “Par nepieciešamajiem pasākumiem 2021. gadam un turpmāk ik gadu, lai samazinātu ilglaicīgu negatīvo ietekmi uz sabiedrības psihisko veselību, ko rada COVID-19 pandēmija”</t>
  </si>
  <si>
    <t>13.pielikums Informatīvajam ziņojumam “Par nepieciešamajiem pasākumiem 2021. gadam un turpmāk ik gadu, lai samazinātu ilglaicīgu negatīvo ietekmi uz sabiedrības psihisko veselību, ko rada COVID-19 pandēmija”</t>
  </si>
  <si>
    <t>14.pielikums Informatīvajam ziņojumam “Par nepieciešamajiem pasākumiem 2021. gadam un turpmāk ik gadu, lai samazinātu ilglaicīgu negatīvo ietekmi uz sabiedrības psihisko veselību, ko rada COVID-19 pandēmija”</t>
  </si>
  <si>
    <t>Darbības uzsākšana 2021.gada februārī</t>
  </si>
  <si>
    <t>Darbības uzsākšana 2021.gada martā</t>
  </si>
  <si>
    <t>Darbības uzsākšanas laiks</t>
  </si>
  <si>
    <t>Darba samaksa kopā 2021.gadā, EUR</t>
  </si>
  <si>
    <t>VSAOI kopā 2021.gadā, EUR</t>
  </si>
  <si>
    <t>Kabineta nodrošinājuma maksājums 2021. gadā, EUR</t>
  </si>
  <si>
    <t>Papildus nepieciešamais finansējums 2021. gadam, EUR</t>
  </si>
  <si>
    <t>1.5. pasākums "Nodrošināt psihiskās veselības aprūpes pakalpojumu apjoma saglabāšanos, kas samazinājusies uz epidemioloģisko pasākumu ievērošanas rēķina"</t>
  </si>
  <si>
    <t>1.5.1.pasākums "Saglabāt esošo ambulatoro psihiskās veselības aprūpes pakalpojumu apjomu"</t>
  </si>
  <si>
    <t>1.5.2. pasākums "Saglabāt esošo stacionāro psihiskās veselības aprūpes pakalpojumu apjomu"</t>
  </si>
  <si>
    <t>Nodrošināt psihiskās veselības aprūpes pakalpojumu apjoma saglabāšanos, kas samazinājusies uz epidemioloģisko pasākumu ievērošanas rēķina</t>
  </si>
  <si>
    <t>Saglabāt esošo ambulatoro psihiskās veselības aprūpes pakalpojumu apjomu</t>
  </si>
  <si>
    <t>Saglabāt esošo stacionāro psihiskās veselības aprūpes pakalpojumu apjomu</t>
  </si>
  <si>
    <t>2.1. pasākums "Nodrošināt psihiatru atbalstu ģimenes ārstiem par viņu uzraudzībā esošu pacientu psihiskās veselības aprūpi" (2021. gada 11 mēneši)</t>
  </si>
  <si>
    <t>Nodrošināt psihiatru atbalstu ģimenes ārstiem par viņu uzraudzībā esošu pacientu psihiskās veselības aprūpi</t>
  </si>
  <si>
    <t>*Piemērota projektu vadītāja vidējā alga (bruto) galvenajās trīs universitātes slimnīcās: VSIA “”Bērnu klīniskā universitātes slimnīca”- 1800 EUR, VSIA “Paula Stradiņa universitātes slimnīca” – 1800 EUR, VSIA “Rīgas Austrumu klīniskā universitātes slimnīca” – 1950 EUR. Amata pienākumos ietilpst aptaujas metodoloģijas apgūšana, regulāra tās izsūtīšana, rezultātu analīze un iegūto vērtējumu sniegšana, kas savā pamatā arī nodrošina darbinieku psihiskās veselības monitoringu, kā arī nepieciešamās psihiskās veselības palīdzības saņemšanas organizēšana savā slimnīcā.</t>
  </si>
  <si>
    <t>Skaidrojums</t>
  </si>
  <si>
    <r>
      <rPr>
        <b/>
        <sz val="10"/>
        <rFont val="Times New Roman"/>
        <family val="1"/>
      </rPr>
      <t>Informātīvi:</t>
    </r>
    <r>
      <rPr>
        <sz val="10"/>
        <rFont val="Times New Roman"/>
        <family val="1"/>
      </rPr>
      <t xml:space="preserve"> Iekļauts informatīvajā ziņojumā “Veselības nozares kapacitātes celšana un noturības stiprināšana Covid-19 apstākļos Latvijā” (izskatīts MK 08.12.2020. sēdē) (turpmāk - Kapacitātes ziņojums)</t>
    </r>
  </si>
  <si>
    <t>1. Darbinieku atalgojums</t>
  </si>
  <si>
    <t>Nr.p.k.</t>
  </si>
  <si>
    <t>Pozīcija</t>
  </si>
  <si>
    <t>Psihologs</t>
  </si>
  <si>
    <t>Tālruņa koordinators</t>
  </si>
  <si>
    <t>Administratīvais darbinieks</t>
  </si>
  <si>
    <t>2. Administratīvās izmaksas</t>
  </si>
  <si>
    <t>Datortehnikas noma (datori un telefoni)</t>
  </si>
  <si>
    <t>Telefonpakalpojumi</t>
  </si>
  <si>
    <t>2.3.</t>
  </si>
  <si>
    <t>Kancelejas preces</t>
  </si>
  <si>
    <t>2.4.</t>
  </si>
  <si>
    <t>2.5.</t>
  </si>
  <si>
    <t>Supervizors</t>
  </si>
  <si>
    <t>2.6.</t>
  </si>
  <si>
    <t>Darba apjoms slodzēs 1 telefonlīnijai</t>
  </si>
  <si>
    <t>Zvanu reģistra izstrāde (vienreizējs maksājums)</t>
  </si>
  <si>
    <t>Pakalpojuma reklāma, sabiedrības informēšana (apjoms nav atkarīgs no telefonlīniju skaita)</t>
  </si>
  <si>
    <t>Kopā papildus nepieciešamais finansējums 2021.gadam, EUR</t>
  </si>
  <si>
    <t>Kopā papildus nepieciešamais finansējums 2022.gadam un turpmāk ik gadu, EUR</t>
  </si>
  <si>
    <t>Nepieciešamais finansējums 2022.gadam un turpmāk ik gadu, EUR</t>
  </si>
  <si>
    <t>Konsultants (divas darba vietas diennakts režīmā)**</t>
  </si>
  <si>
    <t>2021. gada pirmajā pusgadā tiks apkalpoti 150-250 zvani/dienā, savukārt 2021. gada otrajā pusgadā, 2022. gadā un turpmāk 300-500 zvani/dienā.</t>
  </si>
  <si>
    <t>Apjoms</t>
  </si>
  <si>
    <t>Viena mēneša izmaksas, EUR</t>
  </si>
  <si>
    <t>Vienas vienības atlīdzība (ar darba devēja VSAOI 23,59%) EUR</t>
  </si>
  <si>
    <t>Maksa par ienākošiem zvaniem, kas ir bezmaksas zvanītājam uz psihoemocionālā atbalsta līniju</t>
  </si>
  <si>
    <t>Ieviešanas uzsākšana 2021.gada jūlijā</t>
  </si>
  <si>
    <t>** Konsultanta (mēnešalga 8.grupa  II saime, 3.kategorija max  1093 euro) atlīdzība noteikta ar 50% piemaksu par darbu naktī un 100% piemaksu par darbu svētku dienās. Slodžu skaits aprēķināts, ņemot vērā arī aizvietošanu.</t>
  </si>
  <si>
    <t>3.3.</t>
  </si>
  <si>
    <t xml:space="preserve">Abonēšanas maksa par numuru </t>
  </si>
  <si>
    <t>Citas saistītas izmaksas</t>
  </si>
  <si>
    <t>3. Fiksētā diapazona telefona numurs "8XXXXXXX" ar bezmaksas zvaniem uz psihoemocionālā atbalsta līniju (no 2021.gada jūlija)</t>
  </si>
  <si>
    <t>3.4.</t>
  </si>
  <si>
    <t>1 numurs</t>
  </si>
  <si>
    <t>vienreizējs maksājums</t>
  </si>
  <si>
    <t xml:space="preserve">Numura ierīkošanas maksa </t>
  </si>
  <si>
    <t>Pakalpojuma izmaksas 1 centram (līdz 55 klienti)</t>
  </si>
  <si>
    <t>2021. gada pirmajā pusgadā vienas telefonlīnijas pakalpojumu nodrošinās 2 operatoru-konsultantu darba vietas visu diennakti, 3 psihologu darba vietas, tālruņa koordinatora darba vieta un 0,5 slodzes administratīviem darbiniekiem, savukārt 2021. gada otrajā pusgadā un turpmāk divu telefonlīniju pakalpojumu nodrošinās 4 operatoru-konsultantu darba vietas visu diennakti, 3 psihologu darba vietas, tālruņa koordinatora darba vieta un 0,5 slodzes administratīviem darbiniekiem. Plānotās darba samaksas aprēķins veikts, piemērojot stundas likmi, ņemot vērā aizvietošanu.</t>
  </si>
  <si>
    <t>12 000 ienākošie zvani mēnesī (vidēji 400 zvani dienā * 30 dienas mēnesī),
vidēji 40 800 sarunu minūtes mēnesī. Vienas minūtes izmaksas 0,1326 euro * 1,21% (PVN)</t>
  </si>
  <si>
    <t xml:space="preserve"> </t>
  </si>
  <si>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xml:space="preserve">, jo uz Informatīvā ziņojuma sagatavošanas brīdi, ņemot vērā COVID-19 pandēmijas ietekmi, ir paredzēts 7,5-12,5 reizēs lielāks apkalpoto zvanu skaits dienā. </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</si>
  <si>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pusaudžu skaita pieaugums ir paredzēts no 2021.gada februāra.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</si>
  <si>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jo ir pārskatīts 2021.gadā plānotais slodžu skaits, kā arī ir piemērota aktuālā ārstniecības personu darba samaksa atbilstoši MK pieņemtajiem lēmumiem.</t>
    </r>
  </si>
  <si>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jo ir veikta summas korekcija, iekļaujot pievienotās vērtības nodokli.</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</si>
  <si>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ir pārskatīts ārstniecības personu darba samaksai plānotais koeficients, kā arī ir veiktas aprēķina korekcijas.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</si>
  <si>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attālinātu konsultāciju psihiatrijā pacientu līdzmaksājumu kompensēšanu ir paredzēts uzsākt no 2021.gada februāra.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</si>
  <si>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1.2.1. pasākums "Informēt sabiedrību par šādu konsultāciju saņemšanas iespējām un pakalpojumu saņemšanas kārtību" </t>
    </r>
    <r>
      <rPr>
        <b/>
        <sz val="12"/>
        <rFont val="Times New Roman"/>
        <family val="1"/>
      </rPr>
      <t>tiks realizēts esošā finansējuma ietvaros</t>
    </r>
  </si>
  <si>
    <r>
      <t xml:space="preserve">1.4.2.pasākums "Nodrošināta pakalpojumu pieejamība jauniešiem ar garastāvokļa un uzvedības traucējumiem un to seku mazināšana Latvijas reģionos" </t>
    </r>
    <r>
      <rPr>
        <b/>
        <i/>
        <sz val="12"/>
        <rFont val="Times New Roman"/>
        <family val="1"/>
      </rPr>
      <t>(2021. gada 11 mēneši)</t>
    </r>
  </si>
  <si>
    <t>Finansējums 2023.gadam un turpmāk ik gadu, EUR</t>
  </si>
  <si>
    <t>Papildus nepieciešamais finansējums 2023.gadam un turpmāk ik gadu, EUR</t>
  </si>
  <si>
    <t>Plānotā pacientu aptvere, % *</t>
  </si>
  <si>
    <t>*Pacientu proporcija par kuriem ģimenes ārstam ir nepieciešama konsultācija no psihiatra</t>
  </si>
  <si>
    <t>60038: Ārsta-speciālista sniegta attālināta konsultācija ģimenes ārstam (manipulāciju norāda ģimenes ārsts)**</t>
  </si>
  <si>
    <t>t.sk. plānotajā līgumā*</t>
  </si>
  <si>
    <t>t.sk. papildus nepieciešamais**</t>
  </si>
  <si>
    <t>** 20% pieaugums iepriekšējā gada pacientu skaitam</t>
  </si>
  <si>
    <t xml:space="preserve">* 44 pacienti ir 2020.gada līgumā iekļautais pacientu skaits, savukārt 255 815 euro ir 2021.gadam pieejamais finansējums, kurā iekļauta 2020.gadam iedalīta summa un finansējums ārstniecības personu darba samaksas paaugstināšanai 2021.gadā. </t>
  </si>
  <si>
    <t>39.04.00 "Neatliekamā medicīniskā palīdzība"</t>
  </si>
  <si>
    <t>Papildus nepieciešamais finansējums 2021.gada 6 mēnešiem, EUR</t>
  </si>
  <si>
    <t>39.04.00.</t>
  </si>
  <si>
    <t>Papildus nepieciešamais finansējums 2021.gadam, EUR</t>
  </si>
  <si>
    <t>Uzsākšana no 2021.gada 1.jūlija</t>
  </si>
  <si>
    <t>Uzsākšana no 2021.gada 1.aprīļa</t>
  </si>
  <si>
    <t xml:space="preserve">Neatliekamās medicīniskās palīdzības dienests** </t>
  </si>
  <si>
    <t>** Atbildīgais darbinieks tiks nodrošināts, piesaistot pakalpojuma sniedzēju, maksu par pakalpojumu pielīdzinot pārējās ārstniecības iestādēs atbildīgo darbinieku izmaksām (2286 euro mēnesī).</t>
  </si>
  <si>
    <t>** Tiks nodrošināts, piesaistot pakalpojuma sniedzēju, maksu par pakalpojumu pielīdzinot 2 psihoemocionālās komandas izveides izmaksām pārējās ārstniecības iestādēs (20 133 euro 6 mēnešos).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</si>
</sst>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000"/>
    <numFmt numFmtId="167" formatCode="0.000"/>
  </numFmts>
  <fonts count="65" x14ac:knownFonts="1">
    <font>
      <sz val="11"/>
      <color theme="1"/>
      <name val="Calibri"/>
      <family val="2"/>
      <charset val="204"/>
      <scheme val="minor"/>
    </font>
    <font>
      <sz val="11"/>
      <color theme="1"/>
      <name val="Calibri"/>
      <family val="2"/>
      <charset val="186"/>
      <scheme val="minor"/>
    </font>
    <font>
      <sz val="11"/>
      <color theme="1"/>
      <name val="Calibri"/>
      <family val="2"/>
      <charset val="186"/>
      <scheme val="minor"/>
    </font>
    <font>
      <b/>
      <sz val="11"/>
      <color theme="1"/>
      <name val="Times New Roman"/>
      <family val="1"/>
      <charset val="186"/>
    </font>
    <font>
      <sz val="11"/>
      <name val="Times New Roman"/>
      <family val="1"/>
      <charset val="186"/>
    </font>
    <font>
      <sz val="12"/>
      <name val="Times New Roman"/>
      <family val="1"/>
      <charset val="186"/>
    </font>
    <font>
      <sz val="10"/>
      <name val="Arial"/>
      <family val="2"/>
      <charset val="186"/>
    </font>
    <font>
      <sz val="11"/>
      <color theme="1"/>
      <name val="Calibri"/>
      <family val="2"/>
      <charset val="186"/>
      <scheme val="minor"/>
    </font>
    <font>
      <b/>
      <sz val="12"/>
      <name val="Times New Roman"/>
      <family val="1"/>
      <charset val="186"/>
    </font>
    <font>
      <b/>
      <sz val="10"/>
      <name val="Times New Roman"/>
      <family val="1"/>
      <charset val="204"/>
    </font>
    <font>
      <sz val="10"/>
      <name val="Times New Roman"/>
      <family val="1"/>
      <charset val="204"/>
    </font>
    <font>
      <i/>
      <sz val="10"/>
      <name val="Times New Roman"/>
      <family val="1"/>
      <charset val="204"/>
    </font>
    <font>
      <b/>
      <u/>
      <sz val="10"/>
      <name val="Times New Roman"/>
      <family val="1"/>
      <charset val="204"/>
    </font>
    <font>
      <sz val="10"/>
      <name val="Times New Roman"/>
      <family val="1"/>
      <charset val="186"/>
    </font>
    <font>
      <i/>
      <sz val="10"/>
      <name val="Times New Roman"/>
      <family val="1"/>
      <charset val="186"/>
    </font>
    <font>
      <b/>
      <sz val="11"/>
      <name val="Times New Roman"/>
      <family val="1"/>
      <charset val="186"/>
    </font>
    <font>
      <sz val="11"/>
      <color theme="1"/>
      <name val="Calibri"/>
      <family val="2"/>
      <scheme val="minor"/>
    </font>
    <font>
      <u/>
      <sz val="11"/>
      <color theme="10"/>
      <name val="Calibri"/>
      <family val="2"/>
      <charset val="204"/>
      <scheme val="minor"/>
    </font>
    <font>
      <b/>
      <sz val="11"/>
      <color theme="1"/>
      <name val="Times New Roman"/>
      <family val="1"/>
    </font>
    <font>
      <sz val="11"/>
      <color theme="1"/>
      <name val="Times New Roman"/>
      <family val="1"/>
    </font>
    <font>
      <sz val="12"/>
      <name val="Times New Roman"/>
      <family val="1"/>
    </font>
    <font>
      <sz val="10"/>
      <color indexed="8"/>
      <name val="Times New Roman"/>
      <family val="1"/>
    </font>
    <font>
      <sz val="10"/>
      <color theme="1"/>
      <name val="Times New Roman"/>
      <family val="1"/>
    </font>
    <font>
      <b/>
      <sz val="10"/>
      <name val="Times New Roman"/>
      <family val="1"/>
    </font>
    <font>
      <i/>
      <sz val="10"/>
      <color theme="1"/>
      <name val="Times New Roman"/>
      <family val="1"/>
    </font>
    <font>
      <sz val="12"/>
      <color theme="1"/>
      <name val="Times New Roman"/>
      <family val="1"/>
    </font>
    <font>
      <sz val="10"/>
      <name val="Times New Roman"/>
      <family val="1"/>
    </font>
    <font>
      <i/>
      <sz val="11"/>
      <name val="Times New Roman"/>
      <family val="1"/>
      <charset val="186"/>
    </font>
    <font>
      <b/>
      <i/>
      <sz val="11"/>
      <color theme="1"/>
      <name val="Times New Roman"/>
      <family val="1"/>
    </font>
    <font>
      <b/>
      <i/>
      <sz val="12"/>
      <color theme="1"/>
      <name val="Times New Roman"/>
      <family val="1"/>
    </font>
    <font>
      <sz val="11"/>
      <name val="Times New Roman"/>
      <family val="1"/>
    </font>
    <font>
      <i/>
      <sz val="11"/>
      <color theme="1"/>
      <name val="Times New Roman"/>
      <family val="1"/>
    </font>
    <font>
      <b/>
      <sz val="11"/>
      <name val="Times New Roman"/>
      <family val="1"/>
    </font>
    <font>
      <sz val="8"/>
      <name val="Times New Roman"/>
      <family val="1"/>
    </font>
    <font>
      <i/>
      <sz val="10"/>
      <name val="Times New Roman"/>
      <family val="1"/>
    </font>
    <font>
      <b/>
      <sz val="9"/>
      <color indexed="81"/>
      <name val="Tahoma"/>
      <family val="2"/>
      <charset val="204"/>
    </font>
    <font>
      <sz val="9"/>
      <color indexed="81"/>
      <name val="Tahoma"/>
      <family val="2"/>
      <charset val="204"/>
    </font>
    <font>
      <b/>
      <sz val="12"/>
      <name val="Times New Roman"/>
      <family val="1"/>
    </font>
    <font>
      <b/>
      <i/>
      <sz val="12"/>
      <name val="Times New Roman"/>
      <family val="1"/>
      <charset val="186"/>
    </font>
    <font>
      <b/>
      <i/>
      <sz val="12"/>
      <color theme="1"/>
      <name val="Times New Roman"/>
      <family val="1"/>
      <charset val="186"/>
    </font>
    <font>
      <b/>
      <sz val="14"/>
      <name val="Times New Roman"/>
      <family val="1"/>
    </font>
    <font>
      <b/>
      <sz val="14"/>
      <color theme="1"/>
      <name val="Times New Roman"/>
      <family val="1"/>
    </font>
    <font>
      <sz val="11"/>
      <color rgb="FFFF0000"/>
      <name val="Times New Roman"/>
      <family val="1"/>
    </font>
    <font>
      <i/>
      <sz val="11"/>
      <name val="Times New Roman"/>
      <family val="1"/>
      <charset val="204"/>
    </font>
    <font>
      <vertAlign val="superscript"/>
      <sz val="10"/>
      <name val="Times New Roman"/>
      <family val="1"/>
    </font>
    <font>
      <i/>
      <sz val="11"/>
      <name val="Times New Roman"/>
      <family val="1"/>
    </font>
    <font>
      <b/>
      <sz val="11"/>
      <color indexed="8"/>
      <name val="Times New Roman"/>
      <family val="1"/>
    </font>
    <font>
      <sz val="9"/>
      <name val="Times New Roman"/>
      <family val="1"/>
    </font>
    <font>
      <b/>
      <sz val="14"/>
      <name val="Times New Roman"/>
      <family val="1"/>
      <charset val="204"/>
    </font>
    <font>
      <sz val="11"/>
      <name val="Calibri"/>
      <family val="2"/>
      <charset val="204"/>
      <scheme val="minor"/>
    </font>
    <font>
      <sz val="11"/>
      <name val="Times New Roman"/>
      <family val="1"/>
      <charset val="204"/>
    </font>
    <font>
      <b/>
      <i/>
      <sz val="12"/>
      <name val="Times New Roman"/>
      <family val="1"/>
    </font>
    <font>
      <sz val="10"/>
      <name val="Arial"/>
      <family val="2"/>
      <charset val="204"/>
    </font>
    <font>
      <sz val="12"/>
      <name val="Times New Roman"/>
      <family val="1"/>
      <charset val="204"/>
    </font>
    <font>
      <sz val="12"/>
      <name val="Calibri"/>
      <family val="2"/>
      <charset val="204"/>
      <scheme val="minor"/>
    </font>
    <font>
      <b/>
      <sz val="10"/>
      <name val="Times New Roman"/>
      <family val="1"/>
      <charset val="186"/>
    </font>
    <font>
      <sz val="11"/>
      <name val="Calibri"/>
      <family val="2"/>
      <scheme val="minor"/>
    </font>
    <font>
      <b/>
      <sz val="35"/>
      <name val="Times New Roman"/>
      <family val="1"/>
      <charset val="186"/>
    </font>
    <font>
      <sz val="8"/>
      <name val="Times New Roman"/>
      <family val="1"/>
      <charset val="186"/>
    </font>
    <font>
      <u/>
      <sz val="8"/>
      <name val="Times New Roman"/>
      <family val="1"/>
      <charset val="186"/>
    </font>
    <font>
      <sz val="8"/>
      <name val="Times New Roman"/>
      <family val="1"/>
      <charset val="204"/>
    </font>
    <font>
      <u/>
      <sz val="8"/>
      <name val="Calibri"/>
      <family val="2"/>
      <charset val="204"/>
      <scheme val="minor"/>
    </font>
    <font>
      <b/>
      <i/>
      <sz val="11"/>
      <name val="Times New Roman"/>
      <family val="1"/>
    </font>
    <font>
      <u/>
      <sz val="8"/>
      <name val="Times New Roman"/>
      <family val="1"/>
    </font>
    <font>
      <sz val="9"/>
      <color rgb="FF201F1E"/>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medium">
        <color rgb="FFC6C6C6"/>
      </left>
      <right style="medium">
        <color rgb="FFC6C6C6"/>
      </right>
      <top style="medium">
        <color rgb="FFC6C6C6"/>
      </top>
      <bottom style="medium">
        <color rgb="FFC6C6C6"/>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11">
    <xf numFmtId="0" fontId="0" fillId="0" borderId="0"/>
    <xf numFmtId="0" fontId="6" fillId="0" borderId="0"/>
    <xf numFmtId="9" fontId="7" fillId="0" borderId="0" applyFont="0" applyFill="0" applyBorder="0" applyAlignment="0" applyProtection="0"/>
    <xf numFmtId="0" fontId="16" fillId="0" borderId="0"/>
    <xf numFmtId="0" fontId="2" fillId="0" borderId="0"/>
    <xf numFmtId="0" fontId="2" fillId="0" borderId="0"/>
    <xf numFmtId="0" fontId="17" fillId="0" borderId="0" applyNumberFormat="0" applyFill="0" applyBorder="0" applyAlignment="0" applyProtection="0"/>
    <xf numFmtId="0" fontId="16" fillId="0" borderId="0"/>
    <xf numFmtId="0" fontId="16" fillId="0" borderId="0"/>
    <xf numFmtId="0" fontId="1" fillId="0" borderId="0"/>
    <xf numFmtId="0" fontId="16" fillId="0" borderId="0"/>
  </cellStyleXfs>
  <cellXfs count="573">
    <xf numFmtId="0" fontId="0" fillId="0" borderId="0" xfId="0"/>
    <xf numFmtId="0" fontId="5" fillId="0" borderId="0" xfId="1" applyFont="1"/>
    <xf numFmtId="9" fontId="5" fillId="0" borderId="0" xfId="2" applyFont="1" applyFill="1"/>
    <xf numFmtId="2" fontId="5" fillId="0" borderId="1" xfId="2" applyNumberFormat="1" applyFont="1" applyFill="1" applyBorder="1" applyAlignment="1">
      <alignment horizontal="center"/>
    </xf>
    <xf numFmtId="0" fontId="10" fillId="0" borderId="0" xfId="0" applyFont="1"/>
    <xf numFmtId="0" fontId="10" fillId="0" borderId="1" xfId="0" applyFont="1" applyBorder="1" applyAlignment="1">
      <alignment vertical="center" wrapText="1"/>
    </xf>
    <xf numFmtId="0" fontId="10" fillId="0" borderId="1" xfId="0" applyFont="1" applyBorder="1" applyAlignment="1">
      <alignment horizontal="center" wrapText="1"/>
    </xf>
    <xf numFmtId="0" fontId="10" fillId="0" borderId="5" xfId="0" applyFont="1" applyBorder="1" applyAlignment="1">
      <alignment horizontal="center" vertical="center" wrapText="1"/>
    </xf>
    <xf numFmtId="0" fontId="9" fillId="3" borderId="1" xfId="0" applyFont="1" applyFill="1" applyBorder="1" applyAlignment="1">
      <alignment vertical="center" wrapText="1"/>
    </xf>
    <xf numFmtId="0" fontId="9" fillId="3" borderId="6" xfId="0" applyFont="1" applyFill="1" applyBorder="1" applyAlignment="1">
      <alignment vertical="center" wrapText="1"/>
    </xf>
    <xf numFmtId="0" fontId="9" fillId="3" borderId="5" xfId="0" applyFont="1" applyFill="1" applyBorder="1" applyAlignment="1">
      <alignment vertical="center" wrapText="1"/>
    </xf>
    <xf numFmtId="0" fontId="9" fillId="3" borderId="1" xfId="0" applyFont="1" applyFill="1" applyBorder="1" applyAlignment="1">
      <alignment horizontal="center" vertical="center" wrapText="1"/>
    </xf>
    <xf numFmtId="0" fontId="9" fillId="0" borderId="1" xfId="0" applyFont="1" applyBorder="1" applyAlignment="1">
      <alignment vertical="center" wrapText="1"/>
    </xf>
    <xf numFmtId="4" fontId="12" fillId="0" borderId="1" xfId="0" applyNumberFormat="1" applyFont="1" applyBorder="1" applyAlignment="1">
      <alignment vertical="center"/>
    </xf>
    <xf numFmtId="4" fontId="12" fillId="0" borderId="5"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vertical="center"/>
    </xf>
    <xf numFmtId="2"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right" vertical="center"/>
    </xf>
    <xf numFmtId="2" fontId="10" fillId="4" borderId="5" xfId="0" applyNumberFormat="1" applyFont="1" applyFill="1" applyBorder="1" applyAlignment="1">
      <alignment horizontal="center" vertical="center"/>
    </xf>
    <xf numFmtId="0" fontId="10" fillId="0" borderId="1" xfId="0" applyFont="1" applyBorder="1" applyAlignment="1">
      <alignment vertical="center"/>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 fontId="10" fillId="0" borderId="1" xfId="0" applyNumberFormat="1" applyFont="1" applyBorder="1" applyAlignment="1">
      <alignment vertical="center"/>
    </xf>
    <xf numFmtId="4" fontId="10" fillId="0" borderId="1" xfId="0" applyNumberFormat="1" applyFont="1" applyBorder="1" applyAlignment="1">
      <alignment horizontal="right" vertical="center"/>
    </xf>
    <xf numFmtId="2" fontId="10" fillId="0" borderId="5" xfId="0" applyNumberFormat="1" applyFont="1" applyBorder="1" applyAlignment="1">
      <alignment horizontal="center" vertical="center"/>
    </xf>
    <xf numFmtId="0" fontId="10" fillId="0" borderId="3" xfId="0" applyFont="1" applyBorder="1" applyAlignment="1">
      <alignment vertical="center" wrapText="1"/>
    </xf>
    <xf numFmtId="1" fontId="10" fillId="0" borderId="1" xfId="0" applyNumberFormat="1" applyFont="1" applyBorder="1" applyAlignment="1">
      <alignment horizontal="center" vertical="center"/>
    </xf>
    <xf numFmtId="2" fontId="10" fillId="0" borderId="1" xfId="0" applyNumberFormat="1" applyFont="1" applyBorder="1" applyAlignment="1">
      <alignment vertical="center"/>
    </xf>
    <xf numFmtId="4" fontId="10" fillId="0" borderId="5" xfId="0" applyNumberFormat="1" applyFont="1" applyBorder="1" applyAlignment="1">
      <alignment horizontal="center" vertical="center"/>
    </xf>
    <xf numFmtId="0" fontId="10" fillId="4" borderId="7" xfId="0" applyFont="1" applyFill="1" applyBorder="1" applyAlignment="1">
      <alignment vertical="center" wrapText="1"/>
    </xf>
    <xf numFmtId="0" fontId="9" fillId="3" borderId="5"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4" fontId="12" fillId="0" borderId="1" xfId="0" applyNumberFormat="1" applyFont="1" applyBorder="1" applyAlignment="1">
      <alignment vertical="center" wrapText="1"/>
    </xf>
    <xf numFmtId="0" fontId="9" fillId="0" borderId="6" xfId="0" applyFont="1" applyBorder="1" applyAlignment="1">
      <alignment horizontal="center" vertical="center" wrapText="1"/>
    </xf>
    <xf numFmtId="4" fontId="12" fillId="0" borderId="5" xfId="0" applyNumberFormat="1" applyFont="1" applyBorder="1" applyAlignment="1">
      <alignment vertical="center" wrapText="1"/>
    </xf>
    <xf numFmtId="4" fontId="12" fillId="0" borderId="5" xfId="0" applyNumberFormat="1" applyFont="1" applyBorder="1" applyAlignment="1">
      <alignment vertical="center"/>
    </xf>
    <xf numFmtId="0" fontId="9" fillId="0" borderId="0" xfId="0" applyFont="1" applyAlignment="1">
      <alignment vertical="center"/>
    </xf>
    <xf numFmtId="49" fontId="5" fillId="7" borderId="14" xfId="1" applyNumberFormat="1" applyFont="1" applyFill="1" applyBorder="1" applyAlignment="1">
      <alignment horizontal="center" vertical="center" wrapText="1"/>
    </xf>
    <xf numFmtId="49" fontId="4" fillId="7" borderId="14" xfId="1" applyNumberFormat="1" applyFont="1" applyFill="1" applyBorder="1" applyAlignment="1">
      <alignment horizontal="left" vertical="center" wrapText="1"/>
    </xf>
    <xf numFmtId="0" fontId="4" fillId="4" borderId="14" xfId="4" applyFont="1" applyFill="1" applyBorder="1" applyAlignment="1" applyProtection="1">
      <alignment horizontal="center" vertical="center" wrapText="1"/>
      <protection locked="0"/>
    </xf>
    <xf numFmtId="2" fontId="4" fillId="4" borderId="14" xfId="4" applyNumberFormat="1" applyFont="1" applyFill="1" applyBorder="1" applyAlignment="1" applyProtection="1">
      <alignment horizontal="center" vertical="center" wrapText="1"/>
      <protection locked="0"/>
    </xf>
    <xf numFmtId="0" fontId="3" fillId="0" borderId="0" xfId="0" applyFont="1"/>
    <xf numFmtId="4" fontId="9" fillId="0" borderId="1" xfId="0" applyNumberFormat="1" applyFont="1" applyFill="1" applyBorder="1"/>
    <xf numFmtId="4" fontId="13" fillId="0" borderId="1" xfId="0" applyNumberFormat="1" applyFont="1" applyFill="1" applyBorder="1" applyAlignment="1">
      <alignment vertical="center"/>
    </xf>
    <xf numFmtId="0" fontId="9" fillId="0" borderId="1" xfId="0" applyFont="1" applyFill="1" applyBorder="1" applyAlignment="1">
      <alignment vertical="center" wrapText="1"/>
    </xf>
    <xf numFmtId="4" fontId="12" fillId="0" borderId="1" xfId="0" applyNumberFormat="1" applyFont="1" applyFill="1" applyBorder="1" applyAlignment="1">
      <alignment vertical="center"/>
    </xf>
    <xf numFmtId="4" fontId="10" fillId="0" borderId="1" xfId="0" applyNumberFormat="1" applyFont="1" applyFill="1" applyBorder="1" applyAlignment="1">
      <alignment horizontal="right" vertical="center"/>
    </xf>
    <xf numFmtId="4" fontId="10" fillId="0" borderId="1" xfId="0" applyNumberFormat="1" applyFont="1" applyFill="1" applyBorder="1" applyAlignment="1">
      <alignment vertical="center"/>
    </xf>
    <xf numFmtId="2" fontId="10" fillId="0" borderId="1" xfId="0" applyNumberFormat="1" applyFont="1" applyFill="1" applyBorder="1" applyAlignment="1">
      <alignment vertical="center"/>
    </xf>
    <xf numFmtId="3" fontId="8" fillId="6" borderId="1" xfId="2" applyNumberFormat="1" applyFont="1" applyFill="1" applyBorder="1" applyAlignment="1">
      <alignment horizontal="center"/>
    </xf>
    <xf numFmtId="0" fontId="15" fillId="0" borderId="0" xfId="1" applyFont="1" applyAlignment="1" applyProtection="1">
      <alignment vertical="center" wrapText="1"/>
      <protection locked="0"/>
    </xf>
    <xf numFmtId="0" fontId="4" fillId="0" borderId="0" xfId="1" applyFont="1" applyAlignment="1">
      <alignment vertical="center"/>
    </xf>
    <xf numFmtId="49" fontId="4" fillId="7" borderId="14" xfId="1" applyNumberFormat="1" applyFont="1" applyFill="1" applyBorder="1" applyAlignment="1">
      <alignment horizontal="center" vertical="center" wrapText="1"/>
    </xf>
    <xf numFmtId="0" fontId="19" fillId="0" borderId="0" xfId="8" applyFont="1"/>
    <xf numFmtId="0" fontId="20" fillId="0" borderId="0" xfId="0" applyFont="1"/>
    <xf numFmtId="0" fontId="20" fillId="0" borderId="0" xfId="0" applyFont="1" applyAlignment="1">
      <alignment horizontal="left"/>
    </xf>
    <xf numFmtId="0" fontId="15" fillId="0" borderId="0" xfId="1" applyFont="1" applyAlignment="1" applyProtection="1">
      <alignment vertical="center"/>
      <protection locked="0"/>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 xfId="0" applyFont="1" applyFill="1" applyBorder="1" applyAlignment="1">
      <alignment horizontal="center" vertical="center" wrapText="1"/>
    </xf>
    <xf numFmtId="0" fontId="27" fillId="0" borderId="0" xfId="0" applyFont="1" applyFill="1" applyAlignment="1">
      <alignment horizontal="center"/>
    </xf>
    <xf numFmtId="0" fontId="23" fillId="6" borderId="1" xfId="0" applyFont="1" applyFill="1" applyBorder="1" applyAlignment="1">
      <alignment vertical="center" wrapText="1"/>
    </xf>
    <xf numFmtId="3" fontId="23" fillId="6" borderId="1" xfId="0" applyNumberFormat="1" applyFont="1" applyFill="1" applyBorder="1" applyAlignment="1">
      <alignment vertical="center"/>
    </xf>
    <xf numFmtId="0" fontId="19" fillId="0" borderId="0" xfId="8" applyFont="1" applyBorder="1"/>
    <xf numFmtId="0" fontId="19" fillId="0" borderId="0" xfId="0" applyFont="1" applyFill="1" applyBorder="1"/>
    <xf numFmtId="0" fontId="20" fillId="0" borderId="0" xfId="0" applyFont="1" applyBorder="1"/>
    <xf numFmtId="0" fontId="21" fillId="0" borderId="0" xfId="8" applyFont="1" applyBorder="1"/>
    <xf numFmtId="0" fontId="25" fillId="0" borderId="0" xfId="0" applyFont="1" applyFill="1" applyBorder="1" applyAlignment="1">
      <alignment horizontal="left"/>
    </xf>
    <xf numFmtId="0" fontId="20" fillId="0" borderId="0" xfId="0" applyFont="1" applyBorder="1" applyAlignment="1">
      <alignment horizontal="left"/>
    </xf>
    <xf numFmtId="0" fontId="22" fillId="0" borderId="0" xfId="0" applyFont="1" applyFill="1" applyBorder="1" applyAlignment="1">
      <alignment horizontal="left"/>
    </xf>
    <xf numFmtId="2" fontId="5" fillId="0" borderId="0" xfId="1" applyNumberFormat="1" applyFont="1" applyFill="1" applyBorder="1" applyAlignment="1" applyProtection="1">
      <alignment horizontal="center" vertical="center" wrapText="1"/>
      <protection locked="0"/>
    </xf>
    <xf numFmtId="0" fontId="22" fillId="0" borderId="0" xfId="8" applyFont="1" applyFill="1" applyBorder="1"/>
    <xf numFmtId="0" fontId="26" fillId="0" borderId="0" xfId="0" applyFont="1" applyFill="1" applyBorder="1"/>
    <xf numFmtId="3" fontId="20" fillId="0" borderId="0" xfId="0" applyNumberFormat="1" applyFont="1" applyFill="1" applyAlignment="1">
      <alignment horizontal="right"/>
    </xf>
    <xf numFmtId="0" fontId="20" fillId="0" borderId="0" xfId="0" applyFont="1" applyFill="1" applyAlignment="1">
      <alignment horizontal="left"/>
    </xf>
    <xf numFmtId="9" fontId="5" fillId="0" borderId="0" xfId="2" applyFont="1" applyFill="1" applyAlignment="1">
      <alignment wrapText="1"/>
    </xf>
    <xf numFmtId="0" fontId="20" fillId="0" borderId="0" xfId="0" applyFont="1" applyFill="1" applyBorder="1"/>
    <xf numFmtId="0" fontId="20" fillId="0" borderId="0" xfId="0" applyFont="1" applyFill="1" applyBorder="1" applyAlignment="1">
      <alignment horizontal="left"/>
    </xf>
    <xf numFmtId="0" fontId="30" fillId="0" borderId="0" xfId="0" applyFont="1" applyFill="1" applyBorder="1"/>
    <xf numFmtId="0" fontId="19" fillId="0" borderId="0" xfId="0" applyFont="1"/>
    <xf numFmtId="0" fontId="19" fillId="0" borderId="0" xfId="0" applyFont="1" applyFill="1"/>
    <xf numFmtId="0" fontId="19" fillId="0" borderId="8" xfId="0" applyFont="1" applyBorder="1" applyAlignment="1">
      <alignment horizontal="center" vertical="center" wrapText="1"/>
    </xf>
    <xf numFmtId="0" fontId="19" fillId="0" borderId="20" xfId="0" applyFont="1" applyBorder="1" applyAlignment="1">
      <alignment horizontal="center" vertical="center"/>
    </xf>
    <xf numFmtId="3" fontId="32" fillId="6" borderId="1" xfId="0" applyNumberFormat="1" applyFont="1" applyFill="1" applyBorder="1" applyAlignment="1">
      <alignment horizontal="center" vertical="center"/>
    </xf>
    <xf numFmtId="3" fontId="19" fillId="0" borderId="0" xfId="0" applyNumberFormat="1" applyFont="1"/>
    <xf numFmtId="0" fontId="19" fillId="0" borderId="0" xfId="0" applyFont="1" applyBorder="1"/>
    <xf numFmtId="0" fontId="28" fillId="0" borderId="0" xfId="0" applyFont="1" applyAlignment="1">
      <alignment horizontal="left" vertical="center" wrapText="1"/>
    </xf>
    <xf numFmtId="0" fontId="26" fillId="2" borderId="10" xfId="0" applyFont="1" applyFill="1" applyBorder="1" applyAlignment="1">
      <alignment vertical="center" wrapText="1"/>
    </xf>
    <xf numFmtId="0" fontId="26" fillId="2" borderId="10" xfId="0" applyFont="1" applyFill="1" applyBorder="1" applyAlignment="1">
      <alignment horizontal="left" vertical="center" wrapText="1"/>
    </xf>
    <xf numFmtId="164" fontId="23" fillId="2" borderId="10" xfId="0" applyNumberFormat="1" applyFont="1" applyFill="1" applyBorder="1" applyAlignment="1">
      <alignment horizontal="center" vertical="center" wrapText="1"/>
    </xf>
    <xf numFmtId="0" fontId="26" fillId="2" borderId="10" xfId="0" applyFont="1" applyFill="1" applyBorder="1"/>
    <xf numFmtId="0" fontId="26" fillId="0" borderId="0" xfId="0" applyFont="1" applyFill="1" applyBorder="1" applyAlignment="1">
      <alignment horizontal="left"/>
    </xf>
    <xf numFmtId="0" fontId="31" fillId="0" borderId="0" xfId="0" applyFont="1" applyBorder="1" applyAlignment="1">
      <alignment horizontal="left" vertical="center" wrapText="1"/>
    </xf>
    <xf numFmtId="0" fontId="30" fillId="0" borderId="0" xfId="0" applyFont="1" applyFill="1" applyBorder="1" applyAlignment="1">
      <alignment horizontal="left"/>
    </xf>
    <xf numFmtId="0" fontId="26" fillId="0" borderId="10" xfId="0" applyFont="1" applyFill="1" applyBorder="1" applyAlignment="1">
      <alignment vertical="center" wrapText="1"/>
    </xf>
    <xf numFmtId="0" fontId="26" fillId="0" borderId="10" xfId="0" applyFont="1" applyFill="1" applyBorder="1" applyAlignment="1">
      <alignment horizontal="left" vertical="center" wrapText="1"/>
    </xf>
    <xf numFmtId="0" fontId="33" fillId="0" borderId="0" xfId="6" applyFont="1" applyAlignment="1">
      <alignment horizontal="left"/>
    </xf>
    <xf numFmtId="164" fontId="23" fillId="0" borderId="11"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30" fillId="0" borderId="0" xfId="0" applyFont="1"/>
    <xf numFmtId="0" fontId="30" fillId="0" borderId="1" xfId="0" applyFont="1" applyBorder="1"/>
    <xf numFmtId="0" fontId="32" fillId="0" borderId="1" xfId="0" applyFont="1" applyBorder="1"/>
    <xf numFmtId="0" fontId="26" fillId="0" borderId="10" xfId="0" applyFont="1" applyFill="1" applyBorder="1"/>
    <xf numFmtId="3" fontId="30" fillId="0" borderId="1" xfId="0" applyNumberFormat="1" applyFont="1" applyBorder="1"/>
    <xf numFmtId="3" fontId="32" fillId="6" borderId="1" xfId="0" applyNumberFormat="1" applyFont="1" applyFill="1" applyBorder="1"/>
    <xf numFmtId="0" fontId="24" fillId="0" borderId="0" xfId="0" applyFont="1" applyAlignment="1">
      <alignment horizontal="left" vertical="center"/>
    </xf>
    <xf numFmtId="0" fontId="34" fillId="0" borderId="0" xfId="0" applyFont="1" applyFill="1" applyBorder="1" applyAlignment="1">
      <alignment horizontal="left" vertical="center"/>
    </xf>
    <xf numFmtId="0" fontId="24" fillId="0" borderId="0" xfId="0" applyFont="1" applyBorder="1" applyAlignment="1">
      <alignment horizontal="left" vertical="center"/>
    </xf>
    <xf numFmtId="3" fontId="18" fillId="6" borderId="1" xfId="0" applyNumberFormat="1" applyFont="1" applyFill="1" applyBorder="1"/>
    <xf numFmtId="0" fontId="28" fillId="0" borderId="0" xfId="0" applyFont="1" applyAlignment="1">
      <alignment vertical="center"/>
    </xf>
    <xf numFmtId="3" fontId="18" fillId="6" borderId="1" xfId="0" applyNumberFormat="1" applyFont="1" applyFill="1" applyBorder="1" applyAlignment="1">
      <alignment horizontal="center" vertical="center"/>
    </xf>
    <xf numFmtId="0" fontId="19" fillId="0" borderId="0" xfId="0" applyFont="1" applyBorder="1" applyAlignment="1">
      <alignment horizontal="left"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3" fontId="26" fillId="0" borderId="1" xfId="0" applyNumberFormat="1" applyFont="1" applyFill="1" applyBorder="1" applyAlignment="1">
      <alignment horizontal="right" vertical="center"/>
    </xf>
    <xf numFmtId="0" fontId="26" fillId="0" borderId="0" xfId="0" applyFont="1" applyFill="1" applyAlignment="1">
      <alignment vertical="center"/>
    </xf>
    <xf numFmtId="2" fontId="26" fillId="2" borderId="10" xfId="0" applyNumberFormat="1" applyFont="1" applyFill="1" applyBorder="1" applyAlignment="1">
      <alignment vertical="center" wrapText="1"/>
    </xf>
    <xf numFmtId="2" fontId="26" fillId="2" borderId="10" xfId="0" applyNumberFormat="1" applyFont="1" applyFill="1" applyBorder="1" applyAlignment="1">
      <alignment horizontal="left" vertical="center" wrapText="1"/>
    </xf>
    <xf numFmtId="2" fontId="23" fillId="2" borderId="10" xfId="0" applyNumberFormat="1" applyFont="1" applyFill="1" applyBorder="1" applyAlignment="1">
      <alignment horizontal="center" vertical="center" wrapText="1"/>
    </xf>
    <xf numFmtId="2" fontId="26" fillId="2" borderId="10" xfId="0" applyNumberFormat="1" applyFont="1" applyFill="1" applyBorder="1"/>
    <xf numFmtId="0" fontId="4" fillId="0" borderId="0" xfId="1" applyFont="1" applyBorder="1" applyAlignment="1">
      <alignment horizontal="center" vertical="center" wrapText="1"/>
    </xf>
    <xf numFmtId="0" fontId="14" fillId="0" borderId="0"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165" fontId="13" fillId="0" borderId="0" xfId="1" applyNumberFormat="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14" fillId="0" borderId="0"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30" fillId="0" borderId="1" xfId="4" applyFont="1" applyFill="1" applyBorder="1"/>
    <xf numFmtId="0" fontId="23" fillId="0" borderId="0" xfId="10" applyFont="1"/>
    <xf numFmtId="0" fontId="26" fillId="0" borderId="0" xfId="10" applyFont="1"/>
    <xf numFmtId="0" fontId="26" fillId="0" borderId="1" xfId="10" applyFont="1" applyBorder="1"/>
    <xf numFmtId="0" fontId="26" fillId="0" borderId="0" xfId="9" applyFont="1"/>
    <xf numFmtId="0" fontId="26" fillId="0" borderId="1" xfId="0" applyFont="1" applyBorder="1" applyAlignment="1">
      <alignment vertical="center"/>
    </xf>
    <xf numFmtId="0" fontId="26" fillId="0" borderId="1" xfId="0" applyFont="1" applyBorder="1" applyAlignment="1">
      <alignment vertical="center" wrapText="1"/>
    </xf>
    <xf numFmtId="3" fontId="26" fillId="0" borderId="1" xfId="0" applyNumberFormat="1" applyFont="1" applyFill="1" applyBorder="1" applyAlignment="1">
      <alignment vertical="center"/>
    </xf>
    <xf numFmtId="3" fontId="26" fillId="0" borderId="1" xfId="0" applyNumberFormat="1" applyFont="1" applyBorder="1" applyAlignment="1">
      <alignment vertical="center"/>
    </xf>
    <xf numFmtId="3" fontId="26" fillId="0" borderId="1" xfId="0" applyNumberFormat="1" applyFont="1" applyBorder="1" applyAlignment="1">
      <alignment horizontal="right" vertical="center"/>
    </xf>
    <xf numFmtId="0" fontId="30" fillId="0" borderId="1" xfId="3" applyFont="1" applyFill="1" applyBorder="1" applyAlignment="1">
      <alignment horizontal="left" vertical="center" wrapText="1"/>
    </xf>
    <xf numFmtId="0" fontId="39" fillId="0" borderId="0" xfId="0" applyFont="1" applyAlignment="1">
      <alignment vertical="center" wrapText="1"/>
    </xf>
    <xf numFmtId="0" fontId="41" fillId="0" borderId="0" xfId="0" applyFont="1" applyAlignment="1"/>
    <xf numFmtId="0" fontId="26" fillId="0" borderId="1" xfId="0" applyFont="1" applyBorder="1"/>
    <xf numFmtId="3" fontId="26" fillId="0" borderId="1" xfId="0" applyNumberFormat="1" applyFont="1" applyBorder="1"/>
    <xf numFmtId="9" fontId="26" fillId="0" borderId="1" xfId="0" applyNumberFormat="1" applyFont="1" applyBorder="1"/>
    <xf numFmtId="0" fontId="20" fillId="0" borderId="1" xfId="0" applyFont="1" applyFill="1" applyBorder="1" applyAlignment="1">
      <alignment horizontal="center" vertical="center" wrapText="1"/>
    </xf>
    <xf numFmtId="3" fontId="8" fillId="6" borderId="1" xfId="0" applyNumberFormat="1" applyFont="1" applyFill="1" applyBorder="1"/>
    <xf numFmtId="3" fontId="8" fillId="6" borderId="1" xfId="0" applyNumberFormat="1" applyFont="1" applyFill="1" applyBorder="1" applyAlignment="1">
      <alignment horizontal="right"/>
    </xf>
    <xf numFmtId="0" fontId="5" fillId="0" borderId="0" xfId="1" applyFont="1" applyFill="1"/>
    <xf numFmtId="0" fontId="26" fillId="0" borderId="10" xfId="0" applyFont="1" applyBorder="1" applyAlignment="1">
      <alignment vertical="center"/>
    </xf>
    <xf numFmtId="0" fontId="4" fillId="0" borderId="1" xfId="7" applyFont="1" applyFill="1" applyBorder="1"/>
    <xf numFmtId="0" fontId="4" fillId="0" borderId="1" xfId="0" applyFont="1" applyFill="1" applyBorder="1"/>
    <xf numFmtId="49" fontId="30" fillId="0" borderId="14" xfId="1" applyNumberFormat="1" applyFont="1" applyFill="1" applyBorder="1" applyAlignment="1">
      <alignment horizontal="left" vertical="center" wrapText="1"/>
    </xf>
    <xf numFmtId="0" fontId="30" fillId="0" borderId="0" xfId="3" applyFont="1" applyFill="1"/>
    <xf numFmtId="49" fontId="4" fillId="0" borderId="14" xfId="1" applyNumberFormat="1" applyFont="1" applyFill="1" applyBorder="1" applyAlignment="1">
      <alignment horizontal="left" vertical="center" wrapText="1"/>
    </xf>
    <xf numFmtId="0" fontId="30" fillId="0" borderId="0" xfId="0" applyFont="1" applyFill="1"/>
    <xf numFmtId="0" fontId="18" fillId="0" borderId="1" xfId="0" applyFont="1" applyFill="1" applyBorder="1" applyAlignment="1">
      <alignment horizontal="center" vertical="center" wrapText="1"/>
    </xf>
    <xf numFmtId="3" fontId="19" fillId="0" borderId="1" xfId="0" applyNumberFormat="1" applyFont="1" applyFill="1" applyBorder="1"/>
    <xf numFmtId="0" fontId="19" fillId="0" borderId="1" xfId="0" applyFont="1" applyFill="1" applyBorder="1"/>
    <xf numFmtId="3" fontId="18" fillId="0" borderId="1" xfId="0" applyNumberFormat="1" applyFont="1" applyFill="1" applyBorder="1"/>
    <xf numFmtId="0" fontId="43" fillId="0" borderId="0" xfId="0" applyFont="1" applyFill="1" applyAlignment="1">
      <alignment horizontal="left" vertical="center"/>
    </xf>
    <xf numFmtId="0" fontId="10" fillId="0" borderId="0" xfId="0" applyFont="1" applyFill="1"/>
    <xf numFmtId="0" fontId="11" fillId="0" borderId="6" xfId="0" applyFont="1" applyFill="1" applyBorder="1" applyAlignment="1">
      <alignment horizontal="left" vertical="center" wrapText="1"/>
    </xf>
    <xf numFmtId="0" fontId="11" fillId="0" borderId="6" xfId="0" applyFont="1" applyFill="1" applyBorder="1" applyAlignment="1">
      <alignment vertical="center" wrapText="1"/>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0" fillId="0" borderId="5" xfId="0" applyNumberFormat="1" applyFont="1" applyFill="1" applyBorder="1" applyAlignment="1">
      <alignment horizontal="center" vertical="center"/>
    </xf>
    <xf numFmtId="4" fontId="12" fillId="6" borderId="1" xfId="0" applyNumberFormat="1" applyFont="1" applyFill="1" applyBorder="1" applyAlignment="1">
      <alignment vertical="center" wrapText="1"/>
    </xf>
    <xf numFmtId="3" fontId="9" fillId="6" borderId="1" xfId="0" applyNumberFormat="1" applyFont="1" applyFill="1" applyBorder="1"/>
    <xf numFmtId="4" fontId="12" fillId="0" borderId="1" xfId="0" applyNumberFormat="1" applyFont="1" applyFill="1" applyBorder="1" applyAlignment="1">
      <alignment vertical="center" wrapText="1"/>
    </xf>
    <xf numFmtId="0" fontId="9" fillId="0" borderId="6" xfId="0" applyFont="1" applyFill="1" applyBorder="1" applyAlignment="1">
      <alignment horizontal="center" vertical="center" wrapText="1"/>
    </xf>
    <xf numFmtId="4" fontId="12" fillId="0" borderId="5" xfId="0" applyNumberFormat="1" applyFont="1" applyFill="1" applyBorder="1" applyAlignment="1">
      <alignment vertical="center" wrapText="1"/>
    </xf>
    <xf numFmtId="0" fontId="26" fillId="0" borderId="25" xfId="9" applyFont="1" applyBorder="1" applyAlignment="1">
      <alignment horizontal="center" vertical="center" wrapText="1"/>
    </xf>
    <xf numFmtId="0" fontId="34" fillId="0" borderId="25" xfId="9" applyFont="1" applyBorder="1" applyAlignment="1">
      <alignment horizontal="center" vertical="center" wrapText="1"/>
    </xf>
    <xf numFmtId="2" fontId="26" fillId="0" borderId="25" xfId="9" applyNumberFormat="1" applyFont="1" applyBorder="1" applyAlignment="1">
      <alignment horizontal="center" vertical="center" wrapText="1"/>
    </xf>
    <xf numFmtId="3" fontId="26" fillId="0" borderId="25" xfId="9" applyNumberFormat="1" applyFont="1" applyBorder="1" applyAlignment="1">
      <alignment horizontal="center" vertical="center" wrapText="1"/>
    </xf>
    <xf numFmtId="3" fontId="26" fillId="4" borderId="25"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2" applyNumberFormat="1" applyFont="1" applyFill="1" applyBorder="1" applyAlignment="1">
      <alignment horizontal="center"/>
    </xf>
    <xf numFmtId="0" fontId="5" fillId="0" borderId="1" xfId="1" applyFont="1" applyFill="1" applyBorder="1" applyAlignment="1">
      <alignment horizontal="center" vertical="center" wrapText="1"/>
    </xf>
    <xf numFmtId="3" fontId="5" fillId="0" borderId="1" xfId="1" applyNumberFormat="1" applyFont="1" applyFill="1" applyBorder="1" applyAlignment="1">
      <alignment horizontal="center"/>
    </xf>
    <xf numFmtId="0" fontId="5" fillId="0" borderId="1" xfId="1" applyFont="1" applyFill="1" applyBorder="1" applyAlignment="1">
      <alignment horizontal="center"/>
    </xf>
    <xf numFmtId="9" fontId="5" fillId="0" borderId="1" xfId="2" applyFont="1" applyFill="1" applyBorder="1" applyAlignment="1">
      <alignment horizontal="center" vertical="center" wrapText="1"/>
    </xf>
    <xf numFmtId="0" fontId="37" fillId="0" borderId="0" xfId="1" applyFont="1" applyFill="1"/>
    <xf numFmtId="2" fontId="23" fillId="2" borderId="1" xfId="0" applyNumberFormat="1" applyFont="1" applyFill="1" applyBorder="1" applyAlignment="1">
      <alignment horizontal="center" vertical="center" wrapText="1"/>
    </xf>
    <xf numFmtId="0" fontId="45" fillId="0" borderId="0" xfId="0" applyFont="1" applyAlignment="1">
      <alignment horizontal="left" vertical="center" wrapText="1"/>
    </xf>
    <xf numFmtId="0" fontId="45" fillId="0" borderId="0" xfId="0" applyFont="1" applyFill="1" applyBorder="1" applyAlignment="1">
      <alignment horizontal="left" vertical="center" wrapText="1"/>
    </xf>
    <xf numFmtId="0" fontId="26" fillId="0" borderId="0" xfId="0" applyFont="1"/>
    <xf numFmtId="0" fontId="23" fillId="2" borderId="1" xfId="0" applyFont="1" applyFill="1" applyBorder="1" applyAlignment="1">
      <alignment horizontal="center" vertical="center" wrapText="1"/>
    </xf>
    <xf numFmtId="3" fontId="26" fillId="0" borderId="11" xfId="0" applyNumberFormat="1" applyFont="1" applyBorder="1"/>
    <xf numFmtId="0" fontId="15" fillId="0" borderId="0" xfId="0" applyFont="1" applyFill="1"/>
    <xf numFmtId="0" fontId="19" fillId="0" borderId="0" xfId="0" applyFont="1" applyFill="1" applyAlignment="1">
      <alignment horizontal="center"/>
    </xf>
    <xf numFmtId="3" fontId="19" fillId="0" borderId="0" xfId="0" applyNumberFormat="1" applyFont="1" applyFill="1"/>
    <xf numFmtId="3" fontId="32" fillId="6" borderId="1" xfId="0" applyNumberFormat="1" applyFont="1" applyFill="1" applyBorder="1" applyAlignment="1">
      <alignment vertical="center"/>
    </xf>
    <xf numFmtId="3" fontId="23" fillId="0" borderId="1" xfId="0" applyNumberFormat="1" applyFont="1" applyBorder="1" applyAlignment="1">
      <alignment vertical="center"/>
    </xf>
    <xf numFmtId="3" fontId="34" fillId="0" borderId="1" xfId="0" applyNumberFormat="1" applyFont="1" applyBorder="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32" fillId="6" borderId="1" xfId="0" applyFont="1" applyFill="1" applyBorder="1" applyAlignment="1">
      <alignment vertical="center"/>
    </xf>
    <xf numFmtId="0" fontId="34" fillId="0" borderId="1" xfId="0" applyFont="1" applyBorder="1" applyAlignment="1">
      <alignment vertical="center"/>
    </xf>
    <xf numFmtId="0" fontId="23" fillId="0" borderId="0" xfId="0" applyFont="1" applyAlignment="1">
      <alignment horizontal="center" vertical="center"/>
    </xf>
    <xf numFmtId="3" fontId="34" fillId="0" borderId="1" xfId="0" applyNumberFormat="1" applyFont="1" applyFill="1" applyBorder="1" applyAlignment="1">
      <alignment vertical="center"/>
    </xf>
    <xf numFmtId="0" fontId="23" fillId="0" borderId="0" xfId="0" applyFont="1" applyAlignment="1">
      <alignment vertical="center"/>
    </xf>
    <xf numFmtId="0" fontId="32" fillId="6" borderId="1" xfId="0" applyFont="1" applyFill="1" applyBorder="1" applyAlignment="1">
      <alignment horizontal="right" vertical="center"/>
    </xf>
    <xf numFmtId="3" fontId="32" fillId="6" borderId="1" xfId="0" applyNumberFormat="1" applyFont="1" applyFill="1" applyBorder="1" applyAlignment="1">
      <alignment vertical="center" wrapText="1"/>
    </xf>
    <xf numFmtId="0" fontId="32" fillId="0" borderId="0" xfId="0" applyFont="1" applyAlignment="1">
      <alignment vertical="center"/>
    </xf>
    <xf numFmtId="0" fontId="23" fillId="0" borderId="1" xfId="0" applyFont="1" applyBorder="1" applyAlignment="1">
      <alignment horizontal="right" vertical="center"/>
    </xf>
    <xf numFmtId="0" fontId="34" fillId="0" borderId="1" xfId="0" applyFont="1" applyBorder="1" applyAlignment="1">
      <alignment vertical="center" wrapText="1"/>
    </xf>
    <xf numFmtId="0" fontId="34" fillId="0" borderId="0" xfId="0" applyFont="1" applyAlignment="1">
      <alignment vertical="center"/>
    </xf>
    <xf numFmtId="0" fontId="34" fillId="0" borderId="1" xfId="0" applyFont="1" applyBorder="1" applyAlignment="1">
      <alignment horizontal="right" vertical="center"/>
    </xf>
    <xf numFmtId="0" fontId="23" fillId="6" borderId="1" xfId="0" applyFont="1" applyFill="1" applyBorder="1" applyAlignment="1">
      <alignment vertical="center"/>
    </xf>
    <xf numFmtId="0" fontId="26" fillId="6" borderId="1" xfId="0" applyFont="1" applyFill="1" applyBorder="1" applyAlignment="1">
      <alignment vertical="center" wrapText="1"/>
    </xf>
    <xf numFmtId="0" fontId="26" fillId="6" borderId="1" xfId="0" applyFont="1" applyFill="1" applyBorder="1" applyAlignment="1">
      <alignment vertical="center"/>
    </xf>
    <xf numFmtId="0" fontId="26" fillId="0" borderId="1" xfId="0" applyFont="1" applyBorder="1" applyAlignment="1">
      <alignment horizontal="right" vertical="center"/>
    </xf>
    <xf numFmtId="0" fontId="46" fillId="0" borderId="1" xfId="8" applyFont="1" applyBorder="1" applyAlignment="1">
      <alignment horizontal="center" vertical="center" wrapText="1"/>
    </xf>
    <xf numFmtId="0" fontId="32" fillId="6" borderId="1" xfId="0" applyFont="1" applyFill="1" applyBorder="1" applyAlignment="1">
      <alignment horizontal="center" vertical="center"/>
    </xf>
    <xf numFmtId="0" fontId="34" fillId="0" borderId="1" xfId="0" applyFont="1" applyBorder="1" applyAlignment="1">
      <alignment horizontal="center" vertical="center"/>
    </xf>
    <xf numFmtId="0" fontId="23" fillId="6"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2" fillId="0" borderId="0" xfId="0" applyFont="1"/>
    <xf numFmtId="0" fontId="30" fillId="0" borderId="1" xfId="0" applyFont="1" applyFill="1" applyBorder="1"/>
    <xf numFmtId="3" fontId="26" fillId="0" borderId="0" xfId="0" applyNumberFormat="1" applyFont="1" applyAlignment="1">
      <alignment vertical="center"/>
    </xf>
    <xf numFmtId="0" fontId="26" fillId="0" borderId="2" xfId="0" applyFont="1" applyBorder="1" applyAlignment="1">
      <alignment vertical="center" wrapText="1"/>
    </xf>
    <xf numFmtId="1" fontId="10" fillId="0" borderId="0" xfId="0" applyNumberFormat="1" applyFont="1"/>
    <xf numFmtId="0" fontId="47" fillId="0" borderId="0" xfId="0" applyFont="1" applyAlignment="1">
      <alignment vertical="center" wrapText="1"/>
    </xf>
    <xf numFmtId="0" fontId="30" fillId="0" borderId="1" xfId="0" applyFont="1" applyBorder="1" applyAlignment="1">
      <alignment horizontal="center"/>
    </xf>
    <xf numFmtId="0" fontId="22" fillId="0" borderId="0" xfId="0" applyFont="1" applyAlignment="1">
      <alignment horizontal="right" wrapText="1"/>
    </xf>
    <xf numFmtId="0" fontId="26" fillId="0" borderId="0" xfId="0" applyFont="1" applyAlignment="1">
      <alignment horizontal="righ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1"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1" applyFont="1" applyAlignment="1" applyProtection="1">
      <alignment horizontal="center" vertical="center" wrapText="1"/>
      <protection locked="0"/>
    </xf>
    <xf numFmtId="0" fontId="32" fillId="0" borderId="1" xfId="0" applyFont="1" applyBorder="1" applyAlignment="1">
      <alignment vertical="center"/>
    </xf>
    <xf numFmtId="0" fontId="30" fillId="0" borderId="1" xfId="0" applyFont="1" applyBorder="1" applyAlignment="1">
      <alignment horizontal="center" vertical="center"/>
    </xf>
    <xf numFmtId="0" fontId="26" fillId="0" borderId="0" xfId="0" applyFont="1" applyAlignment="1">
      <alignment vertical="center" wrapText="1"/>
    </xf>
    <xf numFmtId="0" fontId="23" fillId="0" borderId="1" xfId="0" applyFont="1" applyBorder="1" applyAlignment="1">
      <alignment vertical="center"/>
    </xf>
    <xf numFmtId="0" fontId="26" fillId="0" borderId="13" xfId="0" applyFont="1" applyFill="1" applyBorder="1" applyAlignment="1">
      <alignment horizontal="left" vertical="center"/>
    </xf>
    <xf numFmtId="0" fontId="26" fillId="0" borderId="13" xfId="0" applyFont="1" applyFill="1" applyBorder="1" applyAlignment="1">
      <alignment horizontal="left" vertical="center" wrapText="1"/>
    </xf>
    <xf numFmtId="0" fontId="49" fillId="0" borderId="0" xfId="0" applyFont="1" applyFill="1"/>
    <xf numFmtId="0" fontId="50" fillId="0" borderId="0" xfId="0" applyFont="1" applyFill="1"/>
    <xf numFmtId="0" fontId="51" fillId="0" borderId="0" xfId="0" applyFont="1" applyFill="1" applyAlignment="1">
      <alignment horizontal="left" vertical="center" wrapText="1"/>
    </xf>
    <xf numFmtId="0" fontId="52" fillId="0" borderId="0" xfId="0" applyFont="1" applyFill="1" applyAlignment="1">
      <alignment vertical="center" wrapText="1"/>
    </xf>
    <xf numFmtId="0" fontId="30" fillId="0" borderId="0" xfId="8" applyFont="1" applyFill="1" applyBorder="1"/>
    <xf numFmtId="0" fontId="26" fillId="0" borderId="0" xfId="8" applyFont="1" applyFill="1" applyBorder="1"/>
    <xf numFmtId="0" fontId="30" fillId="0" borderId="0" xfId="8" applyFont="1" applyFill="1"/>
    <xf numFmtId="0" fontId="30" fillId="0" borderId="0" xfId="0" applyFont="1" applyFill="1" applyAlignment="1">
      <alignment horizontal="left"/>
    </xf>
    <xf numFmtId="0" fontId="26" fillId="0" borderId="0" xfId="8" applyFont="1" applyFill="1"/>
    <xf numFmtId="0" fontId="4" fillId="0" borderId="0" xfId="0" applyFont="1" applyFill="1"/>
    <xf numFmtId="0" fontId="4" fillId="0" borderId="0" xfId="0" applyFont="1" applyFill="1" applyAlignment="1"/>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0" borderId="1" xfId="7" applyFont="1" applyFill="1" applyBorder="1" applyAlignment="1">
      <alignment vertical="center"/>
    </xf>
    <xf numFmtId="2" fontId="4" fillId="0" borderId="1" xfId="0" applyNumberFormat="1" applyFont="1" applyFill="1" applyBorder="1"/>
    <xf numFmtId="3" fontId="4" fillId="0" borderId="1" xfId="0" applyNumberFormat="1" applyFont="1" applyFill="1" applyBorder="1"/>
    <xf numFmtId="3" fontId="15" fillId="0" borderId="1" xfId="0"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alignment wrapText="1"/>
    </xf>
    <xf numFmtId="0" fontId="53" fillId="0" borderId="0" xfId="0" applyFont="1" applyFill="1" applyBorder="1"/>
    <xf numFmtId="0" fontId="20" fillId="0" borderId="1" xfId="0" applyFont="1" applyFill="1" applyBorder="1"/>
    <xf numFmtId="0" fontId="54" fillId="0" borderId="0" xfId="0" applyFont="1" applyFill="1" applyBorder="1"/>
    <xf numFmtId="3" fontId="54" fillId="0" borderId="0" xfId="0" applyNumberFormat="1" applyFont="1" applyFill="1" applyBorder="1"/>
    <xf numFmtId="3" fontId="15" fillId="6" borderId="1" xfId="0" applyNumberFormat="1" applyFont="1" applyFill="1" applyBorder="1" applyAlignment="1">
      <alignment horizontal="right" vertical="center" wrapText="1"/>
    </xf>
    <xf numFmtId="2" fontId="49" fillId="0" borderId="0" xfId="0" applyNumberFormat="1" applyFont="1" applyFill="1"/>
    <xf numFmtId="0" fontId="49" fillId="0" borderId="0" xfId="0" applyFont="1"/>
    <xf numFmtId="0" fontId="50" fillId="0" borderId="0" xfId="0" applyFont="1"/>
    <xf numFmtId="0" fontId="51" fillId="0" borderId="0" xfId="0" applyFont="1" applyAlignment="1">
      <alignment horizontal="left"/>
    </xf>
    <xf numFmtId="0" fontId="38" fillId="0" borderId="0" xfId="0" applyFont="1" applyAlignment="1">
      <alignment horizontal="left"/>
    </xf>
    <xf numFmtId="0" fontId="30" fillId="0" borderId="0" xfId="8" applyFont="1"/>
    <xf numFmtId="0" fontId="26" fillId="0" borderId="0" xfId="8" applyFont="1"/>
    <xf numFmtId="0" fontId="49" fillId="0" borderId="0" xfId="0" applyFont="1" applyAlignment="1">
      <alignment horizontal="center" vertical="center"/>
    </xf>
    <xf numFmtId="0" fontId="1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0" fillId="0" borderId="0" xfId="0" applyFont="1" applyAlignment="1">
      <alignment horizontal="center" vertical="center"/>
    </xf>
    <xf numFmtId="0" fontId="50" fillId="0" borderId="1" xfId="0" applyFont="1" applyBorder="1"/>
    <xf numFmtId="2" fontId="10" fillId="0" borderId="1" xfId="0" applyNumberFormat="1" applyFont="1" applyFill="1" applyBorder="1"/>
    <xf numFmtId="1" fontId="10" fillId="0" borderId="1" xfId="0" applyNumberFormat="1" applyFont="1" applyFill="1" applyBorder="1"/>
    <xf numFmtId="3" fontId="10" fillId="0" borderId="1" xfId="0" applyNumberFormat="1" applyFont="1" applyBorder="1"/>
    <xf numFmtId="0" fontId="50" fillId="0" borderId="1" xfId="0" applyFont="1" applyBorder="1" applyAlignment="1">
      <alignment wrapText="1"/>
    </xf>
    <xf numFmtId="0" fontId="56" fillId="0" borderId="0" xfId="3" applyFont="1"/>
    <xf numFmtId="0" fontId="4" fillId="0" borderId="0" xfId="3" applyFont="1"/>
    <xf numFmtId="3" fontId="15" fillId="6" borderId="1" xfId="3" applyNumberFormat="1" applyFont="1" applyFill="1" applyBorder="1"/>
    <xf numFmtId="0" fontId="56" fillId="0" borderId="0" xfId="3" applyFont="1" applyFill="1"/>
    <xf numFmtId="0" fontId="4" fillId="0" borderId="0" xfId="4" applyFont="1" applyFill="1" applyAlignment="1">
      <alignment horizontal="right"/>
    </xf>
    <xf numFmtId="0" fontId="4" fillId="0" borderId="0" xfId="3" applyFont="1" applyAlignment="1">
      <alignment horizontal="left" wrapText="1"/>
    </xf>
    <xf numFmtId="0" fontId="4" fillId="4" borderId="1" xfId="4" applyFont="1" applyFill="1" applyBorder="1" applyAlignment="1">
      <alignment horizontal="center" vertical="center" wrapText="1"/>
    </xf>
    <xf numFmtId="0" fontId="4" fillId="0" borderId="0" xfId="4" applyFont="1" applyFill="1" applyAlignment="1">
      <alignment vertical="center" wrapText="1"/>
    </xf>
    <xf numFmtId="0" fontId="56" fillId="0" borderId="0" xfId="3" applyFont="1" applyBorder="1"/>
    <xf numFmtId="0" fontId="4" fillId="0" borderId="1" xfId="4" applyFont="1" applyFill="1" applyBorder="1"/>
    <xf numFmtId="0" fontId="56" fillId="0" borderId="0" xfId="3" applyFont="1" applyFill="1" applyBorder="1"/>
    <xf numFmtId="167" fontId="4" fillId="7" borderId="1" xfId="4" applyNumberFormat="1" applyFont="1" applyFill="1" applyBorder="1"/>
    <xf numFmtId="0" fontId="4" fillId="7" borderId="1" xfId="4" applyFont="1" applyFill="1" applyBorder="1"/>
    <xf numFmtId="0" fontId="4" fillId="0" borderId="0" xfId="4" applyFont="1" applyFill="1" applyBorder="1" applyAlignment="1">
      <alignment horizontal="right"/>
    </xf>
    <xf numFmtId="0" fontId="4" fillId="5" borderId="14" xfId="4" applyFont="1" applyFill="1" applyBorder="1" applyAlignment="1">
      <alignment horizontal="center" vertical="center" wrapText="1"/>
    </xf>
    <xf numFmtId="0" fontId="4" fillId="5" borderId="14" xfId="5" applyFont="1" applyFill="1" applyBorder="1" applyAlignment="1">
      <alignment horizontal="center" vertical="center" wrapText="1"/>
    </xf>
    <xf numFmtId="0" fontId="4" fillId="4" borderId="14" xfId="4" applyFont="1" applyFill="1" applyBorder="1" applyAlignment="1">
      <alignment horizontal="center" vertical="center"/>
    </xf>
    <xf numFmtId="2" fontId="4" fillId="4" borderId="14" xfId="4" applyNumberFormat="1" applyFont="1" applyFill="1" applyBorder="1" applyAlignment="1">
      <alignment horizontal="center" vertical="center"/>
    </xf>
    <xf numFmtId="2" fontId="15" fillId="8" borderId="14" xfId="4" applyNumberFormat="1" applyFont="1" applyFill="1" applyBorder="1" applyAlignment="1">
      <alignment horizontal="center" vertical="center"/>
    </xf>
    <xf numFmtId="2" fontId="49" fillId="0" borderId="0" xfId="0" applyNumberFormat="1" applyFont="1"/>
    <xf numFmtId="0" fontId="4" fillId="0" borderId="0" xfId="4" applyFont="1" applyFill="1" applyAlignment="1">
      <alignment vertical="center"/>
    </xf>
    <xf numFmtId="0" fontId="4" fillId="4" borderId="0" xfId="4" applyFont="1" applyFill="1" applyAlignment="1">
      <alignment horizontal="right"/>
    </xf>
    <xf numFmtId="0" fontId="4" fillId="7" borderId="14" xfId="4" applyFont="1" applyFill="1" applyBorder="1"/>
    <xf numFmtId="0" fontId="26" fillId="0" borderId="0" xfId="0" applyFont="1" applyAlignment="1">
      <alignment wrapText="1"/>
    </xf>
    <xf numFmtId="0" fontId="48" fillId="0" borderId="0" xfId="0" applyFont="1" applyAlignment="1"/>
    <xf numFmtId="0" fontId="51" fillId="0" borderId="0" xfId="0" applyFont="1" applyAlignment="1">
      <alignmen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Fill="1" applyAlignment="1">
      <alignment horizontal="left" vertical="center"/>
    </xf>
    <xf numFmtId="0" fontId="49" fillId="0" borderId="0" xfId="0" applyFont="1" applyFill="1" applyAlignment="1"/>
    <xf numFmtId="0" fontId="37" fillId="0" borderId="2" xfId="0" applyFont="1" applyBorder="1" applyAlignment="1">
      <alignment vertical="center"/>
    </xf>
    <xf numFmtId="3" fontId="32" fillId="4" borderId="5" xfId="0" applyNumberFormat="1" applyFont="1" applyFill="1" applyBorder="1" applyAlignment="1">
      <alignment horizontal="center" vertical="center" wrapText="1"/>
    </xf>
    <xf numFmtId="0" fontId="8" fillId="0" borderId="2" xfId="0" applyFont="1" applyBorder="1" applyAlignment="1"/>
    <xf numFmtId="0" fontId="5" fillId="0" borderId="0" xfId="0" applyFont="1"/>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3" fontId="30" fillId="0" borderId="1" xfId="0" applyNumberFormat="1" applyFont="1" applyFill="1" applyBorder="1" applyAlignment="1">
      <alignment horizontal="right"/>
    </xf>
    <xf numFmtId="3" fontId="30" fillId="0" borderId="1" xfId="0" applyNumberFormat="1" applyFont="1" applyBorder="1" applyAlignment="1">
      <alignment horizontal="right"/>
    </xf>
    <xf numFmtId="0" fontId="30" fillId="0" borderId="1" xfId="0" applyFont="1" applyBorder="1" applyAlignment="1">
      <alignment wrapText="1"/>
    </xf>
    <xf numFmtId="0" fontId="30" fillId="0" borderId="3" xfId="0" applyFont="1" applyBorder="1" applyAlignment="1">
      <alignment horizontal="center" vertical="center"/>
    </xf>
    <xf numFmtId="0" fontId="30" fillId="0" borderId="4" xfId="0" applyFont="1" applyBorder="1"/>
    <xf numFmtId="0" fontId="30" fillId="0" borderId="4" xfId="0" applyFont="1" applyBorder="1" applyAlignment="1">
      <alignment horizontal="center"/>
    </xf>
    <xf numFmtId="3" fontId="32" fillId="0" borderId="5" xfId="0" applyNumberFormat="1" applyFont="1" applyBorder="1" applyAlignment="1">
      <alignment horizontal="right"/>
    </xf>
    <xf numFmtId="3" fontId="32" fillId="0" borderId="12" xfId="0" applyNumberFormat="1" applyFont="1" applyBorder="1" applyAlignment="1">
      <alignment horizontal="right"/>
    </xf>
    <xf numFmtId="3" fontId="32" fillId="0" borderId="1" xfId="0" applyNumberFormat="1" applyFont="1" applyBorder="1" applyAlignment="1">
      <alignment horizontal="right"/>
    </xf>
    <xf numFmtId="3" fontId="32" fillId="6" borderId="1" xfId="0" applyNumberFormat="1" applyFont="1" applyFill="1" applyBorder="1" applyAlignment="1">
      <alignment horizontal="right"/>
    </xf>
    <xf numFmtId="4" fontId="5" fillId="0" borderId="0" xfId="0" applyNumberFormat="1" applyFont="1" applyAlignment="1">
      <alignment horizontal="center"/>
    </xf>
    <xf numFmtId="0" fontId="30" fillId="0" borderId="0" xfId="0" applyFont="1" applyFill="1" applyBorder="1" applyAlignment="1">
      <alignment horizontal="right"/>
    </xf>
    <xf numFmtId="3" fontId="32" fillId="0" borderId="0" xfId="0" applyNumberFormat="1" applyFont="1" applyBorder="1"/>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wrapText="1"/>
    </xf>
    <xf numFmtId="3" fontId="30" fillId="4" borderId="1" xfId="0" applyNumberFormat="1" applyFont="1" applyFill="1" applyBorder="1" applyAlignment="1">
      <alignment horizontal="right"/>
    </xf>
    <xf numFmtId="3" fontId="30" fillId="0" borderId="3" xfId="0" applyNumberFormat="1" applyFont="1" applyBorder="1" applyAlignment="1">
      <alignment horizontal="right"/>
    </xf>
    <xf numFmtId="3" fontId="30" fillId="0" borderId="0" xfId="0" applyNumberFormat="1" applyFont="1" applyBorder="1" applyAlignment="1">
      <alignment horizontal="right"/>
    </xf>
    <xf numFmtId="3" fontId="30" fillId="0" borderId="0" xfId="0" applyNumberFormat="1" applyFont="1" applyFill="1" applyBorder="1" applyAlignment="1">
      <alignment horizontal="right"/>
    </xf>
    <xf numFmtId="0" fontId="4" fillId="0" borderId="3" xfId="0" applyFont="1" applyBorder="1"/>
    <xf numFmtId="3" fontId="32" fillId="0" borderId="4" xfId="0" applyNumberFormat="1" applyFont="1" applyBorder="1" applyAlignment="1">
      <alignment horizontal="right"/>
    </xf>
    <xf numFmtId="3" fontId="32" fillId="0" borderId="0" xfId="0" applyNumberFormat="1" applyFont="1" applyFill="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wrapText="1"/>
    </xf>
    <xf numFmtId="0" fontId="30" fillId="0" borderId="1" xfId="0" applyFont="1" applyFill="1" applyBorder="1" applyAlignment="1">
      <alignment horizontal="center" vertical="center"/>
    </xf>
    <xf numFmtId="1" fontId="30" fillId="0" borderId="1" xfId="0" applyNumberFormat="1" applyFont="1" applyFill="1" applyBorder="1" applyAlignment="1">
      <alignment horizontal="right" wrapText="1"/>
    </xf>
    <xf numFmtId="0" fontId="30" fillId="0" borderId="1" xfId="0" applyFont="1" applyFill="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xf numFmtId="3" fontId="32" fillId="0" borderId="0" xfId="0" applyNumberFormat="1" applyFont="1" applyAlignment="1">
      <alignment horizontal="right"/>
    </xf>
    <xf numFmtId="3" fontId="32" fillId="0" borderId="0" xfId="0" applyNumberFormat="1" applyFont="1" applyBorder="1" applyAlignment="1">
      <alignment horizontal="center"/>
    </xf>
    <xf numFmtId="0" fontId="4" fillId="0" borderId="0" xfId="0" applyFont="1" applyAlignment="1">
      <alignment wrapText="1"/>
    </xf>
    <xf numFmtId="0" fontId="20" fillId="0" borderId="0" xfId="0" applyFont="1" applyFill="1" applyBorder="1" applyAlignment="1">
      <alignment horizontal="right"/>
    </xf>
    <xf numFmtId="0" fontId="26" fillId="0" borderId="0" xfId="8" applyFont="1" applyBorder="1"/>
    <xf numFmtId="0" fontId="10" fillId="0" borderId="0" xfId="0" applyFont="1" applyFill="1" applyAlignment="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50" fillId="0" borderId="0" xfId="0" applyFont="1" applyFill="1" applyAlignment="1">
      <alignment horizontal="center" vertical="center"/>
    </xf>
    <xf numFmtId="0" fontId="10" fillId="0" borderId="1" xfId="0" applyFont="1" applyBorder="1"/>
    <xf numFmtId="0" fontId="10" fillId="0" borderId="1" xfId="0" applyFont="1" applyFill="1" applyBorder="1"/>
    <xf numFmtId="4" fontId="10" fillId="0" borderId="1" xfId="0" applyNumberFormat="1" applyFont="1" applyFill="1" applyBorder="1"/>
    <xf numFmtId="3" fontId="10" fillId="0" borderId="1" xfId="0" applyNumberFormat="1" applyFont="1" applyFill="1" applyBorder="1"/>
    <xf numFmtId="0" fontId="26" fillId="0" borderId="1" xfId="0" applyFont="1" applyFill="1" applyBorder="1"/>
    <xf numFmtId="0" fontId="57" fillId="0" borderId="0" xfId="0" applyFont="1" applyFill="1" applyAlignment="1">
      <alignment vertical="center"/>
    </xf>
    <xf numFmtId="0" fontId="9" fillId="2" borderId="1" xfId="0" applyFont="1" applyFill="1" applyBorder="1"/>
    <xf numFmtId="0" fontId="9" fillId="0" borderId="1" xfId="0" applyFont="1" applyFill="1" applyBorder="1"/>
    <xf numFmtId="0" fontId="23" fillId="0" borderId="1" xfId="0" applyFont="1" applyFill="1" applyBorder="1"/>
    <xf numFmtId="3" fontId="10" fillId="0" borderId="0" xfId="0" applyNumberFormat="1" applyFont="1"/>
    <xf numFmtId="3" fontId="9" fillId="0" borderId="0" xfId="0" applyNumberFormat="1" applyFont="1"/>
    <xf numFmtId="3" fontId="50" fillId="0" borderId="1" xfId="0" applyNumberFormat="1" applyFont="1" applyFill="1" applyBorder="1"/>
    <xf numFmtId="4" fontId="50" fillId="0" borderId="1" xfId="0" applyNumberFormat="1" applyFont="1" applyFill="1" applyBorder="1"/>
    <xf numFmtId="3" fontId="9" fillId="0" borderId="1" xfId="0" applyNumberFormat="1" applyFont="1" applyFill="1" applyBorder="1"/>
    <xf numFmtId="3" fontId="23" fillId="6" borderId="1" xfId="0" applyNumberFormat="1" applyFont="1" applyFill="1" applyBorder="1"/>
    <xf numFmtId="0" fontId="37" fillId="0" borderId="0" xfId="0" applyFont="1"/>
    <xf numFmtId="3" fontId="32" fillId="2" borderId="1" xfId="0" applyNumberFormat="1" applyFont="1" applyFill="1" applyBorder="1" applyAlignment="1">
      <alignment horizontal="center" vertical="center" wrapText="1"/>
    </xf>
    <xf numFmtId="0" fontId="58" fillId="0" borderId="0" xfId="0" applyFont="1" applyAlignment="1">
      <alignment horizontal="left"/>
    </xf>
    <xf numFmtId="0" fontId="59" fillId="0" borderId="0" xfId="6" applyFont="1" applyAlignment="1">
      <alignment horizontal="left"/>
    </xf>
    <xf numFmtId="0" fontId="60" fillId="0" borderId="0" xfId="0" applyFont="1" applyAlignment="1">
      <alignment horizontal="left"/>
    </xf>
    <xf numFmtId="0" fontId="61" fillId="0" borderId="0" xfId="6" applyFont="1" applyAlignment="1">
      <alignment horizontal="left"/>
    </xf>
    <xf numFmtId="0" fontId="26" fillId="0" borderId="0" xfId="9" applyFont="1" applyAlignment="1">
      <alignment horizontal="right" wrapText="1"/>
    </xf>
    <xf numFmtId="0" fontId="51" fillId="0" borderId="0" xfId="9" applyFont="1" applyAlignment="1">
      <alignment horizontal="left"/>
    </xf>
    <xf numFmtId="0" fontId="51" fillId="0" borderId="0" xfId="9" applyFont="1" applyAlignment="1">
      <alignment horizontal="left" vertical="center"/>
    </xf>
    <xf numFmtId="0" fontId="26" fillId="0" borderId="0" xfId="9" applyFont="1" applyAlignment="1"/>
    <xf numFmtId="0" fontId="51" fillId="0" borderId="0" xfId="9" applyFont="1" applyAlignment="1">
      <alignment vertical="center"/>
    </xf>
    <xf numFmtId="0" fontId="30" fillId="0" borderId="0" xfId="8" applyFont="1" applyBorder="1"/>
    <xf numFmtId="0" fontId="23" fillId="0" borderId="1" xfId="8" applyFont="1" applyBorder="1" applyAlignment="1">
      <alignment horizontal="center" vertical="center" wrapText="1"/>
    </xf>
    <xf numFmtId="0" fontId="26" fillId="0" borderId="0" xfId="9" applyFont="1" applyAlignment="1">
      <alignment horizontal="center"/>
    </xf>
    <xf numFmtId="0" fontId="26" fillId="0" borderId="1" xfId="8" applyFont="1" applyBorder="1"/>
    <xf numFmtId="4" fontId="26" fillId="0" borderId="1" xfId="8" applyNumberFormat="1" applyFont="1" applyBorder="1"/>
    <xf numFmtId="3" fontId="26" fillId="0" borderId="1" xfId="8" applyNumberFormat="1" applyFont="1" applyBorder="1"/>
    <xf numFmtId="3" fontId="23" fillId="0" borderId="1" xfId="8" applyNumberFormat="1" applyFont="1" applyBorder="1"/>
    <xf numFmtId="0" fontId="23" fillId="0" borderId="1" xfId="8" applyFont="1" applyBorder="1"/>
    <xf numFmtId="3" fontId="23" fillId="0" borderId="1" xfId="8" applyNumberFormat="1" applyFont="1" applyFill="1" applyBorder="1"/>
    <xf numFmtId="3" fontId="23" fillId="6" borderId="1" xfId="8" applyNumberFormat="1" applyFont="1" applyFill="1" applyBorder="1"/>
    <xf numFmtId="0" fontId="26" fillId="0" borderId="0" xfId="0" applyFont="1" applyAlignment="1">
      <alignment horizontal="right" wrapText="1"/>
    </xf>
    <xf numFmtId="0" fontId="51" fillId="0" borderId="0" xfId="0" applyFont="1" applyAlignment="1">
      <alignment horizontal="left" vertical="center"/>
    </xf>
    <xf numFmtId="0" fontId="51" fillId="0" borderId="0" xfId="0" applyFont="1" applyAlignment="1">
      <alignment horizontal="left" vertical="center" wrapText="1"/>
    </xf>
    <xf numFmtId="0" fontId="45" fillId="0" borderId="0" xfId="0" applyFont="1" applyAlignment="1">
      <alignment vertical="center" wrapText="1"/>
    </xf>
    <xf numFmtId="0" fontId="32" fillId="0" borderId="0" xfId="3" applyFont="1"/>
    <xf numFmtId="0" fontId="30" fillId="0" borderId="0" xfId="3" applyFont="1"/>
    <xf numFmtId="0" fontId="30" fillId="0" borderId="1" xfId="0" applyFont="1" applyBorder="1" applyAlignment="1">
      <alignment horizontal="center" vertical="center" wrapText="1"/>
    </xf>
    <xf numFmtId="0" fontId="32" fillId="0" borderId="0" xfId="3" applyFont="1" applyFill="1" applyAlignment="1">
      <alignment horizontal="left" wrapText="1"/>
    </xf>
    <xf numFmtId="3" fontId="30" fillId="0" borderId="1" xfId="3" applyNumberFormat="1" applyFont="1" applyFill="1" applyBorder="1" applyAlignment="1">
      <alignment horizontal="center" vertical="center"/>
    </xf>
    <xf numFmtId="1" fontId="30" fillId="0" borderId="1" xfId="3" applyNumberFormat="1" applyFont="1" applyFill="1" applyBorder="1" applyAlignment="1">
      <alignment horizontal="center" vertical="center"/>
    </xf>
    <xf numFmtId="3" fontId="32" fillId="6" borderId="1" xfId="3" applyNumberFormat="1" applyFont="1" applyFill="1" applyBorder="1" applyAlignment="1">
      <alignment horizontal="center" vertical="center"/>
    </xf>
    <xf numFmtId="0" fontId="30" fillId="0" borderId="1" xfId="3" applyFont="1" applyFill="1" applyBorder="1" applyAlignment="1">
      <alignment horizontal="center" vertical="center"/>
    </xf>
    <xf numFmtId="0" fontId="30" fillId="0" borderId="1" xfId="3" applyFont="1" applyFill="1" applyBorder="1"/>
    <xf numFmtId="0" fontId="30" fillId="0" borderId="1" xfId="3" applyFont="1" applyFill="1" applyBorder="1" applyAlignment="1">
      <alignment vertical="center"/>
    </xf>
    <xf numFmtId="0" fontId="30" fillId="0" borderId="1" xfId="3" applyFont="1" applyFill="1" applyBorder="1" applyAlignment="1">
      <alignment horizontal="left"/>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6" fillId="0" borderId="0" xfId="8" applyFont="1" applyAlignment="1">
      <alignment horizontal="center" vertical="center"/>
    </xf>
    <xf numFmtId="0" fontId="30" fillId="0" borderId="0" xfId="8" applyFont="1" applyAlignment="1">
      <alignment horizontal="center" vertical="center"/>
    </xf>
    <xf numFmtId="0" fontId="49" fillId="0" borderId="0" xfId="0" applyFont="1" applyBorder="1"/>
    <xf numFmtId="0" fontId="49" fillId="0" borderId="0" xfId="0" applyFont="1" applyFill="1" applyBorder="1"/>
    <xf numFmtId="0" fontId="4" fillId="4" borderId="0" xfId="4" applyFont="1" applyFill="1"/>
    <xf numFmtId="0" fontId="4" fillId="4" borderId="14" xfId="4" applyFont="1" applyFill="1" applyBorder="1" applyAlignment="1">
      <alignment horizontal="center" vertical="center" wrapText="1"/>
    </xf>
    <xf numFmtId="0" fontId="4" fillId="4" borderId="0" xfId="4" applyFont="1" applyFill="1" applyAlignment="1">
      <alignment vertical="center" wrapText="1"/>
    </xf>
    <xf numFmtId="0" fontId="4" fillId="5" borderId="0" xfId="0" applyFont="1" applyFill="1"/>
    <xf numFmtId="0" fontId="49" fillId="5" borderId="0" xfId="0" applyFont="1" applyFill="1"/>
    <xf numFmtId="0" fontId="4" fillId="0" borderId="0" xfId="0" applyFont="1" applyFill="1" applyAlignment="1">
      <alignment horizontal="center"/>
    </xf>
    <xf numFmtId="0" fontId="4" fillId="0" borderId="0" xfId="4" applyFont="1" applyFill="1" applyBorder="1" applyAlignment="1">
      <alignment horizontal="center" vertical="center"/>
    </xf>
    <xf numFmtId="2" fontId="15" fillId="6" borderId="15" xfId="4"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15" fillId="6" borderId="1" xfId="0" applyNumberFormat="1" applyFont="1" applyFill="1" applyBorder="1" applyAlignment="1">
      <alignment horizontal="center" vertical="center"/>
    </xf>
    <xf numFmtId="3" fontId="15" fillId="0" borderId="0" xfId="0" applyNumberFormat="1" applyFont="1" applyFill="1"/>
    <xf numFmtId="0" fontId="40" fillId="0" borderId="0" xfId="0" applyFont="1" applyAlignment="1"/>
    <xf numFmtId="0" fontId="51" fillId="0" borderId="0" xfId="0" applyFont="1" applyAlignment="1"/>
    <xf numFmtId="0" fontId="62" fillId="0" borderId="0" xfId="0" applyFont="1" applyAlignment="1">
      <alignment horizontal="left" vertical="center" wrapText="1"/>
    </xf>
    <xf numFmtId="0" fontId="62" fillId="0" borderId="0" xfId="0" applyFont="1" applyAlignment="1">
      <alignment vertical="center" wrapText="1"/>
    </xf>
    <xf numFmtId="0" fontId="32" fillId="0" borderId="0" xfId="0" applyFont="1" applyFill="1"/>
    <xf numFmtId="0" fontId="23" fillId="2" borderId="1" xfId="0" applyFont="1" applyFill="1" applyBorder="1" applyAlignment="1">
      <alignment vertical="center" wrapText="1"/>
    </xf>
    <xf numFmtId="164" fontId="23" fillId="2" borderId="1" xfId="0" applyNumberFormat="1" applyFont="1" applyFill="1" applyBorder="1" applyAlignment="1">
      <alignment vertical="center" wrapText="1"/>
    </xf>
    <xf numFmtId="0" fontId="32" fillId="2" borderId="1" xfId="0" applyFont="1" applyFill="1" applyBorder="1" applyAlignment="1">
      <alignment vertical="center"/>
    </xf>
    <xf numFmtId="0" fontId="32" fillId="2" borderId="1" xfId="0" applyFont="1" applyFill="1" applyBorder="1" applyAlignment="1">
      <alignment vertical="center" wrapText="1"/>
    </xf>
    <xf numFmtId="0" fontId="23" fillId="0" borderId="9" xfId="0" applyFont="1" applyFill="1" applyBorder="1" applyAlignment="1">
      <alignment horizontal="center" vertical="center" wrapText="1"/>
    </xf>
    <xf numFmtId="0" fontId="26" fillId="0" borderId="1" xfId="0" applyFont="1" applyBorder="1" applyAlignment="1">
      <alignment wrapText="1"/>
    </xf>
    <xf numFmtId="0" fontId="33" fillId="0" borderId="0" xfId="0" applyFont="1"/>
    <xf numFmtId="164" fontId="23" fillId="0" borderId="11" xfId="0" applyNumberFormat="1" applyFont="1" applyFill="1" applyBorder="1" applyAlignment="1">
      <alignment horizontal="center"/>
    </xf>
    <xf numFmtId="0" fontId="63" fillId="0" borderId="0" xfId="6" applyFont="1"/>
    <xf numFmtId="0" fontId="33" fillId="0" borderId="0" xfId="0" applyFont="1" applyAlignment="1">
      <alignment horizontal="left"/>
    </xf>
    <xf numFmtId="0" fontId="63" fillId="0" borderId="0" xfId="6" applyFont="1" applyAlignment="1">
      <alignment horizontal="left"/>
    </xf>
    <xf numFmtId="2" fontId="26" fillId="0" borderId="0" xfId="0" applyNumberFormat="1" applyFont="1"/>
    <xf numFmtId="2" fontId="26" fillId="0" borderId="0" xfId="0" applyNumberFormat="1" applyFont="1" applyAlignment="1">
      <alignment horizontal="center" vertical="center"/>
    </xf>
    <xf numFmtId="2" fontId="26" fillId="0" borderId="0" xfId="0" applyNumberFormat="1" applyFont="1" applyFill="1"/>
    <xf numFmtId="166" fontId="26" fillId="0" borderId="0" xfId="0" applyNumberFormat="1" applyFont="1"/>
    <xf numFmtId="0" fontId="30" fillId="0" borderId="0" xfId="0" applyFont="1" applyAlignment="1">
      <alignment horizontal="center" vertical="center"/>
    </xf>
    <xf numFmtId="2" fontId="23" fillId="2" borderId="9" xfId="0" applyNumberFormat="1" applyFont="1" applyFill="1" applyBorder="1" applyAlignment="1">
      <alignment horizontal="center" vertical="center" wrapText="1"/>
    </xf>
    <xf numFmtId="2" fontId="26" fillId="0" borderId="10" xfId="0" applyNumberFormat="1" applyFont="1" applyBorder="1"/>
    <xf numFmtId="3" fontId="26" fillId="0" borderId="10" xfId="0" applyNumberFormat="1" applyFont="1" applyBorder="1"/>
    <xf numFmtId="2" fontId="23" fillId="2" borderId="9" xfId="0" applyNumberFormat="1" applyFont="1" applyFill="1" applyBorder="1" applyAlignment="1">
      <alignment horizontal="center" vertical="center"/>
    </xf>
    <xf numFmtId="2" fontId="23" fillId="2" borderId="10" xfId="0" applyNumberFormat="1" applyFont="1" applyFill="1" applyBorder="1" applyAlignment="1">
      <alignment horizontal="center"/>
    </xf>
    <xf numFmtId="2" fontId="30" fillId="0" borderId="0" xfId="0" applyNumberFormat="1" applyFont="1"/>
    <xf numFmtId="3" fontId="30" fillId="0" borderId="0" xfId="0" applyNumberFormat="1" applyFont="1"/>
    <xf numFmtId="3" fontId="32" fillId="6" borderId="0" xfId="0" applyNumberFormat="1" applyFont="1" applyFill="1"/>
    <xf numFmtId="16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wrapText="1"/>
    </xf>
    <xf numFmtId="0" fontId="30" fillId="0" borderId="0" xfId="0" applyFont="1" applyAlignment="1">
      <alignment horizontal="center"/>
    </xf>
    <xf numFmtId="0" fontId="23" fillId="2" borderId="9" xfId="0" applyFont="1" applyFill="1" applyBorder="1" applyAlignment="1">
      <alignment horizontal="center" vertical="center" wrapText="1"/>
    </xf>
    <xf numFmtId="3" fontId="26" fillId="0" borderId="10" xfId="0" applyNumberFormat="1" applyFont="1" applyBorder="1" applyAlignment="1">
      <alignment vertical="center"/>
    </xf>
    <xf numFmtId="3" fontId="26" fillId="0" borderId="11" xfId="0" applyNumberFormat="1" applyFont="1" applyBorder="1" applyAlignment="1">
      <alignment vertical="center"/>
    </xf>
    <xf numFmtId="0" fontId="23" fillId="2" borderId="9" xfId="0" applyFont="1" applyFill="1" applyBorder="1" applyAlignment="1">
      <alignment horizontal="center" vertical="center"/>
    </xf>
    <xf numFmtId="164" fontId="23" fillId="2" borderId="10" xfId="0" applyNumberFormat="1" applyFont="1" applyFill="1" applyBorder="1" applyAlignment="1">
      <alignment horizontal="center" vertical="center"/>
    </xf>
    <xf numFmtId="0" fontId="32" fillId="0" borderId="0" xfId="0" applyFont="1" applyAlignment="1">
      <alignment horizontal="right"/>
    </xf>
    <xf numFmtId="164" fontId="32" fillId="0" borderId="0" xfId="0" applyNumberFormat="1" applyFont="1"/>
    <xf numFmtId="0" fontId="26" fillId="0" borderId="1" xfId="0" applyFont="1" applyBorder="1" applyAlignment="1">
      <alignment horizontal="center" vertical="center" wrapText="1"/>
    </xf>
    <xf numFmtId="0" fontId="9" fillId="0" borderId="0" xfId="0" applyFont="1" applyFill="1" applyBorder="1"/>
    <xf numFmtId="4" fontId="9" fillId="0" borderId="0" xfId="0" applyNumberFormat="1" applyFont="1" applyFill="1" applyBorder="1"/>
    <xf numFmtId="0" fontId="23" fillId="0" borderId="0" xfId="0" applyFont="1" applyFill="1" applyBorder="1"/>
    <xf numFmtId="3" fontId="9" fillId="0" borderId="0" xfId="0" applyNumberFormat="1" applyFont="1" applyFill="1" applyBorder="1"/>
    <xf numFmtId="0" fontId="64" fillId="0" borderId="0" xfId="0" applyFont="1"/>
    <xf numFmtId="0" fontId="30" fillId="0" borderId="1" xfId="0" applyFont="1" applyFill="1" applyBorder="1" applyAlignment="1">
      <alignment horizontal="center" vertical="center" wrapText="1"/>
    </xf>
    <xf numFmtId="3" fontId="15" fillId="6" borderId="1" xfId="0" applyNumberFormat="1" applyFont="1" applyFill="1" applyBorder="1"/>
    <xf numFmtId="3" fontId="15" fillId="6" borderId="1" xfId="0" applyNumberFormat="1" applyFont="1" applyFill="1" applyBorder="1" applyAlignment="1">
      <alignment horizontal="right"/>
    </xf>
    <xf numFmtId="3" fontId="20" fillId="0" borderId="0" xfId="0" applyNumberFormat="1" applyFont="1" applyFill="1" applyBorder="1" applyAlignment="1">
      <alignment horizontal="right"/>
    </xf>
    <xf numFmtId="0" fontId="26" fillId="0" borderId="1" xfId="0" applyFont="1" applyBorder="1" applyAlignment="1">
      <alignment horizontal="center" vertical="center"/>
    </xf>
    <xf numFmtId="0" fontId="37" fillId="0" borderId="0" xfId="0" applyFont="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6" xfId="0" applyFont="1" applyBorder="1" applyAlignment="1">
      <alignment horizontal="left" vertical="center" wrapText="1"/>
    </xf>
    <xf numFmtId="0" fontId="26" fillId="0" borderId="0" xfId="0" applyFont="1" applyAlignment="1">
      <alignment horizontal="left" vertical="center" wrapText="1"/>
    </xf>
    <xf numFmtId="0" fontId="26" fillId="0" borderId="13"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51" fillId="0" borderId="0" xfId="0" applyFont="1" applyFill="1" applyAlignment="1">
      <alignment horizontal="left" vertical="center" wrapText="1"/>
    </xf>
    <xf numFmtId="0" fontId="4" fillId="0" borderId="2" xfId="0" applyFont="1" applyFill="1" applyBorder="1" applyAlignment="1">
      <alignment horizontal="center"/>
    </xf>
    <xf numFmtId="0" fontId="49" fillId="0" borderId="13" xfId="0" applyFont="1" applyFill="1" applyBorder="1" applyAlignment="1">
      <alignment horizontal="center"/>
    </xf>
    <xf numFmtId="0" fontId="49" fillId="0" borderId="27" xfId="0" applyFont="1" applyFill="1" applyBorder="1" applyAlignment="1">
      <alignment horizontal="center"/>
    </xf>
    <xf numFmtId="0" fontId="49" fillId="0" borderId="12" xfId="0" applyFont="1" applyFill="1" applyBorder="1" applyAlignment="1">
      <alignment horizontal="center"/>
    </xf>
    <xf numFmtId="0" fontId="48" fillId="0" borderId="0" xfId="0" applyFont="1" applyFill="1" applyAlignment="1">
      <alignment horizontal="center" vertical="center"/>
    </xf>
    <xf numFmtId="0" fontId="26" fillId="0" borderId="0" xfId="0" applyFont="1" applyFill="1" applyAlignment="1">
      <alignment horizontal="right" wrapText="1"/>
    </xf>
    <xf numFmtId="0" fontId="4" fillId="0" borderId="1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6" fillId="0" borderId="0" xfId="0" applyFont="1" applyAlignment="1">
      <alignment horizontal="right" wrapText="1"/>
    </xf>
    <xf numFmtId="0" fontId="4" fillId="0" borderId="0" xfId="3" applyFont="1" applyAlignment="1">
      <alignment horizontal="left" wrapText="1"/>
    </xf>
    <xf numFmtId="0" fontId="38" fillId="0" borderId="0" xfId="0" applyFont="1" applyAlignment="1">
      <alignment horizontal="left"/>
    </xf>
    <xf numFmtId="0" fontId="51" fillId="0" borderId="0" xfId="0" applyFont="1" applyAlignment="1">
      <alignment horizontal="left" vertical="center" wrapText="1"/>
    </xf>
    <xf numFmtId="0" fontId="48" fillId="0" borderId="0" xfId="0" applyFont="1" applyAlignment="1">
      <alignment horizontal="center" vertical="center"/>
    </xf>
    <xf numFmtId="0" fontId="4" fillId="0" borderId="0" xfId="4" applyFont="1" applyFill="1" applyAlignment="1">
      <alignment horizontal="right"/>
    </xf>
    <xf numFmtId="0" fontId="4" fillId="5" borderId="24" xfId="4" applyFont="1" applyFill="1" applyBorder="1" applyAlignment="1">
      <alignment horizontal="center" vertical="center" wrapText="1"/>
    </xf>
    <xf numFmtId="0" fontId="4" fillId="5" borderId="15" xfId="4" applyFont="1" applyFill="1" applyBorder="1" applyAlignment="1">
      <alignment horizontal="center" vertical="center" wrapText="1"/>
    </xf>
    <xf numFmtId="0" fontId="4" fillId="4" borderId="1" xfId="4" applyFont="1" applyFill="1" applyBorder="1" applyAlignment="1">
      <alignment horizontal="center" vertical="center" wrapText="1"/>
    </xf>
    <xf numFmtId="0" fontId="4" fillId="4" borderId="1" xfId="4" applyFont="1" applyFill="1" applyBorder="1" applyAlignment="1">
      <alignment horizontal="center" vertical="center"/>
    </xf>
    <xf numFmtId="0" fontId="4" fillId="5" borderId="14" xfId="4" applyFont="1" applyFill="1" applyBorder="1" applyAlignment="1">
      <alignment horizontal="center" vertical="center" wrapText="1"/>
    </xf>
    <xf numFmtId="0" fontId="4" fillId="5" borderId="23" xfId="4" applyFont="1" applyFill="1" applyBorder="1" applyAlignment="1">
      <alignment horizontal="center" vertical="center" wrapText="1"/>
    </xf>
    <xf numFmtId="0" fontId="4" fillId="4" borderId="14" xfId="4" applyFont="1" applyFill="1" applyBorder="1" applyAlignment="1">
      <alignment horizontal="center" vertical="center" wrapText="1"/>
    </xf>
    <xf numFmtId="0" fontId="4" fillId="4" borderId="14" xfId="4" applyFont="1" applyFill="1" applyBorder="1" applyAlignment="1">
      <alignment horizontal="center" vertical="center"/>
    </xf>
    <xf numFmtId="0" fontId="30" fillId="0" borderId="0" xfId="0" applyFont="1" applyAlignment="1">
      <alignment vertical="top" wrapText="1"/>
    </xf>
    <xf numFmtId="0" fontId="30" fillId="0" borderId="0" xfId="0" applyFont="1" applyFill="1" applyBorder="1" applyAlignment="1">
      <alignment horizontal="left" wrapText="1"/>
    </xf>
    <xf numFmtId="0" fontId="48" fillId="0" borderId="0" xfId="0" applyFont="1" applyAlignment="1">
      <alignment horizontal="center" vertical="center" wrapText="1"/>
    </xf>
    <xf numFmtId="0" fontId="4" fillId="0" borderId="0" xfId="0" applyFont="1" applyAlignment="1">
      <alignment horizontal="left" wrapText="1"/>
    </xf>
    <xf numFmtId="0" fontId="51" fillId="0" borderId="0" xfId="0" applyFont="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6" xfId="0" applyFont="1" applyBorder="1" applyAlignment="1">
      <alignment horizontal="center" vertical="center" wrapText="1"/>
    </xf>
    <xf numFmtId="0" fontId="38" fillId="0" borderId="0" xfId="0" applyFont="1" applyAlignment="1">
      <alignment horizontal="left" vertical="center" wrapText="1"/>
    </xf>
    <xf numFmtId="0" fontId="9" fillId="0" borderId="2" xfId="0" applyFont="1" applyBorder="1" applyAlignment="1">
      <alignment horizontal="left" vertical="center"/>
    </xf>
    <xf numFmtId="0" fontId="10" fillId="0" borderId="1"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4" fillId="0" borderId="0" xfId="9" applyFont="1" applyAlignment="1">
      <alignment horizontal="left" wrapText="1"/>
    </xf>
    <xf numFmtId="0" fontId="23" fillId="0" borderId="2" xfId="8" applyFont="1" applyBorder="1" applyAlignment="1">
      <alignment horizontal="right"/>
    </xf>
    <xf numFmtId="0" fontId="40" fillId="0" borderId="0" xfId="9" applyFont="1" applyAlignment="1">
      <alignment horizontal="center" vertical="center" wrapText="1"/>
    </xf>
    <xf numFmtId="0" fontId="51" fillId="0" borderId="0" xfId="9" applyFont="1" applyAlignment="1">
      <alignment horizontal="left" wrapText="1"/>
    </xf>
    <xf numFmtId="0" fontId="40" fillId="0" borderId="0" xfId="0" applyFont="1" applyAlignment="1">
      <alignment horizontal="center" vertical="center" wrapText="1"/>
    </xf>
    <xf numFmtId="0" fontId="51" fillId="0" borderId="0" xfId="0" applyFont="1" applyAlignment="1">
      <alignment horizontal="left" wrapText="1"/>
    </xf>
    <xf numFmtId="0" fontId="20" fillId="0" borderId="0" xfId="0" applyFont="1" applyFill="1" applyBorder="1" applyAlignment="1">
      <alignment horizontal="left" wrapText="1"/>
    </xf>
    <xf numFmtId="0" fontId="20" fillId="0" borderId="28" xfId="0" applyFont="1" applyFill="1" applyBorder="1" applyAlignment="1">
      <alignment horizontal="left" wrapText="1"/>
    </xf>
    <xf numFmtId="0" fontId="5" fillId="0" borderId="0" xfId="1" applyFont="1" applyAlignment="1">
      <alignment horizontal="left" wrapText="1"/>
    </xf>
    <xf numFmtId="0" fontId="38" fillId="0" borderId="0" xfId="1" applyFont="1" applyAlignment="1">
      <alignment horizontal="left" wrapText="1"/>
    </xf>
    <xf numFmtId="0" fontId="15" fillId="5" borderId="1" xfId="0"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1" xfId="0" applyFont="1" applyFill="1" applyBorder="1"/>
    <xf numFmtId="0" fontId="4" fillId="0" borderId="0" xfId="1" applyFont="1" applyAlignment="1" applyProtection="1">
      <alignment horizontal="center" vertical="center" wrapText="1"/>
      <protection locked="0"/>
    </xf>
    <xf numFmtId="0" fontId="39" fillId="0" borderId="0" xfId="0" applyFont="1" applyAlignment="1">
      <alignment horizontal="left"/>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9"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41" fillId="0" borderId="0" xfId="0" applyFont="1" applyAlignment="1">
      <alignment horizontal="center" vertical="center" wrapText="1"/>
    </xf>
    <xf numFmtId="0" fontId="39" fillId="0" borderId="0" xfId="0" applyFont="1" applyAlignment="1">
      <alignment vertical="center" wrapText="1"/>
    </xf>
    <xf numFmtId="0" fontId="22" fillId="0" borderId="0" xfId="0" applyFont="1" applyAlignment="1">
      <alignment horizontal="right" wrapText="1"/>
    </xf>
    <xf numFmtId="0" fontId="26" fillId="0" borderId="26" xfId="0" applyFont="1" applyBorder="1" applyAlignment="1">
      <alignment horizontal="left" wrapText="1"/>
    </xf>
    <xf numFmtId="0" fontId="26" fillId="0" borderId="0" xfId="0" applyFont="1" applyAlignment="1">
      <alignment horizontal="left" wrapText="1"/>
    </xf>
    <xf numFmtId="0" fontId="51" fillId="0" borderId="0" xfId="0" applyFont="1" applyAlignment="1">
      <alignment horizontal="left"/>
    </xf>
    <xf numFmtId="0" fontId="30" fillId="0" borderId="1" xfId="0" applyFont="1" applyFill="1" applyBorder="1" applyAlignment="1">
      <alignment horizontal="center" vertical="center" wrapText="1"/>
    </xf>
    <xf numFmtId="0" fontId="30" fillId="0" borderId="1" xfId="8" applyFont="1" applyBorder="1" applyAlignment="1">
      <alignment horizontal="left" wrapText="1"/>
    </xf>
    <xf numFmtId="0" fontId="30" fillId="0" borderId="1" xfId="0" applyFont="1" applyBorder="1" applyAlignment="1">
      <alignment horizontal="left" wrapText="1"/>
    </xf>
    <xf numFmtId="2" fontId="30" fillId="0" borderId="0" xfId="0" applyNumberFormat="1" applyFont="1" applyAlignment="1">
      <alignment horizontal="left" wrapText="1"/>
    </xf>
    <xf numFmtId="0" fontId="30" fillId="0" borderId="0" xfId="0" applyFont="1" applyAlignment="1">
      <alignment horizontal="left" wrapText="1"/>
    </xf>
    <xf numFmtId="0" fontId="51" fillId="0" borderId="0" xfId="0" applyFont="1" applyAlignment="1">
      <alignment vertical="center" wrapText="1"/>
    </xf>
    <xf numFmtId="0" fontId="30" fillId="0" borderId="0" xfId="0" applyFont="1" applyAlignment="1">
      <alignment horizontal="left"/>
    </xf>
    <xf numFmtId="0" fontId="29" fillId="0" borderId="0" xfId="0" applyFont="1" applyAlignment="1">
      <alignment horizontal="left" vertical="center"/>
    </xf>
    <xf numFmtId="0" fontId="18" fillId="2" borderId="17" xfId="0" applyFont="1" applyFill="1" applyBorder="1" applyAlignment="1">
      <alignment horizontal="center" vertical="center"/>
    </xf>
    <xf numFmtId="0" fontId="39" fillId="0" borderId="0" xfId="0" applyFont="1" applyAlignment="1">
      <alignment horizontal="left" vertical="center" wrapText="1"/>
    </xf>
  </cellXfs>
  <cellStyles count="11">
    <cellStyle name="Hipersaite" xfId="6" builtinId="8"/>
    <cellStyle name="Normal 10 2 2" xfId="1" xr:uid="{00000000-0005-0000-0000-000002000000}"/>
    <cellStyle name="Normal 10 7" xfId="3" xr:uid="{00000000-0005-0000-0000-000003000000}"/>
    <cellStyle name="Normal 2" xfId="9" xr:uid="{00000000-0005-0000-0000-000004000000}"/>
    <cellStyle name="Normal 3" xfId="4" xr:uid="{00000000-0005-0000-0000-000005000000}"/>
    <cellStyle name="Normal 3 3" xfId="5" xr:uid="{00000000-0005-0000-0000-000006000000}"/>
    <cellStyle name="Normal 5" xfId="7" xr:uid="{00000000-0005-0000-0000-000007000000}"/>
    <cellStyle name="Normal 6" xfId="8" xr:uid="{00000000-0005-0000-0000-000008000000}"/>
    <cellStyle name="Normal 6 2" xfId="10" xr:uid="{00000000-0005-0000-0000-000009000000}"/>
    <cellStyle name="Parasts" xfId="0" builtinId="0"/>
    <cellStyle name="Percent 2"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zoomScale="90" zoomScaleNormal="90" workbookViewId="0">
      <pane xSplit="2" ySplit="4" topLeftCell="C5" activePane="bottomRight" state="frozen"/>
      <selection pane="topRight" activeCell="C1" sqref="C1"/>
      <selection pane="bottomLeft" activeCell="A5" sqref="A5"/>
      <selection pane="bottomRight" activeCell="B16" sqref="B16"/>
    </sheetView>
  </sheetViews>
  <sheetFormatPr defaultColWidth="8.7109375" defaultRowHeight="12.75" x14ac:dyDescent="0.25"/>
  <cols>
    <col min="1" max="1" width="5.7109375" style="201" customWidth="1"/>
    <col min="2" max="2" width="75.85546875" style="201" customWidth="1"/>
    <col min="3" max="3" width="10" style="202" customWidth="1"/>
    <col min="4" max="5" width="10.140625" style="201" customWidth="1"/>
    <col min="6" max="6" width="10" style="201" customWidth="1"/>
    <col min="7" max="7" width="11.140625" style="201" customWidth="1"/>
    <col min="8" max="8" width="10.85546875" style="201" customWidth="1"/>
    <col min="9" max="9" width="11" style="201" customWidth="1"/>
    <col min="10" max="10" width="12.7109375" style="201" customWidth="1"/>
    <col min="11" max="11" width="40.28515625" style="201" customWidth="1"/>
    <col min="12" max="12" width="7.42578125" style="201" bestFit="1" customWidth="1"/>
    <col min="13" max="13" width="10.140625" style="201" bestFit="1" customWidth="1"/>
    <col min="14" max="14" width="69.7109375" style="201" customWidth="1"/>
    <col min="15" max="16384" width="8.7109375" style="201"/>
  </cols>
  <sheetData>
    <row r="1" spans="1:15" ht="36" customHeight="1" x14ac:dyDescent="0.25">
      <c r="A1" s="485" t="s">
        <v>339</v>
      </c>
      <c r="B1" s="485"/>
      <c r="C1" s="485"/>
      <c r="D1" s="485"/>
      <c r="E1" s="485"/>
      <c r="F1" s="485"/>
      <c r="G1" s="485"/>
      <c r="H1" s="485"/>
      <c r="I1" s="485"/>
      <c r="J1" s="485"/>
      <c r="K1" s="485"/>
      <c r="M1" s="229"/>
      <c r="N1" s="232" t="s">
        <v>437</v>
      </c>
    </row>
    <row r="2" spans="1:15" x14ac:dyDescent="0.25">
      <c r="A2" s="207"/>
      <c r="L2" s="227"/>
      <c r="M2" s="227"/>
      <c r="N2" s="227"/>
    </row>
    <row r="3" spans="1:15" s="202" customFormat="1" ht="42.6" customHeight="1" x14ac:dyDescent="0.25">
      <c r="A3" s="205"/>
      <c r="D3" s="486" t="s">
        <v>276</v>
      </c>
      <c r="E3" s="486"/>
      <c r="F3" s="486"/>
      <c r="G3" s="486" t="s">
        <v>425</v>
      </c>
      <c r="H3" s="486"/>
      <c r="I3" s="486"/>
      <c r="J3" s="486"/>
      <c r="K3" s="486" t="s">
        <v>468</v>
      </c>
      <c r="L3" s="487"/>
      <c r="M3" s="487"/>
      <c r="N3" s="234" t="s">
        <v>467</v>
      </c>
    </row>
    <row r="4" spans="1:15" s="202" customFormat="1" ht="38.25" x14ac:dyDescent="0.25">
      <c r="A4" s="234" t="s">
        <v>247</v>
      </c>
      <c r="B4" s="234" t="s">
        <v>248</v>
      </c>
      <c r="C4" s="233" t="s">
        <v>249</v>
      </c>
      <c r="D4" s="233">
        <v>2021</v>
      </c>
      <c r="E4" s="233">
        <v>2022</v>
      </c>
      <c r="F4" s="233">
        <v>2023</v>
      </c>
      <c r="G4" s="233" t="s">
        <v>336</v>
      </c>
      <c r="H4" s="233">
        <v>2022</v>
      </c>
      <c r="I4" s="233">
        <v>2023</v>
      </c>
      <c r="J4" s="233" t="s">
        <v>303</v>
      </c>
      <c r="K4" s="234" t="s">
        <v>248</v>
      </c>
      <c r="L4" s="234" t="s">
        <v>247</v>
      </c>
      <c r="M4" s="233" t="s">
        <v>403</v>
      </c>
      <c r="N4" s="234"/>
    </row>
    <row r="5" spans="1:15" s="210" customFormat="1" ht="14.25" x14ac:dyDescent="0.25">
      <c r="A5" s="203"/>
      <c r="B5" s="208" t="s">
        <v>181</v>
      </c>
      <c r="C5" s="220"/>
      <c r="D5" s="198">
        <f>D6+D11</f>
        <v>9814057</v>
      </c>
      <c r="E5" s="198">
        <f t="shared" ref="E5:J5" si="0">E6+E11</f>
        <v>9803167</v>
      </c>
      <c r="F5" s="198">
        <f t="shared" si="0"/>
        <v>9803167</v>
      </c>
      <c r="G5" s="198">
        <f t="shared" si="0"/>
        <v>7111208.0199999996</v>
      </c>
      <c r="H5" s="198">
        <f t="shared" si="0"/>
        <v>8988876.6400000006</v>
      </c>
      <c r="I5" s="198">
        <f t="shared" si="0"/>
        <v>9104621.6400000006</v>
      </c>
      <c r="J5" s="198">
        <f t="shared" si="0"/>
        <v>9153757.6400000006</v>
      </c>
      <c r="K5" s="209"/>
      <c r="L5" s="203"/>
      <c r="M5" s="198">
        <f t="shared" ref="M5" si="1">M6+M11</f>
        <v>3545726</v>
      </c>
      <c r="N5" s="240"/>
    </row>
    <row r="6" spans="1:15" s="213" customFormat="1" x14ac:dyDescent="0.25">
      <c r="A6" s="204"/>
      <c r="B6" s="211" t="s">
        <v>250</v>
      </c>
      <c r="C6" s="221"/>
      <c r="D6" s="199">
        <f t="shared" ref="D6:J6" si="2">D12+D20+D24-D26-D31</f>
        <v>9754031</v>
      </c>
      <c r="E6" s="199">
        <f t="shared" si="2"/>
        <v>9754031</v>
      </c>
      <c r="F6" s="199">
        <f t="shared" si="2"/>
        <v>9754031</v>
      </c>
      <c r="G6" s="199">
        <f t="shared" si="2"/>
        <v>7111208.0199999996</v>
      </c>
      <c r="H6" s="199">
        <f t="shared" si="2"/>
        <v>8988876.6400000006</v>
      </c>
      <c r="I6" s="199">
        <f t="shared" si="2"/>
        <v>9104621.6400000006</v>
      </c>
      <c r="J6" s="199">
        <f t="shared" si="2"/>
        <v>9104621.6400000006</v>
      </c>
      <c r="K6" s="212"/>
      <c r="L6" s="204"/>
      <c r="M6" s="199">
        <f>M12+M20+M24-M26-M31</f>
        <v>3545726</v>
      </c>
      <c r="N6" s="204"/>
    </row>
    <row r="7" spans="1:15" s="213" customFormat="1" x14ac:dyDescent="0.25">
      <c r="A7" s="204"/>
      <c r="B7" s="214" t="s">
        <v>55</v>
      </c>
      <c r="C7" s="221"/>
      <c r="D7" s="200">
        <f>D21+D23</f>
        <v>0</v>
      </c>
      <c r="E7" s="200">
        <f t="shared" ref="E7:J7" si="3">E21+E23</f>
        <v>0</v>
      </c>
      <c r="F7" s="200">
        <f t="shared" si="3"/>
        <v>0</v>
      </c>
      <c r="G7" s="200">
        <f t="shared" si="3"/>
        <v>107889.02</v>
      </c>
      <c r="H7" s="200">
        <f t="shared" si="3"/>
        <v>197494.6</v>
      </c>
      <c r="I7" s="200">
        <f t="shared" si="3"/>
        <v>197494.6</v>
      </c>
      <c r="J7" s="200">
        <f t="shared" si="3"/>
        <v>197494.6</v>
      </c>
      <c r="K7" s="212"/>
      <c r="L7" s="204"/>
      <c r="M7" s="200">
        <f t="shared" ref="M7" si="4">M21+M23</f>
        <v>0</v>
      </c>
      <c r="N7" s="204"/>
    </row>
    <row r="8" spans="1:15" s="213" customFormat="1" x14ac:dyDescent="0.25">
      <c r="A8" s="204"/>
      <c r="B8" s="214" t="s">
        <v>245</v>
      </c>
      <c r="C8" s="221"/>
      <c r="D8" s="200">
        <f t="shared" ref="D8:J8" si="5">D13+D14+D15+D16+D18+D22+D27+D29+D32</f>
        <v>9754031.4900000002</v>
      </c>
      <c r="E8" s="200">
        <f t="shared" si="5"/>
        <v>9754031.4900000002</v>
      </c>
      <c r="F8" s="200">
        <f t="shared" si="5"/>
        <v>9754031.4900000002</v>
      </c>
      <c r="G8" s="200">
        <f t="shared" si="5"/>
        <v>6625352</v>
      </c>
      <c r="H8" s="200">
        <f t="shared" si="5"/>
        <v>8683418.0399999991</v>
      </c>
      <c r="I8" s="206">
        <f t="shared" si="5"/>
        <v>8799163.0399999991</v>
      </c>
      <c r="J8" s="206">
        <f t="shared" si="5"/>
        <v>8799163.0399999991</v>
      </c>
      <c r="K8" s="212"/>
      <c r="L8" s="204"/>
      <c r="M8" s="206">
        <f>M13+M14+M15+M16+M18+M22+M27+M29+M32</f>
        <v>3280906</v>
      </c>
      <c r="N8" s="204"/>
    </row>
    <row r="9" spans="1:15" s="213" customFormat="1" x14ac:dyDescent="0.25">
      <c r="A9" s="204"/>
      <c r="B9" s="214" t="s">
        <v>308</v>
      </c>
      <c r="C9" s="221"/>
      <c r="D9" s="200">
        <f>D19</f>
        <v>0</v>
      </c>
      <c r="E9" s="200">
        <f t="shared" ref="E9:J10" si="6">E19</f>
        <v>0</v>
      </c>
      <c r="F9" s="200">
        <f t="shared" si="6"/>
        <v>0</v>
      </c>
      <c r="G9" s="200">
        <f t="shared" si="6"/>
        <v>323985</v>
      </c>
      <c r="H9" s="200">
        <f t="shared" si="6"/>
        <v>0</v>
      </c>
      <c r="I9" s="200">
        <f t="shared" si="6"/>
        <v>0</v>
      </c>
      <c r="J9" s="200">
        <f t="shared" si="6"/>
        <v>0</v>
      </c>
      <c r="K9" s="212"/>
      <c r="L9" s="204"/>
      <c r="M9" s="200">
        <f t="shared" ref="M9" si="7">M19</f>
        <v>264820</v>
      </c>
      <c r="N9" s="204"/>
    </row>
    <row r="10" spans="1:15" s="213" customFormat="1" x14ac:dyDescent="0.25">
      <c r="A10" s="204"/>
      <c r="B10" s="214" t="s">
        <v>527</v>
      </c>
      <c r="C10" s="221"/>
      <c r="D10" s="200">
        <f>D20</f>
        <v>0</v>
      </c>
      <c r="E10" s="200">
        <f t="shared" si="6"/>
        <v>0</v>
      </c>
      <c r="F10" s="200">
        <f t="shared" si="6"/>
        <v>0</v>
      </c>
      <c r="G10" s="200">
        <f>G30+G28</f>
        <v>53982</v>
      </c>
      <c r="H10" s="200">
        <f t="shared" ref="H10:J10" si="8">H30+H28</f>
        <v>107964</v>
      </c>
      <c r="I10" s="200">
        <f t="shared" si="8"/>
        <v>107964</v>
      </c>
      <c r="J10" s="200">
        <f t="shared" si="8"/>
        <v>107964</v>
      </c>
      <c r="K10" s="212"/>
      <c r="L10" s="204"/>
      <c r="M10" s="200">
        <f t="shared" ref="M10" si="9">M30+M28</f>
        <v>0</v>
      </c>
      <c r="N10" s="204"/>
    </row>
    <row r="11" spans="1:15" s="213" customFormat="1" x14ac:dyDescent="0.25">
      <c r="A11" s="204"/>
      <c r="B11" s="211" t="s">
        <v>254</v>
      </c>
      <c r="C11" s="221"/>
      <c r="D11" s="199">
        <f t="shared" ref="D11:J11" si="10">D26+D31+D33</f>
        <v>60026</v>
      </c>
      <c r="E11" s="199">
        <f t="shared" si="10"/>
        <v>49136</v>
      </c>
      <c r="F11" s="199">
        <f t="shared" si="10"/>
        <v>49136</v>
      </c>
      <c r="G11" s="199">
        <f t="shared" si="10"/>
        <v>0</v>
      </c>
      <c r="H11" s="199">
        <f t="shared" si="10"/>
        <v>0</v>
      </c>
      <c r="I11" s="199">
        <f t="shared" si="10"/>
        <v>0</v>
      </c>
      <c r="J11" s="199">
        <f t="shared" si="10"/>
        <v>49136</v>
      </c>
      <c r="K11" s="212"/>
      <c r="L11" s="204"/>
      <c r="M11" s="199">
        <f>M26+M31+M33</f>
        <v>0</v>
      </c>
      <c r="N11" s="204"/>
    </row>
    <row r="12" spans="1:15" x14ac:dyDescent="0.25">
      <c r="A12" s="215" t="s">
        <v>63</v>
      </c>
      <c r="B12" s="65" t="s">
        <v>340</v>
      </c>
      <c r="C12" s="222"/>
      <c r="D12" s="66">
        <f>ROUND((D13+D14+D15+D16+D17),0)</f>
        <v>8017113</v>
      </c>
      <c r="E12" s="66">
        <f t="shared" ref="E12:J12" si="11">ROUND((E13+E14+E15+E16+E17),0)</f>
        <v>8017113</v>
      </c>
      <c r="F12" s="66">
        <f t="shared" si="11"/>
        <v>8017113</v>
      </c>
      <c r="G12" s="66">
        <f t="shared" si="11"/>
        <v>5332095</v>
      </c>
      <c r="H12" s="66">
        <f t="shared" si="11"/>
        <v>6166347</v>
      </c>
      <c r="I12" s="66">
        <f t="shared" si="11"/>
        <v>6282092</v>
      </c>
      <c r="J12" s="66">
        <f t="shared" si="11"/>
        <v>6282092</v>
      </c>
      <c r="K12" s="216"/>
      <c r="L12" s="217"/>
      <c r="M12" s="66">
        <f t="shared" ref="M12" si="12">ROUND((M13+M14+M15+M16+M17),0)</f>
        <v>1968566</v>
      </c>
      <c r="N12" s="136"/>
    </row>
    <row r="13" spans="1:15" ht="51" x14ac:dyDescent="0.25">
      <c r="A13" s="136" t="s">
        <v>61</v>
      </c>
      <c r="B13" s="137" t="s">
        <v>424</v>
      </c>
      <c r="C13" s="233" t="s">
        <v>251</v>
      </c>
      <c r="D13" s="139">
        <f>'1.1.'!V20</f>
        <v>0</v>
      </c>
      <c r="E13" s="139">
        <f>D13</f>
        <v>0</v>
      </c>
      <c r="F13" s="139">
        <f>E13</f>
        <v>0</v>
      </c>
      <c r="G13" s="139">
        <f>'1.1.'!T20</f>
        <v>839973</v>
      </c>
      <c r="H13" s="139">
        <f>'1.1.'!U20</f>
        <v>957286</v>
      </c>
      <c r="I13" s="139">
        <f>'1.1.'!U20</f>
        <v>957286</v>
      </c>
      <c r="J13" s="139">
        <f>'1.1.'!U20</f>
        <v>957286</v>
      </c>
      <c r="K13" s="137"/>
      <c r="L13" s="136"/>
      <c r="M13" s="218"/>
      <c r="N13" s="136"/>
    </row>
    <row r="14" spans="1:15" ht="38.25" x14ac:dyDescent="0.25">
      <c r="A14" s="136" t="s">
        <v>62</v>
      </c>
      <c r="B14" s="137" t="s">
        <v>393</v>
      </c>
      <c r="C14" s="233" t="s">
        <v>251</v>
      </c>
      <c r="D14" s="139">
        <v>0</v>
      </c>
      <c r="E14" s="139">
        <v>0</v>
      </c>
      <c r="F14" s="139">
        <v>0</v>
      </c>
      <c r="G14" s="139">
        <f>'1.2.'!G14</f>
        <v>1784757</v>
      </c>
      <c r="H14" s="139">
        <f>'1.2.'!H14</f>
        <v>2379677</v>
      </c>
      <c r="I14" s="139">
        <f>'1.2.'!H14</f>
        <v>2379677</v>
      </c>
      <c r="J14" s="139">
        <f>'1.2.'!H14</f>
        <v>2379677</v>
      </c>
      <c r="K14" s="137"/>
      <c r="L14" s="136"/>
      <c r="M14" s="218"/>
      <c r="N14" s="136"/>
    </row>
    <row r="15" spans="1:15" ht="51" x14ac:dyDescent="0.25">
      <c r="A15" s="136" t="s">
        <v>64</v>
      </c>
      <c r="B15" s="137" t="s">
        <v>237</v>
      </c>
      <c r="C15" s="233" t="s">
        <v>251</v>
      </c>
      <c r="D15" s="139">
        <v>0</v>
      </c>
      <c r="E15" s="139">
        <v>0</v>
      </c>
      <c r="F15" s="139">
        <v>0</v>
      </c>
      <c r="G15" s="138">
        <f>'1.3.'!B13</f>
        <v>430862</v>
      </c>
      <c r="H15" s="139">
        <f>'1.3.'!C13</f>
        <v>589017</v>
      </c>
      <c r="I15" s="139">
        <f>H15</f>
        <v>589017</v>
      </c>
      <c r="J15" s="139">
        <f>I15</f>
        <v>589017</v>
      </c>
      <c r="K15" s="137" t="s">
        <v>416</v>
      </c>
      <c r="L15" s="241" t="s">
        <v>406</v>
      </c>
      <c r="M15" s="140">
        <v>72000</v>
      </c>
      <c r="N15" s="137" t="s">
        <v>510</v>
      </c>
    </row>
    <row r="16" spans="1:15" ht="76.5" x14ac:dyDescent="0.25">
      <c r="A16" s="136" t="s">
        <v>65</v>
      </c>
      <c r="B16" s="137" t="s">
        <v>324</v>
      </c>
      <c r="C16" s="233" t="s">
        <v>251</v>
      </c>
      <c r="D16" s="138">
        <v>255815</v>
      </c>
      <c r="E16" s="138">
        <v>255815</v>
      </c>
      <c r="F16" s="138">
        <v>255815</v>
      </c>
      <c r="G16" s="139">
        <f>'1.4.'!A52</f>
        <v>671904</v>
      </c>
      <c r="H16" s="139">
        <f>'1.4.'!B52</f>
        <v>843333</v>
      </c>
      <c r="I16" s="139">
        <f>'1.4.'!C52</f>
        <v>959078</v>
      </c>
      <c r="J16" s="139">
        <f>I16</f>
        <v>959078</v>
      </c>
      <c r="K16" s="117" t="s">
        <v>509</v>
      </c>
      <c r="L16" s="241" t="s">
        <v>407</v>
      </c>
      <c r="M16" s="140">
        <v>693203</v>
      </c>
      <c r="N16" s="137" t="s">
        <v>511</v>
      </c>
      <c r="O16" s="226"/>
    </row>
    <row r="17" spans="1:17" ht="25.5" x14ac:dyDescent="0.25">
      <c r="A17" s="136" t="s">
        <v>302</v>
      </c>
      <c r="B17" s="242" t="s">
        <v>461</v>
      </c>
      <c r="C17" s="233"/>
      <c r="D17" s="138">
        <f>ROUND((D18+D19),0)</f>
        <v>7761298</v>
      </c>
      <c r="E17" s="138">
        <f t="shared" ref="E17:J17" si="13">ROUND((E18+E19),0)</f>
        <v>7761298</v>
      </c>
      <c r="F17" s="138">
        <f t="shared" si="13"/>
        <v>7761298</v>
      </c>
      <c r="G17" s="138">
        <f t="shared" si="13"/>
        <v>1604599</v>
      </c>
      <c r="H17" s="138">
        <f t="shared" si="13"/>
        <v>1397034</v>
      </c>
      <c r="I17" s="138">
        <f t="shared" si="13"/>
        <v>1397034</v>
      </c>
      <c r="J17" s="138">
        <f t="shared" si="13"/>
        <v>1397034</v>
      </c>
      <c r="K17" s="117"/>
      <c r="L17" s="117"/>
      <c r="M17" s="118">
        <f t="shared" ref="M17" si="14">ROUND((M18+M19),0)</f>
        <v>1203363</v>
      </c>
      <c r="N17" s="136"/>
    </row>
    <row r="18" spans="1:17" ht="51" x14ac:dyDescent="0.25">
      <c r="A18" s="136" t="s">
        <v>322</v>
      </c>
      <c r="B18" s="137" t="s">
        <v>462</v>
      </c>
      <c r="C18" s="233" t="s">
        <v>331</v>
      </c>
      <c r="D18" s="139">
        <f>'1.5.1'!F19</f>
        <v>7761298.0899999999</v>
      </c>
      <c r="E18" s="139">
        <f>D18</f>
        <v>7761298.0899999999</v>
      </c>
      <c r="F18" s="139">
        <f>E18</f>
        <v>7761298.0899999999</v>
      </c>
      <c r="G18" s="139">
        <f>'1.5.1'!G19</f>
        <v>1280614</v>
      </c>
      <c r="H18" s="139">
        <f>'1.5.1'!H19</f>
        <v>1397034</v>
      </c>
      <c r="I18" s="139">
        <f>H18</f>
        <v>1397034</v>
      </c>
      <c r="J18" s="139">
        <f>I18</f>
        <v>1397034</v>
      </c>
      <c r="K18" s="117" t="s">
        <v>414</v>
      </c>
      <c r="L18" s="241" t="s">
        <v>408</v>
      </c>
      <c r="M18" s="140">
        <v>938543</v>
      </c>
      <c r="N18" s="137" t="s">
        <v>512</v>
      </c>
    </row>
    <row r="19" spans="1:17" ht="38.25" x14ac:dyDescent="0.25">
      <c r="A19" s="136" t="s">
        <v>323</v>
      </c>
      <c r="B19" s="137" t="s">
        <v>463</v>
      </c>
      <c r="C19" s="233" t="s">
        <v>330</v>
      </c>
      <c r="D19" s="139">
        <v>0</v>
      </c>
      <c r="E19" s="139">
        <v>0</v>
      </c>
      <c r="F19" s="139">
        <v>0</v>
      </c>
      <c r="G19" s="139">
        <f>'1.5.2.'!G11</f>
        <v>323985</v>
      </c>
      <c r="H19" s="139">
        <v>0</v>
      </c>
      <c r="I19" s="139">
        <v>0</v>
      </c>
      <c r="J19" s="139">
        <v>0</v>
      </c>
      <c r="K19" s="117" t="s">
        <v>417</v>
      </c>
      <c r="L19" s="241" t="s">
        <v>409</v>
      </c>
      <c r="M19" s="140">
        <v>264820</v>
      </c>
      <c r="N19" s="137" t="s">
        <v>513</v>
      </c>
    </row>
    <row r="20" spans="1:17" s="207" customFormat="1" ht="34.5" customHeight="1" x14ac:dyDescent="0.25">
      <c r="A20" s="215" t="s">
        <v>66</v>
      </c>
      <c r="B20" s="65" t="s">
        <v>325</v>
      </c>
      <c r="C20" s="222"/>
      <c r="D20" s="66">
        <f>D21+D22</f>
        <v>0</v>
      </c>
      <c r="E20" s="66">
        <f t="shared" ref="E20:F20" si="15">E21+E22</f>
        <v>0</v>
      </c>
      <c r="F20" s="66">
        <f t="shared" si="15"/>
        <v>0</v>
      </c>
      <c r="G20" s="66">
        <f>G21+G22+G23</f>
        <v>156156.02000000002</v>
      </c>
      <c r="H20" s="66">
        <f t="shared" ref="H20:J20" si="16">H21+H22+H23</f>
        <v>250149.64</v>
      </c>
      <c r="I20" s="66">
        <f t="shared" si="16"/>
        <v>250149.64</v>
      </c>
      <c r="J20" s="66">
        <f t="shared" si="16"/>
        <v>250149.64</v>
      </c>
      <c r="K20" s="65"/>
      <c r="L20" s="215"/>
      <c r="M20" s="66">
        <f t="shared" ref="M20" si="17">M21+M22</f>
        <v>0</v>
      </c>
      <c r="N20" s="243"/>
    </row>
    <row r="21" spans="1:17" x14ac:dyDescent="0.25">
      <c r="A21" s="490" t="s">
        <v>67</v>
      </c>
      <c r="B21" s="492" t="s">
        <v>465</v>
      </c>
      <c r="C21" s="233" t="s">
        <v>252</v>
      </c>
      <c r="D21" s="139">
        <v>0</v>
      </c>
      <c r="E21" s="139">
        <v>0</v>
      </c>
      <c r="F21" s="139">
        <v>0</v>
      </c>
      <c r="G21" s="139">
        <f>'2.'!D17</f>
        <v>20111.3</v>
      </c>
      <c r="H21" s="139">
        <f>'2.'!E17</f>
        <v>21939.600000000002</v>
      </c>
      <c r="I21" s="139">
        <f t="shared" ref="I21:J23" si="18">H21</f>
        <v>21939.600000000002</v>
      </c>
      <c r="J21" s="139">
        <f t="shared" si="18"/>
        <v>21939.600000000002</v>
      </c>
      <c r="K21" s="137"/>
      <c r="L21" s="136"/>
      <c r="M21" s="136"/>
      <c r="N21" s="136"/>
      <c r="O21" s="226"/>
      <c r="P21" s="226"/>
      <c r="Q21" s="226"/>
    </row>
    <row r="22" spans="1:17" x14ac:dyDescent="0.25">
      <c r="A22" s="491"/>
      <c r="B22" s="493"/>
      <c r="C22" s="233" t="s">
        <v>251</v>
      </c>
      <c r="D22" s="139">
        <v>0</v>
      </c>
      <c r="E22" s="139">
        <v>0</v>
      </c>
      <c r="F22" s="139">
        <v>0</v>
      </c>
      <c r="G22" s="139">
        <f>'2.'!J17</f>
        <v>48267</v>
      </c>
      <c r="H22" s="139">
        <f>'2.'!K17</f>
        <v>52655.039999999994</v>
      </c>
      <c r="I22" s="139">
        <f t="shared" si="18"/>
        <v>52655.039999999994</v>
      </c>
      <c r="J22" s="139">
        <f t="shared" si="18"/>
        <v>52655.039999999994</v>
      </c>
      <c r="K22" s="137"/>
      <c r="L22" s="136"/>
      <c r="M22" s="136"/>
      <c r="N22" s="136"/>
    </row>
    <row r="23" spans="1:17" ht="25.5" x14ac:dyDescent="0.25">
      <c r="A23" s="244" t="s">
        <v>432</v>
      </c>
      <c r="B23" s="245" t="s">
        <v>435</v>
      </c>
      <c r="C23" s="233" t="s">
        <v>252</v>
      </c>
      <c r="D23" s="138"/>
      <c r="E23" s="138"/>
      <c r="F23" s="138"/>
      <c r="G23" s="138">
        <f>'2.'!S31</f>
        <v>87777.72</v>
      </c>
      <c r="H23" s="138">
        <f>'2.'!T31</f>
        <v>175555</v>
      </c>
      <c r="I23" s="138">
        <f t="shared" si="18"/>
        <v>175555</v>
      </c>
      <c r="J23" s="138">
        <f t="shared" si="18"/>
        <v>175555</v>
      </c>
      <c r="K23" s="117"/>
      <c r="L23" s="116"/>
      <c r="M23" s="116"/>
      <c r="N23" s="116"/>
    </row>
    <row r="24" spans="1:17" s="207" customFormat="1" x14ac:dyDescent="0.25">
      <c r="A24" s="215" t="s">
        <v>68</v>
      </c>
      <c r="B24" s="65" t="s">
        <v>326</v>
      </c>
      <c r="C24" s="222"/>
      <c r="D24" s="66">
        <f t="shared" ref="D24:J24" si="19">ROUND((D25+D32),0)</f>
        <v>1775164</v>
      </c>
      <c r="E24" s="66">
        <f t="shared" si="19"/>
        <v>1764274</v>
      </c>
      <c r="F24" s="66">
        <f t="shared" si="19"/>
        <v>1764274</v>
      </c>
      <c r="G24" s="66">
        <f t="shared" si="19"/>
        <v>1622957</v>
      </c>
      <c r="H24" s="66">
        <f t="shared" si="19"/>
        <v>2572380</v>
      </c>
      <c r="I24" s="66">
        <f t="shared" si="19"/>
        <v>2572380</v>
      </c>
      <c r="J24" s="66">
        <f t="shared" si="19"/>
        <v>2599736</v>
      </c>
      <c r="K24" s="65"/>
      <c r="L24" s="215"/>
      <c r="M24" s="66">
        <f>ROUND((M25+M32),0)</f>
        <v>1577160</v>
      </c>
      <c r="N24" s="243"/>
    </row>
    <row r="25" spans="1:17" x14ac:dyDescent="0.25">
      <c r="A25" s="136" t="s">
        <v>69</v>
      </c>
      <c r="B25" s="137" t="s">
        <v>59</v>
      </c>
      <c r="C25" s="233"/>
      <c r="D25" s="139">
        <f>D26+D27+D31+D29</f>
        <v>38246</v>
      </c>
      <c r="E25" s="139">
        <f>E26+E27+E31+E29</f>
        <v>27356</v>
      </c>
      <c r="F25" s="139">
        <f>F26+F27+F31+F29</f>
        <v>27356</v>
      </c>
      <c r="G25" s="139">
        <f>G26+G27+G28+G29+G30+G31</f>
        <v>1304522</v>
      </c>
      <c r="H25" s="139">
        <f t="shared" ref="H25:J25" si="20">H26+H27+H28+H29+H30+H31</f>
        <v>2224996</v>
      </c>
      <c r="I25" s="139">
        <f t="shared" si="20"/>
        <v>2224996</v>
      </c>
      <c r="J25" s="139">
        <f t="shared" si="20"/>
        <v>2252352</v>
      </c>
      <c r="K25" s="137"/>
      <c r="L25" s="136"/>
      <c r="M25" s="139">
        <f>M26+M27+M31+M29</f>
        <v>1253880</v>
      </c>
      <c r="N25" s="136"/>
    </row>
    <row r="26" spans="1:17" ht="25.5" x14ac:dyDescent="0.25">
      <c r="A26" s="136" t="s">
        <v>427</v>
      </c>
      <c r="B26" s="137" t="s">
        <v>75</v>
      </c>
      <c r="C26" s="233" t="s">
        <v>253</v>
      </c>
      <c r="D26" s="140">
        <f>'3.1.1.'!D8</f>
        <v>10890</v>
      </c>
      <c r="E26" s="140">
        <v>0</v>
      </c>
      <c r="F26" s="140">
        <f>E26</f>
        <v>0</v>
      </c>
      <c r="G26" s="140">
        <v>0</v>
      </c>
      <c r="H26" s="140">
        <v>0</v>
      </c>
      <c r="I26" s="140">
        <v>0</v>
      </c>
      <c r="J26" s="140">
        <v>0</v>
      </c>
      <c r="K26" s="137"/>
      <c r="L26" s="136"/>
      <c r="M26" s="136"/>
      <c r="N26" s="136"/>
    </row>
    <row r="27" spans="1:17" x14ac:dyDescent="0.25">
      <c r="A27" s="494" t="s">
        <v>70</v>
      </c>
      <c r="B27" s="492" t="s">
        <v>76</v>
      </c>
      <c r="C27" s="233" t="s">
        <v>251</v>
      </c>
      <c r="D27" s="140">
        <v>0</v>
      </c>
      <c r="E27" s="140">
        <v>0</v>
      </c>
      <c r="F27" s="140">
        <v>0</v>
      </c>
      <c r="G27" s="140">
        <f>'3.1.2.'!C6</f>
        <v>576072</v>
      </c>
      <c r="H27" s="140">
        <f>'3.1.2.'!D6</f>
        <v>768096</v>
      </c>
      <c r="I27" s="140">
        <f t="shared" ref="I27:J27" si="21">H27</f>
        <v>768096</v>
      </c>
      <c r="J27" s="140">
        <f t="shared" si="21"/>
        <v>768096</v>
      </c>
      <c r="K27" s="137"/>
      <c r="L27" s="136"/>
      <c r="M27" s="136"/>
      <c r="N27" s="136"/>
    </row>
    <row r="28" spans="1:17" x14ac:dyDescent="0.25">
      <c r="A28" s="495"/>
      <c r="B28" s="493"/>
      <c r="C28" s="474" t="s">
        <v>529</v>
      </c>
      <c r="D28" s="140">
        <v>0</v>
      </c>
      <c r="E28" s="140">
        <v>0</v>
      </c>
      <c r="F28" s="140">
        <v>0</v>
      </c>
      <c r="G28" s="140">
        <f>'3.1.2.'!C7</f>
        <v>13716</v>
      </c>
      <c r="H28" s="140">
        <f>'3.1.2.'!D7</f>
        <v>27432</v>
      </c>
      <c r="I28" s="140">
        <f t="shared" ref="I28:J30" si="22">H28</f>
        <v>27432</v>
      </c>
      <c r="J28" s="140">
        <f t="shared" si="22"/>
        <v>27432</v>
      </c>
      <c r="K28" s="137"/>
      <c r="L28" s="136"/>
      <c r="M28" s="136"/>
      <c r="N28" s="136"/>
    </row>
    <row r="29" spans="1:17" ht="89.25" x14ac:dyDescent="0.25">
      <c r="A29" s="494" t="s">
        <v>71</v>
      </c>
      <c r="B29" s="492" t="s">
        <v>426</v>
      </c>
      <c r="C29" s="233" t="s">
        <v>251</v>
      </c>
      <c r="D29" s="140">
        <v>0</v>
      </c>
      <c r="E29" s="140">
        <v>0</v>
      </c>
      <c r="F29" s="140">
        <v>0</v>
      </c>
      <c r="G29" s="140">
        <f>'3.1.3.'!C7</f>
        <v>674468</v>
      </c>
      <c r="H29" s="140">
        <f>'3.1.3.'!D7</f>
        <v>1348936</v>
      </c>
      <c r="I29" s="140">
        <f t="shared" si="22"/>
        <v>1348936</v>
      </c>
      <c r="J29" s="140">
        <f t="shared" si="22"/>
        <v>1348936</v>
      </c>
      <c r="K29" s="137" t="s">
        <v>415</v>
      </c>
      <c r="L29" s="241" t="s">
        <v>410</v>
      </c>
      <c r="M29" s="140">
        <v>1253880</v>
      </c>
      <c r="N29" s="137" t="s">
        <v>514</v>
      </c>
    </row>
    <row r="30" spans="1:17" ht="15" x14ac:dyDescent="0.25">
      <c r="A30" s="495"/>
      <c r="B30" s="493"/>
      <c r="C30" s="474" t="s">
        <v>529</v>
      </c>
      <c r="D30" s="140">
        <v>0</v>
      </c>
      <c r="E30" s="140">
        <v>0</v>
      </c>
      <c r="F30" s="140">
        <v>0</v>
      </c>
      <c r="G30" s="140">
        <f>'3.1.3.'!C8</f>
        <v>40266</v>
      </c>
      <c r="H30" s="140">
        <f>'3.1.3.'!D8</f>
        <v>80532</v>
      </c>
      <c r="I30" s="140">
        <f t="shared" si="22"/>
        <v>80532</v>
      </c>
      <c r="J30" s="140">
        <f t="shared" si="22"/>
        <v>80532</v>
      </c>
      <c r="K30" s="137"/>
      <c r="L30" s="241"/>
      <c r="M30" s="140"/>
      <c r="N30" s="137"/>
    </row>
    <row r="31" spans="1:17" ht="51" x14ac:dyDescent="0.25">
      <c r="A31" s="136" t="s">
        <v>275</v>
      </c>
      <c r="B31" s="137" t="s">
        <v>255</v>
      </c>
      <c r="C31" s="233" t="s">
        <v>253</v>
      </c>
      <c r="D31" s="140">
        <v>27356</v>
      </c>
      <c r="E31" s="140">
        <f>D31</f>
        <v>27356</v>
      </c>
      <c r="F31" s="140">
        <f>E31</f>
        <v>27356</v>
      </c>
      <c r="G31" s="140">
        <v>0</v>
      </c>
      <c r="H31" s="140">
        <v>0</v>
      </c>
      <c r="I31" s="140">
        <v>0</v>
      </c>
      <c r="J31" s="140">
        <f>F31</f>
        <v>27356</v>
      </c>
      <c r="K31" s="137"/>
      <c r="L31" s="136"/>
      <c r="M31" s="218"/>
      <c r="N31" s="136"/>
    </row>
    <row r="32" spans="1:17" s="119" customFormat="1" ht="89.25" x14ac:dyDescent="0.25">
      <c r="A32" s="116" t="s">
        <v>72</v>
      </c>
      <c r="B32" s="117" t="s">
        <v>327</v>
      </c>
      <c r="C32" s="223" t="s">
        <v>251</v>
      </c>
      <c r="D32" s="118">
        <f>'3.2.'!F12</f>
        <v>1736918.4</v>
      </c>
      <c r="E32" s="118">
        <f>D32</f>
        <v>1736918.4</v>
      </c>
      <c r="F32" s="118">
        <f>E32</f>
        <v>1736918.4</v>
      </c>
      <c r="G32" s="118">
        <f>'3.2.'!G12</f>
        <v>318435</v>
      </c>
      <c r="H32" s="118">
        <f>'3.2.'!H12</f>
        <v>347384</v>
      </c>
      <c r="I32" s="118">
        <f>H32</f>
        <v>347384</v>
      </c>
      <c r="J32" s="118">
        <f>I32</f>
        <v>347384</v>
      </c>
      <c r="K32" s="117" t="s">
        <v>418</v>
      </c>
      <c r="L32" s="241" t="s">
        <v>411</v>
      </c>
      <c r="M32" s="140">
        <v>323280</v>
      </c>
      <c r="N32" s="137" t="s">
        <v>515</v>
      </c>
    </row>
    <row r="33" spans="1:14" ht="25.5" x14ac:dyDescent="0.25">
      <c r="A33" s="215" t="s">
        <v>73</v>
      </c>
      <c r="B33" s="65" t="s">
        <v>328</v>
      </c>
      <c r="C33" s="222"/>
      <c r="D33" s="66">
        <f>D34</f>
        <v>21780</v>
      </c>
      <c r="E33" s="66">
        <f t="shared" ref="E33:J33" si="23">E34</f>
        <v>21780</v>
      </c>
      <c r="F33" s="66">
        <f t="shared" si="23"/>
        <v>21780</v>
      </c>
      <c r="G33" s="66">
        <f t="shared" si="23"/>
        <v>0</v>
      </c>
      <c r="H33" s="66">
        <f t="shared" si="23"/>
        <v>0</v>
      </c>
      <c r="I33" s="66">
        <f t="shared" si="23"/>
        <v>0</v>
      </c>
      <c r="J33" s="66">
        <f t="shared" si="23"/>
        <v>21780</v>
      </c>
      <c r="K33" s="216"/>
      <c r="L33" s="217"/>
      <c r="M33" s="66">
        <f t="shared" ref="M33" si="24">M34</f>
        <v>0</v>
      </c>
      <c r="N33" s="136"/>
    </row>
    <row r="34" spans="1:14" ht="25.5" x14ac:dyDescent="0.25">
      <c r="A34" s="136" t="s">
        <v>74</v>
      </c>
      <c r="B34" s="137" t="s">
        <v>329</v>
      </c>
      <c r="C34" s="233" t="s">
        <v>253</v>
      </c>
      <c r="D34" s="139">
        <f>'4.1.'!D6</f>
        <v>21780</v>
      </c>
      <c r="E34" s="139">
        <f>D34</f>
        <v>21780</v>
      </c>
      <c r="F34" s="139">
        <f>E34</f>
        <v>21780</v>
      </c>
      <c r="G34" s="139">
        <v>0</v>
      </c>
      <c r="H34" s="139">
        <v>0</v>
      </c>
      <c r="I34" s="139">
        <v>0</v>
      </c>
      <c r="J34" s="139">
        <f>F34</f>
        <v>21780</v>
      </c>
      <c r="K34" s="137"/>
      <c r="L34" s="136"/>
      <c r="M34" s="136"/>
      <c r="N34" s="136"/>
    </row>
    <row r="35" spans="1:14" ht="28.5" customHeight="1" x14ac:dyDescent="0.25">
      <c r="A35" s="488" t="s">
        <v>404</v>
      </c>
      <c r="B35" s="488"/>
      <c r="C35" s="488"/>
      <c r="D35" s="488"/>
      <c r="E35" s="488"/>
      <c r="F35" s="488"/>
      <c r="G35" s="488"/>
      <c r="H35" s="488"/>
      <c r="I35" s="488"/>
      <c r="J35" s="488"/>
      <c r="K35" s="488"/>
      <c r="L35" s="488"/>
      <c r="M35" s="488"/>
    </row>
    <row r="36" spans="1:14" ht="29.45" customHeight="1" x14ac:dyDescent="0.25">
      <c r="A36" s="489" t="s">
        <v>405</v>
      </c>
      <c r="B36" s="489"/>
      <c r="C36" s="489"/>
      <c r="D36" s="489"/>
      <c r="E36" s="489"/>
      <c r="F36" s="489"/>
      <c r="G36" s="489"/>
      <c r="H36" s="489"/>
      <c r="I36" s="489"/>
      <c r="J36" s="489"/>
      <c r="K36" s="489"/>
      <c r="L36" s="489"/>
      <c r="M36" s="489"/>
    </row>
  </sheetData>
  <mergeCells count="12">
    <mergeCell ref="A1:K1"/>
    <mergeCell ref="K3:M3"/>
    <mergeCell ref="A35:M35"/>
    <mergeCell ref="A36:M36"/>
    <mergeCell ref="A21:A22"/>
    <mergeCell ref="B21:B22"/>
    <mergeCell ref="D3:F3"/>
    <mergeCell ref="G3:J3"/>
    <mergeCell ref="B27:B28"/>
    <mergeCell ref="A27:A28"/>
    <mergeCell ref="B29:B30"/>
    <mergeCell ref="A29:A30"/>
  </mergeCells>
  <pageMargins left="0.7" right="0.7" top="0.75" bottom="0.75" header="0.3" footer="0.3"/>
  <pageSetup paperSize="9"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7"/>
  <sheetViews>
    <sheetView zoomScale="80" zoomScaleNormal="80" workbookViewId="0">
      <selection activeCell="B10" sqref="B10"/>
    </sheetView>
  </sheetViews>
  <sheetFormatPr defaultColWidth="8.7109375" defaultRowHeight="15" x14ac:dyDescent="0.25"/>
  <cols>
    <col min="1" max="1" width="10.42578125" style="103" customWidth="1"/>
    <col min="2" max="2" width="42.42578125" style="103" customWidth="1"/>
    <col min="3" max="3" width="22.5703125" style="103" customWidth="1"/>
    <col min="4" max="4" width="22.7109375" style="103" customWidth="1"/>
    <col min="5" max="5" width="8.7109375" style="103"/>
    <col min="6" max="6" width="10.28515625" style="103" customWidth="1"/>
    <col min="7" max="7" width="15.42578125" style="103" customWidth="1"/>
    <col min="8" max="8" width="16.140625" style="103" customWidth="1"/>
    <col min="9" max="9" width="49.42578125" style="103" customWidth="1"/>
    <col min="10" max="10" width="10.42578125" style="103" customWidth="1"/>
    <col min="11" max="11" width="42.42578125" style="103" customWidth="1"/>
    <col min="12" max="12" width="11.28515625" style="103" customWidth="1"/>
    <col min="13" max="16384" width="8.7109375" style="103"/>
  </cols>
  <sheetData>
    <row r="1" spans="1:11" ht="58.5" customHeight="1" x14ac:dyDescent="0.3">
      <c r="A1" s="542" t="s">
        <v>339</v>
      </c>
      <c r="B1" s="542"/>
      <c r="C1" s="542"/>
      <c r="D1" s="542"/>
      <c r="E1" s="542"/>
      <c r="F1" s="542"/>
      <c r="G1" s="542"/>
      <c r="H1" s="542"/>
      <c r="I1" s="403" t="s">
        <v>446</v>
      </c>
      <c r="K1" s="435"/>
    </row>
    <row r="2" spans="1:11" ht="15.75" x14ac:dyDescent="0.25">
      <c r="A2" s="562" t="s">
        <v>265</v>
      </c>
      <c r="B2" s="562"/>
      <c r="C2" s="562"/>
      <c r="D2" s="562"/>
      <c r="E2" s="562"/>
      <c r="F2" s="562"/>
      <c r="G2" s="562"/>
      <c r="H2" s="562"/>
      <c r="I2" s="274"/>
    </row>
    <row r="3" spans="1:11" ht="39" customHeight="1" x14ac:dyDescent="0.25">
      <c r="A3" s="509" t="s">
        <v>429</v>
      </c>
      <c r="B3" s="509"/>
      <c r="C3" s="509"/>
      <c r="D3" s="509"/>
      <c r="E3" s="509"/>
      <c r="F3" s="509"/>
      <c r="G3" s="509"/>
      <c r="H3" s="509"/>
      <c r="I3" s="405"/>
    </row>
    <row r="4" spans="1:11" ht="15" customHeight="1" x14ac:dyDescent="0.25">
      <c r="A4" s="405"/>
      <c r="B4" s="405"/>
      <c r="C4" s="405"/>
      <c r="D4" s="405"/>
      <c r="E4" s="405"/>
      <c r="F4" s="405"/>
      <c r="G4" s="405"/>
      <c r="H4" s="405"/>
      <c r="I4" s="405"/>
    </row>
    <row r="5" spans="1:11" s="276" customFormat="1" ht="60" x14ac:dyDescent="0.25">
      <c r="A5" s="563" t="s">
        <v>54</v>
      </c>
      <c r="B5" s="563"/>
      <c r="C5" s="480" t="s">
        <v>530</v>
      </c>
      <c r="D5" s="480" t="s">
        <v>338</v>
      </c>
      <c r="E5" s="58"/>
    </row>
    <row r="6" spans="1:11" s="276" customFormat="1" ht="34.5" customHeight="1" x14ac:dyDescent="0.25">
      <c r="A6" s="564" t="s">
        <v>245</v>
      </c>
      <c r="B6" s="564"/>
      <c r="C6" s="481">
        <f>ROUND(SUM(G12:G50),0)</f>
        <v>576072</v>
      </c>
      <c r="D6" s="481">
        <f>ROUND(SUM(H12:H50),0)</f>
        <v>768096</v>
      </c>
      <c r="E6" s="59"/>
      <c r="G6" s="277"/>
      <c r="H6" s="277"/>
    </row>
    <row r="7" spans="1:11" s="276" customFormat="1" ht="15.75" x14ac:dyDescent="0.25">
      <c r="A7" s="565" t="s">
        <v>527</v>
      </c>
      <c r="B7" s="565"/>
      <c r="C7" s="482">
        <f>C56</f>
        <v>13716</v>
      </c>
      <c r="D7" s="482">
        <f>D56</f>
        <v>27432</v>
      </c>
      <c r="E7" s="72"/>
      <c r="G7" s="277"/>
      <c r="H7" s="277"/>
      <c r="I7" s="277"/>
    </row>
    <row r="8" spans="1:11" s="276" customFormat="1" ht="15.75" x14ac:dyDescent="0.25">
      <c r="A8" s="479"/>
      <c r="B8" s="335" t="s">
        <v>181</v>
      </c>
      <c r="C8" s="481">
        <f>C6+C7</f>
        <v>589788</v>
      </c>
      <c r="D8" s="481">
        <f>D6+D7</f>
        <v>795528</v>
      </c>
      <c r="E8" s="72"/>
      <c r="F8" s="59"/>
      <c r="G8" s="277"/>
      <c r="H8" s="277"/>
      <c r="I8" s="277"/>
    </row>
    <row r="9" spans="1:11" s="276" customFormat="1" ht="15.75" x14ac:dyDescent="0.25">
      <c r="A9" s="479"/>
      <c r="B9" s="97"/>
      <c r="C9" s="483"/>
      <c r="D9" s="483"/>
      <c r="E9" s="72"/>
      <c r="F9" s="59"/>
      <c r="G9" s="277"/>
      <c r="H9" s="277"/>
      <c r="I9" s="277"/>
    </row>
    <row r="10" spans="1:11" x14ac:dyDescent="0.25">
      <c r="B10" s="241" t="s">
        <v>532</v>
      </c>
      <c r="D10" s="157">
        <f>ROUND(((1800+1950+1800)/3),2)</f>
        <v>1850</v>
      </c>
      <c r="E10" s="157">
        <v>0.2359</v>
      </c>
    </row>
    <row r="11" spans="1:11" s="466" customFormat="1" ht="51" customHeight="1" x14ac:dyDescent="0.25">
      <c r="A11" s="193" t="s">
        <v>77</v>
      </c>
      <c r="B11" s="193" t="s">
        <v>78</v>
      </c>
      <c r="C11" s="464" t="s">
        <v>79</v>
      </c>
      <c r="D11" s="193" t="s">
        <v>386</v>
      </c>
      <c r="E11" s="193" t="s">
        <v>402</v>
      </c>
      <c r="F11" s="193" t="s">
        <v>401</v>
      </c>
      <c r="G11" s="465" t="s">
        <v>277</v>
      </c>
      <c r="H11" s="193" t="s">
        <v>278</v>
      </c>
    </row>
    <row r="12" spans="1:11" ht="24.75" customHeight="1" x14ac:dyDescent="0.25">
      <c r="A12" s="467" t="s">
        <v>83</v>
      </c>
      <c r="B12" s="91" t="s">
        <v>84</v>
      </c>
      <c r="C12" s="93">
        <v>1</v>
      </c>
      <c r="D12" s="151">
        <f t="shared" ref="D12:D50" si="0">C12*$D$10</f>
        <v>1850</v>
      </c>
      <c r="E12" s="151">
        <f>ROUND((D12*$E$10),2)</f>
        <v>436.42</v>
      </c>
      <c r="F12" s="468">
        <f>ROUND((D12+E12),0)</f>
        <v>2286</v>
      </c>
      <c r="G12" s="469">
        <f>F12*9</f>
        <v>20574</v>
      </c>
      <c r="H12" s="139">
        <f>F12*12</f>
        <v>27432</v>
      </c>
    </row>
    <row r="13" spans="1:11" ht="29.25" customHeight="1" x14ac:dyDescent="0.25">
      <c r="A13" s="467" t="s">
        <v>83</v>
      </c>
      <c r="B13" s="91" t="s">
        <v>85</v>
      </c>
      <c r="C13" s="93">
        <v>1</v>
      </c>
      <c r="D13" s="151">
        <f t="shared" si="0"/>
        <v>1850</v>
      </c>
      <c r="E13" s="151">
        <f t="shared" ref="E13:E50" si="1">ROUND((D13*$E$10),2)</f>
        <v>436.42</v>
      </c>
      <c r="F13" s="468">
        <f t="shared" ref="F13:F50" si="2">ROUND((D13+E13),0)</f>
        <v>2286</v>
      </c>
      <c r="G13" s="469">
        <f t="shared" ref="G13:G50" si="3">F13*9</f>
        <v>20574</v>
      </c>
      <c r="H13" s="139">
        <f t="shared" ref="H13:H50" si="4">F13*12</f>
        <v>27432</v>
      </c>
    </row>
    <row r="14" spans="1:11" x14ac:dyDescent="0.25">
      <c r="A14" s="467" t="s">
        <v>83</v>
      </c>
      <c r="B14" s="91" t="s">
        <v>86</v>
      </c>
      <c r="C14" s="93">
        <v>1</v>
      </c>
      <c r="D14" s="151">
        <f t="shared" si="0"/>
        <v>1850</v>
      </c>
      <c r="E14" s="151">
        <f t="shared" si="1"/>
        <v>436.42</v>
      </c>
      <c r="F14" s="468">
        <f t="shared" si="2"/>
        <v>2286</v>
      </c>
      <c r="G14" s="469">
        <f t="shared" si="3"/>
        <v>20574</v>
      </c>
      <c r="H14" s="139">
        <f t="shared" si="4"/>
        <v>27432</v>
      </c>
    </row>
    <row r="15" spans="1:11" x14ac:dyDescent="0.25">
      <c r="A15" s="470" t="s">
        <v>87</v>
      </c>
      <c r="B15" s="91" t="s">
        <v>88</v>
      </c>
      <c r="C15" s="93">
        <v>1</v>
      </c>
      <c r="D15" s="151">
        <f t="shared" si="0"/>
        <v>1850</v>
      </c>
      <c r="E15" s="151">
        <f t="shared" si="1"/>
        <v>436.42</v>
      </c>
      <c r="F15" s="468">
        <f t="shared" si="2"/>
        <v>2286</v>
      </c>
      <c r="G15" s="469">
        <f t="shared" si="3"/>
        <v>20574</v>
      </c>
      <c r="H15" s="139">
        <f t="shared" si="4"/>
        <v>27432</v>
      </c>
    </row>
    <row r="16" spans="1:11" x14ac:dyDescent="0.25">
      <c r="A16" s="470" t="s">
        <v>87</v>
      </c>
      <c r="B16" s="91" t="s">
        <v>89</v>
      </c>
      <c r="C16" s="93">
        <v>1</v>
      </c>
      <c r="D16" s="151">
        <f t="shared" si="0"/>
        <v>1850</v>
      </c>
      <c r="E16" s="151">
        <f t="shared" si="1"/>
        <v>436.42</v>
      </c>
      <c r="F16" s="468">
        <f t="shared" si="2"/>
        <v>2286</v>
      </c>
      <c r="G16" s="469">
        <f t="shared" si="3"/>
        <v>20574</v>
      </c>
      <c r="H16" s="139">
        <f t="shared" si="4"/>
        <v>27432</v>
      </c>
    </row>
    <row r="17" spans="1:8" x14ac:dyDescent="0.25">
      <c r="A17" s="470" t="s">
        <v>87</v>
      </c>
      <c r="B17" s="92" t="s">
        <v>90</v>
      </c>
      <c r="C17" s="93">
        <v>1</v>
      </c>
      <c r="D17" s="151">
        <f t="shared" si="0"/>
        <v>1850</v>
      </c>
      <c r="E17" s="151">
        <f t="shared" si="1"/>
        <v>436.42</v>
      </c>
      <c r="F17" s="468">
        <f t="shared" si="2"/>
        <v>2286</v>
      </c>
      <c r="G17" s="469">
        <f t="shared" si="3"/>
        <v>20574</v>
      </c>
      <c r="H17" s="139">
        <f t="shared" si="4"/>
        <v>27432</v>
      </c>
    </row>
    <row r="18" spans="1:8" x14ac:dyDescent="0.25">
      <c r="A18" s="470" t="s">
        <v>87</v>
      </c>
      <c r="B18" s="91" t="s">
        <v>91</v>
      </c>
      <c r="C18" s="93">
        <v>1</v>
      </c>
      <c r="D18" s="151">
        <f t="shared" si="0"/>
        <v>1850</v>
      </c>
      <c r="E18" s="151">
        <f t="shared" si="1"/>
        <v>436.42</v>
      </c>
      <c r="F18" s="468">
        <f t="shared" si="2"/>
        <v>2286</v>
      </c>
      <c r="G18" s="469">
        <f t="shared" si="3"/>
        <v>20574</v>
      </c>
      <c r="H18" s="139">
        <f t="shared" si="4"/>
        <v>27432</v>
      </c>
    </row>
    <row r="19" spans="1:8" x14ac:dyDescent="0.25">
      <c r="A19" s="470" t="s">
        <v>87</v>
      </c>
      <c r="B19" s="91" t="s">
        <v>92</v>
      </c>
      <c r="C19" s="93">
        <v>1</v>
      </c>
      <c r="D19" s="151">
        <f t="shared" si="0"/>
        <v>1850</v>
      </c>
      <c r="E19" s="151">
        <f t="shared" si="1"/>
        <v>436.42</v>
      </c>
      <c r="F19" s="468">
        <f t="shared" si="2"/>
        <v>2286</v>
      </c>
      <c r="G19" s="469">
        <f t="shared" si="3"/>
        <v>20574</v>
      </c>
      <c r="H19" s="139">
        <f t="shared" si="4"/>
        <v>27432</v>
      </c>
    </row>
    <row r="20" spans="1:8" x14ac:dyDescent="0.25">
      <c r="A20" s="470" t="s">
        <v>87</v>
      </c>
      <c r="B20" s="91" t="s">
        <v>93</v>
      </c>
      <c r="C20" s="93">
        <v>1</v>
      </c>
      <c r="D20" s="151">
        <f t="shared" si="0"/>
        <v>1850</v>
      </c>
      <c r="E20" s="151">
        <f t="shared" si="1"/>
        <v>436.42</v>
      </c>
      <c r="F20" s="468">
        <f t="shared" si="2"/>
        <v>2286</v>
      </c>
      <c r="G20" s="469">
        <f t="shared" si="3"/>
        <v>20574</v>
      </c>
      <c r="H20" s="139">
        <f t="shared" si="4"/>
        <v>27432</v>
      </c>
    </row>
    <row r="21" spans="1:8" x14ac:dyDescent="0.25">
      <c r="A21" s="470" t="s">
        <v>87</v>
      </c>
      <c r="B21" s="91" t="s">
        <v>94</v>
      </c>
      <c r="C21" s="93">
        <v>1</v>
      </c>
      <c r="D21" s="151">
        <f t="shared" si="0"/>
        <v>1850</v>
      </c>
      <c r="E21" s="151">
        <f t="shared" si="1"/>
        <v>436.42</v>
      </c>
      <c r="F21" s="468">
        <f t="shared" si="2"/>
        <v>2286</v>
      </c>
      <c r="G21" s="469">
        <f t="shared" si="3"/>
        <v>20574</v>
      </c>
      <c r="H21" s="139">
        <f t="shared" si="4"/>
        <v>27432</v>
      </c>
    </row>
    <row r="22" spans="1:8" ht="31.5" customHeight="1" x14ac:dyDescent="0.25">
      <c r="A22" s="470" t="s">
        <v>95</v>
      </c>
      <c r="B22" s="91" t="s">
        <v>96</v>
      </c>
      <c r="C22" s="93">
        <v>0.5</v>
      </c>
      <c r="D22" s="151">
        <f t="shared" si="0"/>
        <v>925</v>
      </c>
      <c r="E22" s="151">
        <f t="shared" si="1"/>
        <v>218.21</v>
      </c>
      <c r="F22" s="468">
        <f t="shared" si="2"/>
        <v>1143</v>
      </c>
      <c r="G22" s="469">
        <f t="shared" si="3"/>
        <v>10287</v>
      </c>
      <c r="H22" s="139">
        <f t="shared" si="4"/>
        <v>13716</v>
      </c>
    </row>
    <row r="23" spans="1:8" x14ac:dyDescent="0.25">
      <c r="A23" s="470" t="s">
        <v>95</v>
      </c>
      <c r="B23" s="91" t="s">
        <v>97</v>
      </c>
      <c r="C23" s="93">
        <v>0.5</v>
      </c>
      <c r="D23" s="151">
        <f t="shared" si="0"/>
        <v>925</v>
      </c>
      <c r="E23" s="151">
        <f t="shared" si="1"/>
        <v>218.21</v>
      </c>
      <c r="F23" s="468">
        <f t="shared" si="2"/>
        <v>1143</v>
      </c>
      <c r="G23" s="469">
        <f t="shared" si="3"/>
        <v>10287</v>
      </c>
      <c r="H23" s="139">
        <f t="shared" si="4"/>
        <v>13716</v>
      </c>
    </row>
    <row r="24" spans="1:8" x14ac:dyDescent="0.25">
      <c r="A24" s="470" t="s">
        <v>95</v>
      </c>
      <c r="B24" s="91" t="s">
        <v>98</v>
      </c>
      <c r="C24" s="93">
        <v>0.5</v>
      </c>
      <c r="D24" s="151">
        <f t="shared" si="0"/>
        <v>925</v>
      </c>
      <c r="E24" s="151">
        <f t="shared" si="1"/>
        <v>218.21</v>
      </c>
      <c r="F24" s="468">
        <f t="shared" si="2"/>
        <v>1143</v>
      </c>
      <c r="G24" s="469">
        <f t="shared" si="3"/>
        <v>10287</v>
      </c>
      <c r="H24" s="139">
        <f t="shared" si="4"/>
        <v>13716</v>
      </c>
    </row>
    <row r="25" spans="1:8" x14ac:dyDescent="0.25">
      <c r="A25" s="470" t="s">
        <v>95</v>
      </c>
      <c r="B25" s="91" t="s">
        <v>99</v>
      </c>
      <c r="C25" s="93">
        <v>0.5</v>
      </c>
      <c r="D25" s="151">
        <f t="shared" si="0"/>
        <v>925</v>
      </c>
      <c r="E25" s="151">
        <f t="shared" si="1"/>
        <v>218.21</v>
      </c>
      <c r="F25" s="468">
        <f t="shared" si="2"/>
        <v>1143</v>
      </c>
      <c r="G25" s="469">
        <f t="shared" si="3"/>
        <v>10287</v>
      </c>
      <c r="H25" s="139">
        <f t="shared" si="4"/>
        <v>13716</v>
      </c>
    </row>
    <row r="26" spans="1:8" x14ac:dyDescent="0.25">
      <c r="A26" s="470" t="s">
        <v>95</v>
      </c>
      <c r="B26" s="91" t="s">
        <v>100</v>
      </c>
      <c r="C26" s="93">
        <v>0.5</v>
      </c>
      <c r="D26" s="151">
        <f t="shared" si="0"/>
        <v>925</v>
      </c>
      <c r="E26" s="151">
        <f t="shared" si="1"/>
        <v>218.21</v>
      </c>
      <c r="F26" s="468">
        <f t="shared" si="2"/>
        <v>1143</v>
      </c>
      <c r="G26" s="469">
        <f t="shared" si="3"/>
        <v>10287</v>
      </c>
      <c r="H26" s="139">
        <f t="shared" si="4"/>
        <v>13716</v>
      </c>
    </row>
    <row r="27" spans="1:8" x14ac:dyDescent="0.25">
      <c r="A27" s="470" t="s">
        <v>95</v>
      </c>
      <c r="B27" s="91" t="s">
        <v>101</v>
      </c>
      <c r="C27" s="93">
        <v>0.5</v>
      </c>
      <c r="D27" s="151">
        <f t="shared" si="0"/>
        <v>925</v>
      </c>
      <c r="E27" s="151">
        <f t="shared" si="1"/>
        <v>218.21</v>
      </c>
      <c r="F27" s="468">
        <f t="shared" si="2"/>
        <v>1143</v>
      </c>
      <c r="G27" s="469">
        <f t="shared" si="3"/>
        <v>10287</v>
      </c>
      <c r="H27" s="139">
        <f t="shared" si="4"/>
        <v>13716</v>
      </c>
    </row>
    <row r="28" spans="1:8" x14ac:dyDescent="0.25">
      <c r="A28" s="470" t="s">
        <v>95</v>
      </c>
      <c r="B28" s="91" t="s">
        <v>102</v>
      </c>
      <c r="C28" s="93">
        <v>0.5</v>
      </c>
      <c r="D28" s="151">
        <f t="shared" si="0"/>
        <v>925</v>
      </c>
      <c r="E28" s="151">
        <f t="shared" si="1"/>
        <v>218.21</v>
      </c>
      <c r="F28" s="468">
        <f t="shared" si="2"/>
        <v>1143</v>
      </c>
      <c r="G28" s="469">
        <f t="shared" si="3"/>
        <v>10287</v>
      </c>
      <c r="H28" s="139">
        <f t="shared" si="4"/>
        <v>13716</v>
      </c>
    </row>
    <row r="29" spans="1:8" x14ac:dyDescent="0.25">
      <c r="A29" s="470" t="s">
        <v>103</v>
      </c>
      <c r="B29" s="91" t="s">
        <v>104</v>
      </c>
      <c r="C29" s="93">
        <v>0.5</v>
      </c>
      <c r="D29" s="151">
        <f t="shared" si="0"/>
        <v>925</v>
      </c>
      <c r="E29" s="151">
        <f t="shared" si="1"/>
        <v>218.21</v>
      </c>
      <c r="F29" s="468">
        <f t="shared" si="2"/>
        <v>1143</v>
      </c>
      <c r="G29" s="469">
        <f t="shared" si="3"/>
        <v>10287</v>
      </c>
      <c r="H29" s="139">
        <f t="shared" si="4"/>
        <v>13716</v>
      </c>
    </row>
    <row r="30" spans="1:8" x14ac:dyDescent="0.25">
      <c r="A30" s="470" t="s">
        <v>103</v>
      </c>
      <c r="B30" s="91" t="s">
        <v>121</v>
      </c>
      <c r="C30" s="93">
        <v>0.5</v>
      </c>
      <c r="D30" s="151">
        <f t="shared" si="0"/>
        <v>925</v>
      </c>
      <c r="E30" s="151">
        <f t="shared" si="1"/>
        <v>218.21</v>
      </c>
      <c r="F30" s="468">
        <f t="shared" si="2"/>
        <v>1143</v>
      </c>
      <c r="G30" s="469">
        <f t="shared" si="3"/>
        <v>10287</v>
      </c>
      <c r="H30" s="139">
        <f t="shared" si="4"/>
        <v>13716</v>
      </c>
    </row>
    <row r="31" spans="1:8" x14ac:dyDescent="0.25">
      <c r="A31" s="470" t="s">
        <v>103</v>
      </c>
      <c r="B31" s="91" t="s">
        <v>122</v>
      </c>
      <c r="C31" s="93">
        <v>0.5</v>
      </c>
      <c r="D31" s="151">
        <f t="shared" si="0"/>
        <v>925</v>
      </c>
      <c r="E31" s="151">
        <f t="shared" si="1"/>
        <v>218.21</v>
      </c>
      <c r="F31" s="468">
        <f t="shared" si="2"/>
        <v>1143</v>
      </c>
      <c r="G31" s="469">
        <f t="shared" si="3"/>
        <v>10287</v>
      </c>
      <c r="H31" s="139">
        <f t="shared" si="4"/>
        <v>13716</v>
      </c>
    </row>
    <row r="32" spans="1:8" x14ac:dyDescent="0.25">
      <c r="A32" s="470" t="s">
        <v>103</v>
      </c>
      <c r="B32" s="91" t="s">
        <v>123</v>
      </c>
      <c r="C32" s="93">
        <v>0.5</v>
      </c>
      <c r="D32" s="151">
        <f t="shared" si="0"/>
        <v>925</v>
      </c>
      <c r="E32" s="151">
        <f t="shared" si="1"/>
        <v>218.21</v>
      </c>
      <c r="F32" s="468">
        <f t="shared" si="2"/>
        <v>1143</v>
      </c>
      <c r="G32" s="469">
        <f t="shared" si="3"/>
        <v>10287</v>
      </c>
      <c r="H32" s="139">
        <f t="shared" si="4"/>
        <v>13716</v>
      </c>
    </row>
    <row r="33" spans="1:8" ht="25.5" x14ac:dyDescent="0.25">
      <c r="A33" s="470" t="s">
        <v>124</v>
      </c>
      <c r="B33" s="91" t="s">
        <v>125</v>
      </c>
      <c r="C33" s="93">
        <v>0.5</v>
      </c>
      <c r="D33" s="151">
        <f t="shared" si="0"/>
        <v>925</v>
      </c>
      <c r="E33" s="151">
        <f t="shared" si="1"/>
        <v>218.21</v>
      </c>
      <c r="F33" s="468">
        <f t="shared" si="2"/>
        <v>1143</v>
      </c>
      <c r="G33" s="469">
        <f t="shared" si="3"/>
        <v>10287</v>
      </c>
      <c r="H33" s="139">
        <f t="shared" si="4"/>
        <v>13716</v>
      </c>
    </row>
    <row r="34" spans="1:8" x14ac:dyDescent="0.25">
      <c r="A34" s="470" t="s">
        <v>124</v>
      </c>
      <c r="B34" s="91" t="s">
        <v>126</v>
      </c>
      <c r="C34" s="93">
        <v>0.5</v>
      </c>
      <c r="D34" s="151">
        <f t="shared" si="0"/>
        <v>925</v>
      </c>
      <c r="E34" s="151">
        <f t="shared" si="1"/>
        <v>218.21</v>
      </c>
      <c r="F34" s="468">
        <f t="shared" si="2"/>
        <v>1143</v>
      </c>
      <c r="G34" s="469">
        <f t="shared" si="3"/>
        <v>10287</v>
      </c>
      <c r="H34" s="139">
        <f t="shared" si="4"/>
        <v>13716</v>
      </c>
    </row>
    <row r="35" spans="1:8" x14ac:dyDescent="0.25">
      <c r="A35" s="470" t="s">
        <v>124</v>
      </c>
      <c r="B35" s="91" t="s">
        <v>127</v>
      </c>
      <c r="C35" s="93">
        <v>0.5</v>
      </c>
      <c r="D35" s="151">
        <f t="shared" si="0"/>
        <v>925</v>
      </c>
      <c r="E35" s="151">
        <f t="shared" si="1"/>
        <v>218.21</v>
      </c>
      <c r="F35" s="468">
        <f t="shared" si="2"/>
        <v>1143</v>
      </c>
      <c r="G35" s="469">
        <f t="shared" si="3"/>
        <v>10287</v>
      </c>
      <c r="H35" s="139">
        <f t="shared" si="4"/>
        <v>13716</v>
      </c>
    </row>
    <row r="36" spans="1:8" x14ac:dyDescent="0.25">
      <c r="A36" s="470" t="s">
        <v>124</v>
      </c>
      <c r="B36" s="91" t="s">
        <v>128</v>
      </c>
      <c r="C36" s="93">
        <v>0.5</v>
      </c>
      <c r="D36" s="151">
        <f t="shared" si="0"/>
        <v>925</v>
      </c>
      <c r="E36" s="151">
        <f t="shared" si="1"/>
        <v>218.21</v>
      </c>
      <c r="F36" s="468">
        <f t="shared" si="2"/>
        <v>1143</v>
      </c>
      <c r="G36" s="469">
        <f t="shared" si="3"/>
        <v>10287</v>
      </c>
      <c r="H36" s="139">
        <f t="shared" si="4"/>
        <v>13716</v>
      </c>
    </row>
    <row r="37" spans="1:8" x14ac:dyDescent="0.25">
      <c r="A37" s="470" t="s">
        <v>124</v>
      </c>
      <c r="B37" s="91" t="s">
        <v>129</v>
      </c>
      <c r="C37" s="93">
        <v>0.5</v>
      </c>
      <c r="D37" s="151">
        <f t="shared" si="0"/>
        <v>925</v>
      </c>
      <c r="E37" s="151">
        <f t="shared" si="1"/>
        <v>218.21</v>
      </c>
      <c r="F37" s="468">
        <f t="shared" si="2"/>
        <v>1143</v>
      </c>
      <c r="G37" s="469">
        <f t="shared" si="3"/>
        <v>10287</v>
      </c>
      <c r="H37" s="139">
        <f t="shared" si="4"/>
        <v>13716</v>
      </c>
    </row>
    <row r="38" spans="1:8" x14ac:dyDescent="0.25">
      <c r="A38" s="470" t="s">
        <v>130</v>
      </c>
      <c r="B38" s="91" t="s">
        <v>131</v>
      </c>
      <c r="C38" s="93">
        <v>0.5</v>
      </c>
      <c r="D38" s="151">
        <f t="shared" si="0"/>
        <v>925</v>
      </c>
      <c r="E38" s="151">
        <f t="shared" si="1"/>
        <v>218.21</v>
      </c>
      <c r="F38" s="468">
        <f t="shared" si="2"/>
        <v>1143</v>
      </c>
      <c r="G38" s="469">
        <f t="shared" si="3"/>
        <v>10287</v>
      </c>
      <c r="H38" s="139">
        <f t="shared" si="4"/>
        <v>13716</v>
      </c>
    </row>
    <row r="39" spans="1:8" x14ac:dyDescent="0.25">
      <c r="A39" s="470" t="s">
        <v>130</v>
      </c>
      <c r="B39" s="91" t="s">
        <v>132</v>
      </c>
      <c r="C39" s="93">
        <v>0.5</v>
      </c>
      <c r="D39" s="151">
        <f t="shared" si="0"/>
        <v>925</v>
      </c>
      <c r="E39" s="151">
        <f>ROUND((D39*$E$10),2)</f>
        <v>218.21</v>
      </c>
      <c r="F39" s="468">
        <f t="shared" si="2"/>
        <v>1143</v>
      </c>
      <c r="G39" s="469">
        <f t="shared" si="3"/>
        <v>10287</v>
      </c>
      <c r="H39" s="139">
        <f t="shared" si="4"/>
        <v>13716</v>
      </c>
    </row>
    <row r="40" spans="1:8" x14ac:dyDescent="0.25">
      <c r="A40" s="470" t="s">
        <v>130</v>
      </c>
      <c r="B40" s="91" t="s">
        <v>133</v>
      </c>
      <c r="C40" s="93">
        <v>0.5</v>
      </c>
      <c r="D40" s="151">
        <f t="shared" si="0"/>
        <v>925</v>
      </c>
      <c r="E40" s="151">
        <f t="shared" si="1"/>
        <v>218.21</v>
      </c>
      <c r="F40" s="468">
        <f t="shared" si="2"/>
        <v>1143</v>
      </c>
      <c r="G40" s="469">
        <f t="shared" si="3"/>
        <v>10287</v>
      </c>
      <c r="H40" s="139">
        <f t="shared" si="4"/>
        <v>13716</v>
      </c>
    </row>
    <row r="41" spans="1:8" x14ac:dyDescent="0.25">
      <c r="A41" s="470" t="s">
        <v>105</v>
      </c>
      <c r="B41" s="91" t="s">
        <v>106</v>
      </c>
      <c r="C41" s="93">
        <v>1</v>
      </c>
      <c r="D41" s="151">
        <f t="shared" si="0"/>
        <v>1850</v>
      </c>
      <c r="E41" s="151">
        <f t="shared" si="1"/>
        <v>436.42</v>
      </c>
      <c r="F41" s="468">
        <f t="shared" si="2"/>
        <v>2286</v>
      </c>
      <c r="G41" s="469">
        <f t="shared" si="3"/>
        <v>20574</v>
      </c>
      <c r="H41" s="139">
        <f t="shared" si="4"/>
        <v>27432</v>
      </c>
    </row>
    <row r="42" spans="1:8" x14ac:dyDescent="0.25">
      <c r="A42" s="470" t="s">
        <v>105</v>
      </c>
      <c r="B42" s="91" t="s">
        <v>134</v>
      </c>
      <c r="C42" s="93">
        <v>1</v>
      </c>
      <c r="D42" s="151">
        <f t="shared" si="0"/>
        <v>1850</v>
      </c>
      <c r="E42" s="151">
        <f t="shared" si="1"/>
        <v>436.42</v>
      </c>
      <c r="F42" s="468">
        <f t="shared" si="2"/>
        <v>2286</v>
      </c>
      <c r="G42" s="469">
        <f t="shared" si="3"/>
        <v>20574</v>
      </c>
      <c r="H42" s="139">
        <f t="shared" si="4"/>
        <v>27432</v>
      </c>
    </row>
    <row r="43" spans="1:8" x14ac:dyDescent="0.25">
      <c r="A43" s="470" t="s">
        <v>105</v>
      </c>
      <c r="B43" s="91" t="s">
        <v>107</v>
      </c>
      <c r="C43" s="93">
        <v>1</v>
      </c>
      <c r="D43" s="151">
        <f t="shared" si="0"/>
        <v>1850</v>
      </c>
      <c r="E43" s="151">
        <f t="shared" si="1"/>
        <v>436.42</v>
      </c>
      <c r="F43" s="468">
        <f t="shared" si="2"/>
        <v>2286</v>
      </c>
      <c r="G43" s="469">
        <f t="shared" si="3"/>
        <v>20574</v>
      </c>
      <c r="H43" s="139">
        <f t="shared" si="4"/>
        <v>27432</v>
      </c>
    </row>
    <row r="44" spans="1:8" x14ac:dyDescent="0.25">
      <c r="A44" s="470" t="s">
        <v>105</v>
      </c>
      <c r="B44" s="91" t="s">
        <v>108</v>
      </c>
      <c r="C44" s="93">
        <v>1</v>
      </c>
      <c r="D44" s="151">
        <f t="shared" si="0"/>
        <v>1850</v>
      </c>
      <c r="E44" s="151">
        <f t="shared" si="1"/>
        <v>436.42</v>
      </c>
      <c r="F44" s="468">
        <f t="shared" si="2"/>
        <v>2286</v>
      </c>
      <c r="G44" s="469">
        <f t="shared" si="3"/>
        <v>20574</v>
      </c>
      <c r="H44" s="139">
        <f t="shared" si="4"/>
        <v>27432</v>
      </c>
    </row>
    <row r="45" spans="1:8" ht="25.5" x14ac:dyDescent="0.25">
      <c r="A45" s="470" t="s">
        <v>105</v>
      </c>
      <c r="B45" s="91" t="s">
        <v>244</v>
      </c>
      <c r="C45" s="93">
        <v>1</v>
      </c>
      <c r="D45" s="151">
        <f t="shared" si="0"/>
        <v>1850</v>
      </c>
      <c r="E45" s="151">
        <f t="shared" si="1"/>
        <v>436.42</v>
      </c>
      <c r="F45" s="468">
        <f t="shared" si="2"/>
        <v>2286</v>
      </c>
      <c r="G45" s="469">
        <f t="shared" si="3"/>
        <v>20574</v>
      </c>
      <c r="H45" s="139">
        <f t="shared" si="4"/>
        <v>27432</v>
      </c>
    </row>
    <row r="46" spans="1:8" x14ac:dyDescent="0.25">
      <c r="A46" s="470" t="s">
        <v>105</v>
      </c>
      <c r="B46" s="91" t="s">
        <v>109</v>
      </c>
      <c r="C46" s="93">
        <v>1</v>
      </c>
      <c r="D46" s="151">
        <f t="shared" si="0"/>
        <v>1850</v>
      </c>
      <c r="E46" s="151">
        <f t="shared" si="1"/>
        <v>436.42</v>
      </c>
      <c r="F46" s="468">
        <f t="shared" si="2"/>
        <v>2286</v>
      </c>
      <c r="G46" s="469">
        <f t="shared" si="3"/>
        <v>20574</v>
      </c>
      <c r="H46" s="139">
        <f t="shared" si="4"/>
        <v>27432</v>
      </c>
    </row>
    <row r="47" spans="1:8" x14ac:dyDescent="0.25">
      <c r="A47" s="470" t="s">
        <v>105</v>
      </c>
      <c r="B47" s="91" t="s">
        <v>110</v>
      </c>
      <c r="C47" s="471">
        <v>1</v>
      </c>
      <c r="D47" s="151">
        <f t="shared" si="0"/>
        <v>1850</v>
      </c>
      <c r="E47" s="151">
        <f t="shared" si="1"/>
        <v>436.42</v>
      </c>
      <c r="F47" s="468">
        <f t="shared" si="2"/>
        <v>2286</v>
      </c>
      <c r="G47" s="469">
        <f t="shared" si="3"/>
        <v>20574</v>
      </c>
      <c r="H47" s="139">
        <f t="shared" si="4"/>
        <v>27432</v>
      </c>
    </row>
    <row r="48" spans="1:8" x14ac:dyDescent="0.25">
      <c r="A48" s="470" t="s">
        <v>105</v>
      </c>
      <c r="B48" s="94" t="s">
        <v>135</v>
      </c>
      <c r="C48" s="93">
        <v>0.5</v>
      </c>
      <c r="D48" s="151">
        <f t="shared" si="0"/>
        <v>925</v>
      </c>
      <c r="E48" s="151">
        <f t="shared" si="1"/>
        <v>218.21</v>
      </c>
      <c r="F48" s="468">
        <f t="shared" si="2"/>
        <v>1143</v>
      </c>
      <c r="G48" s="469">
        <f t="shared" si="3"/>
        <v>10287</v>
      </c>
      <c r="H48" s="139">
        <f t="shared" si="4"/>
        <v>13716</v>
      </c>
    </row>
    <row r="49" spans="1:8" x14ac:dyDescent="0.25">
      <c r="A49" s="470" t="s">
        <v>136</v>
      </c>
      <c r="B49" s="91" t="s">
        <v>137</v>
      </c>
      <c r="C49" s="93">
        <v>0.5</v>
      </c>
      <c r="D49" s="151">
        <f t="shared" si="0"/>
        <v>925</v>
      </c>
      <c r="E49" s="151">
        <f t="shared" si="1"/>
        <v>218.21</v>
      </c>
      <c r="F49" s="468">
        <f t="shared" si="2"/>
        <v>1143</v>
      </c>
      <c r="G49" s="469">
        <f t="shared" si="3"/>
        <v>10287</v>
      </c>
      <c r="H49" s="139">
        <f t="shared" si="4"/>
        <v>13716</v>
      </c>
    </row>
    <row r="50" spans="1:8" x14ac:dyDescent="0.25">
      <c r="A50" s="470" t="s">
        <v>136</v>
      </c>
      <c r="B50" s="91" t="s">
        <v>138</v>
      </c>
      <c r="C50" s="93">
        <v>0.5</v>
      </c>
      <c r="D50" s="151">
        <f t="shared" si="0"/>
        <v>925</v>
      </c>
      <c r="E50" s="151">
        <f t="shared" si="1"/>
        <v>218.21</v>
      </c>
      <c r="F50" s="468">
        <f t="shared" si="2"/>
        <v>1143</v>
      </c>
      <c r="G50" s="469">
        <f t="shared" si="3"/>
        <v>10287</v>
      </c>
      <c r="H50" s="139">
        <f t="shared" si="4"/>
        <v>13716</v>
      </c>
    </row>
    <row r="51" spans="1:8" x14ac:dyDescent="0.25">
      <c r="B51" s="472"/>
      <c r="C51" s="473"/>
      <c r="F51" s="462"/>
      <c r="G51" s="463">
        <f>ROUND(SUM(G12:G50),0)</f>
        <v>576072</v>
      </c>
      <c r="H51" s="463">
        <f>ROUND(SUM(H12:H50),0)</f>
        <v>768096</v>
      </c>
    </row>
    <row r="52" spans="1:8" ht="58.5" customHeight="1" x14ac:dyDescent="0.25">
      <c r="B52" s="561" t="s">
        <v>466</v>
      </c>
      <c r="C52" s="561"/>
      <c r="D52" s="561"/>
      <c r="E52" s="561"/>
      <c r="F52" s="561"/>
      <c r="G52" s="561"/>
      <c r="H52" s="561"/>
    </row>
    <row r="54" spans="1:8" x14ac:dyDescent="0.25">
      <c r="B54" s="484" t="s">
        <v>531</v>
      </c>
      <c r="C54" s="192"/>
      <c r="D54" s="192"/>
    </row>
    <row r="55" spans="1:8" ht="38.25" x14ac:dyDescent="0.25">
      <c r="B55" s="484" t="s">
        <v>0</v>
      </c>
      <c r="C55" s="223" t="s">
        <v>528</v>
      </c>
      <c r="D55" s="223" t="s">
        <v>338</v>
      </c>
    </row>
    <row r="56" spans="1:8" x14ac:dyDescent="0.25">
      <c r="B56" s="445" t="s">
        <v>533</v>
      </c>
      <c r="C56" s="381">
        <f>2286*6</f>
        <v>13716</v>
      </c>
      <c r="D56" s="381">
        <f>C56*2</f>
        <v>27432</v>
      </c>
    </row>
    <row r="57" spans="1:8" ht="31.5" customHeight="1" x14ac:dyDescent="0.25">
      <c r="B57" s="560" t="s">
        <v>534</v>
      </c>
      <c r="C57" s="560"/>
      <c r="D57" s="560"/>
    </row>
  </sheetData>
  <mergeCells count="8">
    <mergeCell ref="B57:D57"/>
    <mergeCell ref="B52:H52"/>
    <mergeCell ref="A1:H1"/>
    <mergeCell ref="A2:H2"/>
    <mergeCell ref="A3:H3"/>
    <mergeCell ref="A5:B5"/>
    <mergeCell ref="A6:B6"/>
    <mergeCell ref="A7:B7"/>
  </mergeCells>
  <pageMargins left="0.7" right="0.7" top="0.75" bottom="0.75" header="0.3" footer="0.3"/>
  <pageSetup paperSize="9" scale="47"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0"/>
  <sheetViews>
    <sheetView zoomScale="90" zoomScaleNormal="90" zoomScaleSheetLayoutView="70" workbookViewId="0">
      <selection activeCell="K65" sqref="K65"/>
    </sheetView>
  </sheetViews>
  <sheetFormatPr defaultColWidth="8.7109375" defaultRowHeight="15" x14ac:dyDescent="0.25"/>
  <cols>
    <col min="1" max="1" width="10.42578125" style="103" customWidth="1"/>
    <col min="2" max="2" width="48.7109375" style="103" customWidth="1"/>
    <col min="3" max="3" width="23.140625" style="103" customWidth="1"/>
    <col min="4" max="4" width="25" style="103" customWidth="1"/>
    <col min="5" max="5" width="14.5703125" style="103" customWidth="1"/>
    <col min="6" max="6" width="13.5703125" style="103" customWidth="1"/>
    <col min="7" max="8" width="11.42578125" style="103" customWidth="1"/>
    <col min="9" max="9" width="8.7109375" style="103"/>
    <col min="10" max="10" width="10.28515625" style="103" customWidth="1"/>
    <col min="11" max="12" width="15.5703125" style="103" customWidth="1"/>
    <col min="13" max="13" width="41.140625" style="103" customWidth="1"/>
    <col min="14" max="16384" width="8.7109375" style="103"/>
  </cols>
  <sheetData>
    <row r="1" spans="1:14" ht="66.75" customHeight="1" x14ac:dyDescent="0.25">
      <c r="A1" s="542" t="s">
        <v>339</v>
      </c>
      <c r="B1" s="542"/>
      <c r="C1" s="542"/>
      <c r="D1" s="542"/>
      <c r="E1" s="542"/>
      <c r="F1" s="542"/>
      <c r="G1" s="542"/>
      <c r="H1" s="542"/>
      <c r="I1" s="542"/>
      <c r="J1" s="542"/>
      <c r="K1" s="542"/>
      <c r="L1" s="542"/>
      <c r="M1" s="403" t="s">
        <v>447</v>
      </c>
    </row>
    <row r="2" spans="1:14" ht="15.75" x14ac:dyDescent="0.25">
      <c r="A2" s="274" t="s">
        <v>265</v>
      </c>
      <c r="B2" s="274"/>
      <c r="C2" s="274"/>
      <c r="D2" s="274"/>
      <c r="E2" s="274"/>
      <c r="F2" s="274"/>
      <c r="G2" s="274"/>
      <c r="H2" s="274"/>
      <c r="I2" s="274"/>
      <c r="J2" s="274"/>
      <c r="K2" s="274"/>
      <c r="L2" s="274"/>
    </row>
    <row r="3" spans="1:14" ht="15.75" x14ac:dyDescent="0.25">
      <c r="A3" s="509" t="s">
        <v>430</v>
      </c>
      <c r="B3" s="509"/>
      <c r="C3" s="509"/>
      <c r="D3" s="509"/>
      <c r="E3" s="509"/>
      <c r="F3" s="509"/>
      <c r="G3" s="509"/>
      <c r="H3" s="509"/>
      <c r="I3" s="509"/>
      <c r="J3" s="509"/>
      <c r="K3" s="509"/>
      <c r="L3" s="509"/>
    </row>
    <row r="4" spans="1:14" x14ac:dyDescent="0.25">
      <c r="A4" s="97" t="s">
        <v>264</v>
      </c>
      <c r="B4" s="190"/>
      <c r="C4" s="190"/>
      <c r="D4" s="190"/>
      <c r="E4" s="190"/>
      <c r="F4" s="190"/>
      <c r="G4" s="190"/>
      <c r="H4" s="190"/>
      <c r="I4" s="190"/>
      <c r="J4" s="190"/>
      <c r="K4" s="190"/>
      <c r="L4" s="190"/>
    </row>
    <row r="5" spans="1:14" x14ac:dyDescent="0.25">
      <c r="A5" s="97"/>
      <c r="B5" s="190"/>
      <c r="C5" s="190"/>
      <c r="D5" s="190"/>
      <c r="E5" s="190"/>
      <c r="F5" s="190"/>
      <c r="G5" s="190"/>
      <c r="H5" s="190"/>
      <c r="I5" s="190"/>
      <c r="J5" s="190"/>
      <c r="K5" s="190"/>
      <c r="L5" s="190"/>
    </row>
    <row r="6" spans="1:14" s="276" customFormat="1" ht="45" x14ac:dyDescent="0.25">
      <c r="A6" s="563" t="s">
        <v>54</v>
      </c>
      <c r="B6" s="563"/>
      <c r="C6" s="480" t="s">
        <v>528</v>
      </c>
      <c r="D6" s="480" t="s">
        <v>338</v>
      </c>
      <c r="E6" s="58"/>
    </row>
    <row r="7" spans="1:14" s="276" customFormat="1" ht="31.5" customHeight="1" x14ac:dyDescent="0.25">
      <c r="A7" s="564" t="s">
        <v>245</v>
      </c>
      <c r="B7" s="564"/>
      <c r="C7" s="481">
        <f>ROUND(SUM(K15:K53),0)</f>
        <v>674468</v>
      </c>
      <c r="D7" s="481">
        <f>ROUND(SUM(L15:L53),)</f>
        <v>1348936</v>
      </c>
      <c r="E7" s="59"/>
      <c r="G7" s="277"/>
      <c r="H7" s="277"/>
    </row>
    <row r="8" spans="1:14" s="276" customFormat="1" ht="15.75" x14ac:dyDescent="0.25">
      <c r="A8" s="565" t="s">
        <v>527</v>
      </c>
      <c r="B8" s="565"/>
      <c r="C8" s="482">
        <f>C59</f>
        <v>40266</v>
      </c>
      <c r="D8" s="482">
        <f>D59</f>
        <v>80532</v>
      </c>
      <c r="E8" s="72"/>
      <c r="G8" s="277"/>
      <c r="H8" s="277"/>
      <c r="I8" s="277"/>
    </row>
    <row r="9" spans="1:14" s="276" customFormat="1" ht="15.75" x14ac:dyDescent="0.25">
      <c r="A9" s="479"/>
      <c r="B9" s="335" t="s">
        <v>181</v>
      </c>
      <c r="C9" s="481">
        <f>C7+C8</f>
        <v>714734</v>
      </c>
      <c r="D9" s="481">
        <f>D7+D8</f>
        <v>1429468</v>
      </c>
      <c r="E9" s="72"/>
      <c r="F9" s="59"/>
      <c r="G9" s="277"/>
      <c r="H9" s="277"/>
      <c r="I9" s="277"/>
    </row>
    <row r="10" spans="1:14" s="82" customFormat="1" x14ac:dyDescent="0.25">
      <c r="B10" s="76"/>
      <c r="C10" s="76"/>
      <c r="D10" s="76"/>
      <c r="E10" s="76"/>
      <c r="F10" s="76"/>
      <c r="G10" s="76"/>
      <c r="H10" s="76"/>
      <c r="I10" s="76"/>
      <c r="J10" s="76"/>
      <c r="K10" s="76"/>
      <c r="L10" s="76"/>
      <c r="N10" s="76"/>
    </row>
    <row r="11" spans="1:14" x14ac:dyDescent="0.25">
      <c r="A11" s="192"/>
      <c r="B11" s="192"/>
      <c r="C11" s="192"/>
      <c r="D11" s="192"/>
      <c r="E11" s="192"/>
      <c r="F11" s="192"/>
      <c r="G11" s="192"/>
      <c r="H11" s="192"/>
      <c r="I11" s="192"/>
      <c r="J11" s="192"/>
      <c r="K11" s="192"/>
      <c r="L11" s="192"/>
      <c r="M11" s="192"/>
      <c r="N11" s="192"/>
    </row>
    <row r="12" spans="1:14" s="192" customFormat="1" ht="12.75" x14ac:dyDescent="0.2">
      <c r="A12" s="451"/>
      <c r="B12" s="451" t="s">
        <v>496</v>
      </c>
      <c r="C12" s="451" t="s">
        <v>268</v>
      </c>
      <c r="D12" s="451">
        <v>4367</v>
      </c>
      <c r="E12" s="452" t="s">
        <v>269</v>
      </c>
      <c r="F12" s="451"/>
      <c r="G12" s="451"/>
      <c r="H12" s="451"/>
      <c r="I12" s="451"/>
      <c r="J12" s="451"/>
      <c r="K12" s="451"/>
    </row>
    <row r="13" spans="1:14" s="192" customFormat="1" ht="12.75" x14ac:dyDescent="0.2">
      <c r="A13" s="451"/>
      <c r="B13" s="451"/>
      <c r="C13" s="451" t="s">
        <v>270</v>
      </c>
      <c r="D13" s="451">
        <f>D12/12</f>
        <v>363.91666666666669</v>
      </c>
      <c r="E13" s="451">
        <v>1862</v>
      </c>
      <c r="F13" s="453"/>
      <c r="G13" s="451"/>
      <c r="H13" s="454">
        <v>0.2359</v>
      </c>
      <c r="I13" s="451"/>
      <c r="J13" s="451"/>
      <c r="K13" s="451"/>
    </row>
    <row r="14" spans="1:14" s="455" customFormat="1" ht="51" x14ac:dyDescent="0.25">
      <c r="A14" s="189" t="s">
        <v>77</v>
      </c>
      <c r="B14" s="189" t="s">
        <v>78</v>
      </c>
      <c r="C14" s="189" t="s">
        <v>79</v>
      </c>
      <c r="D14" s="189" t="s">
        <v>271</v>
      </c>
      <c r="E14" s="189" t="s">
        <v>80</v>
      </c>
      <c r="F14" s="189" t="s">
        <v>343</v>
      </c>
      <c r="G14" s="189" t="s">
        <v>272</v>
      </c>
      <c r="H14" s="189" t="s">
        <v>81</v>
      </c>
      <c r="I14" s="189" t="s">
        <v>82</v>
      </c>
      <c r="J14" s="189" t="s">
        <v>273</v>
      </c>
      <c r="K14" s="193" t="s">
        <v>280</v>
      </c>
      <c r="L14" s="193" t="s">
        <v>278</v>
      </c>
    </row>
    <row r="15" spans="1:14" x14ac:dyDescent="0.25">
      <c r="A15" s="456" t="s">
        <v>83</v>
      </c>
      <c r="B15" s="120" t="s">
        <v>84</v>
      </c>
      <c r="C15" s="122">
        <v>2</v>
      </c>
      <c r="D15" s="457">
        <f t="shared" ref="D15:D53" si="0">C15*$D$13</f>
        <v>727.83333333333337</v>
      </c>
      <c r="E15" s="457">
        <f t="shared" ref="E15:E53" si="1">C15*$E$13</f>
        <v>3724</v>
      </c>
      <c r="F15" s="457">
        <v>1.3</v>
      </c>
      <c r="G15" s="457">
        <f>E15*F15</f>
        <v>4841.2</v>
      </c>
      <c r="H15" s="457">
        <f t="shared" ref="H15:H53" si="2">ROUND(G15*$H$13,2)</f>
        <v>1142.04</v>
      </c>
      <c r="I15" s="457">
        <f>ROUND((G15+H15),2)</f>
        <v>5983.24</v>
      </c>
      <c r="J15" s="458">
        <f>D15+I15</f>
        <v>6711.0733333333328</v>
      </c>
      <c r="K15" s="194">
        <f>ROUND(J15*6,0)</f>
        <v>40266</v>
      </c>
      <c r="L15" s="194">
        <f>K15*2</f>
        <v>80532</v>
      </c>
    </row>
    <row r="16" spans="1:14" x14ac:dyDescent="0.25">
      <c r="A16" s="456" t="s">
        <v>83</v>
      </c>
      <c r="B16" s="120" t="s">
        <v>85</v>
      </c>
      <c r="C16" s="122">
        <v>2</v>
      </c>
      <c r="D16" s="457">
        <f t="shared" si="0"/>
        <v>727.83333333333337</v>
      </c>
      <c r="E16" s="457">
        <f t="shared" si="1"/>
        <v>3724</v>
      </c>
      <c r="F16" s="457">
        <v>1.3</v>
      </c>
      <c r="G16" s="457">
        <f t="shared" ref="G16:G53" si="3">E16*F16</f>
        <v>4841.2</v>
      </c>
      <c r="H16" s="457">
        <f t="shared" si="2"/>
        <v>1142.04</v>
      </c>
      <c r="I16" s="457">
        <f t="shared" ref="I16:I53" si="4">ROUND((G16+H16),2)</f>
        <v>5983.24</v>
      </c>
      <c r="J16" s="458">
        <f>D16+I16</f>
        <v>6711.0733333333328</v>
      </c>
      <c r="K16" s="194">
        <f t="shared" ref="K16:K53" si="5">ROUND(J16*6,0)</f>
        <v>40266</v>
      </c>
      <c r="L16" s="194">
        <f t="shared" ref="L16:L53" si="6">K16*2</f>
        <v>80532</v>
      </c>
    </row>
    <row r="17" spans="1:12" x14ac:dyDescent="0.25">
      <c r="A17" s="456" t="s">
        <v>83</v>
      </c>
      <c r="B17" s="120" t="s">
        <v>86</v>
      </c>
      <c r="C17" s="122">
        <v>2</v>
      </c>
      <c r="D17" s="457">
        <f t="shared" si="0"/>
        <v>727.83333333333337</v>
      </c>
      <c r="E17" s="457">
        <f t="shared" si="1"/>
        <v>3724</v>
      </c>
      <c r="F17" s="457">
        <v>1.3</v>
      </c>
      <c r="G17" s="457">
        <f t="shared" si="3"/>
        <v>4841.2</v>
      </c>
      <c r="H17" s="457">
        <f t="shared" si="2"/>
        <v>1142.04</v>
      </c>
      <c r="I17" s="457">
        <f t="shared" si="4"/>
        <v>5983.24</v>
      </c>
      <c r="J17" s="458">
        <f t="shared" ref="J17:J53" si="7">D17+I17</f>
        <v>6711.0733333333328</v>
      </c>
      <c r="K17" s="194">
        <f t="shared" si="5"/>
        <v>40266</v>
      </c>
      <c r="L17" s="194">
        <f t="shared" si="6"/>
        <v>80532</v>
      </c>
    </row>
    <row r="18" spans="1:12" x14ac:dyDescent="0.25">
      <c r="A18" s="459" t="s">
        <v>87</v>
      </c>
      <c r="B18" s="120" t="s">
        <v>88</v>
      </c>
      <c r="C18" s="122">
        <v>1</v>
      </c>
      <c r="D18" s="457">
        <f t="shared" si="0"/>
        <v>363.91666666666669</v>
      </c>
      <c r="E18" s="457">
        <f t="shared" si="1"/>
        <v>1862</v>
      </c>
      <c r="F18" s="457">
        <v>1.3</v>
      </c>
      <c r="G18" s="457">
        <f t="shared" si="3"/>
        <v>2420.6</v>
      </c>
      <c r="H18" s="457">
        <f t="shared" si="2"/>
        <v>571.02</v>
      </c>
      <c r="I18" s="457">
        <f t="shared" si="4"/>
        <v>2991.62</v>
      </c>
      <c r="J18" s="458">
        <f t="shared" si="7"/>
        <v>3355.5366666666664</v>
      </c>
      <c r="K18" s="194">
        <f t="shared" si="5"/>
        <v>20133</v>
      </c>
      <c r="L18" s="194">
        <f t="shared" si="6"/>
        <v>40266</v>
      </c>
    </row>
    <row r="19" spans="1:12" x14ac:dyDescent="0.25">
      <c r="A19" s="459" t="s">
        <v>87</v>
      </c>
      <c r="B19" s="120" t="s">
        <v>89</v>
      </c>
      <c r="C19" s="122">
        <v>1</v>
      </c>
      <c r="D19" s="457">
        <f t="shared" si="0"/>
        <v>363.91666666666669</v>
      </c>
      <c r="E19" s="457">
        <f t="shared" si="1"/>
        <v>1862</v>
      </c>
      <c r="F19" s="457">
        <v>1.3</v>
      </c>
      <c r="G19" s="457">
        <f t="shared" si="3"/>
        <v>2420.6</v>
      </c>
      <c r="H19" s="457">
        <f t="shared" si="2"/>
        <v>571.02</v>
      </c>
      <c r="I19" s="457">
        <f t="shared" si="4"/>
        <v>2991.62</v>
      </c>
      <c r="J19" s="458">
        <f t="shared" si="7"/>
        <v>3355.5366666666664</v>
      </c>
      <c r="K19" s="194">
        <f t="shared" si="5"/>
        <v>20133</v>
      </c>
      <c r="L19" s="194">
        <f t="shared" si="6"/>
        <v>40266</v>
      </c>
    </row>
    <row r="20" spans="1:12" x14ac:dyDescent="0.25">
      <c r="A20" s="459" t="s">
        <v>87</v>
      </c>
      <c r="B20" s="121" t="s">
        <v>90</v>
      </c>
      <c r="C20" s="122">
        <v>1</v>
      </c>
      <c r="D20" s="457">
        <f t="shared" si="0"/>
        <v>363.91666666666669</v>
      </c>
      <c r="E20" s="457">
        <f t="shared" si="1"/>
        <v>1862</v>
      </c>
      <c r="F20" s="457">
        <v>1.3</v>
      </c>
      <c r="G20" s="457">
        <f t="shared" si="3"/>
        <v>2420.6</v>
      </c>
      <c r="H20" s="457">
        <f t="shared" si="2"/>
        <v>571.02</v>
      </c>
      <c r="I20" s="457">
        <f t="shared" si="4"/>
        <v>2991.62</v>
      </c>
      <c r="J20" s="458">
        <f t="shared" si="7"/>
        <v>3355.5366666666664</v>
      </c>
      <c r="K20" s="194">
        <f t="shared" si="5"/>
        <v>20133</v>
      </c>
      <c r="L20" s="194">
        <f t="shared" si="6"/>
        <v>40266</v>
      </c>
    </row>
    <row r="21" spans="1:12" x14ac:dyDescent="0.25">
      <c r="A21" s="459" t="s">
        <v>87</v>
      </c>
      <c r="B21" s="120" t="s">
        <v>91</v>
      </c>
      <c r="C21" s="122">
        <v>1</v>
      </c>
      <c r="D21" s="457">
        <f t="shared" si="0"/>
        <v>363.91666666666669</v>
      </c>
      <c r="E21" s="457">
        <f t="shared" si="1"/>
        <v>1862</v>
      </c>
      <c r="F21" s="457">
        <v>1.3</v>
      </c>
      <c r="G21" s="457">
        <f t="shared" si="3"/>
        <v>2420.6</v>
      </c>
      <c r="H21" s="457">
        <f t="shared" si="2"/>
        <v>571.02</v>
      </c>
      <c r="I21" s="457">
        <f t="shared" si="4"/>
        <v>2991.62</v>
      </c>
      <c r="J21" s="458">
        <f t="shared" si="7"/>
        <v>3355.5366666666664</v>
      </c>
      <c r="K21" s="194">
        <f t="shared" si="5"/>
        <v>20133</v>
      </c>
      <c r="L21" s="194">
        <f t="shared" si="6"/>
        <v>40266</v>
      </c>
    </row>
    <row r="22" spans="1:12" x14ac:dyDescent="0.25">
      <c r="A22" s="459" t="s">
        <v>87</v>
      </c>
      <c r="B22" s="120" t="s">
        <v>92</v>
      </c>
      <c r="C22" s="122">
        <v>1</v>
      </c>
      <c r="D22" s="457">
        <f t="shared" si="0"/>
        <v>363.91666666666669</v>
      </c>
      <c r="E22" s="457">
        <f t="shared" si="1"/>
        <v>1862</v>
      </c>
      <c r="F22" s="457">
        <v>1.3</v>
      </c>
      <c r="G22" s="457">
        <f t="shared" si="3"/>
        <v>2420.6</v>
      </c>
      <c r="H22" s="457">
        <f t="shared" si="2"/>
        <v>571.02</v>
      </c>
      <c r="I22" s="457">
        <f t="shared" si="4"/>
        <v>2991.62</v>
      </c>
      <c r="J22" s="458">
        <f t="shared" si="7"/>
        <v>3355.5366666666664</v>
      </c>
      <c r="K22" s="194">
        <f t="shared" si="5"/>
        <v>20133</v>
      </c>
      <c r="L22" s="194">
        <f t="shared" si="6"/>
        <v>40266</v>
      </c>
    </row>
    <row r="23" spans="1:12" x14ac:dyDescent="0.25">
      <c r="A23" s="459" t="s">
        <v>87</v>
      </c>
      <c r="B23" s="120" t="s">
        <v>93</v>
      </c>
      <c r="C23" s="122">
        <v>1</v>
      </c>
      <c r="D23" s="457">
        <f t="shared" si="0"/>
        <v>363.91666666666669</v>
      </c>
      <c r="E23" s="457">
        <f t="shared" si="1"/>
        <v>1862</v>
      </c>
      <c r="F23" s="457">
        <v>1.3</v>
      </c>
      <c r="G23" s="457">
        <f t="shared" si="3"/>
        <v>2420.6</v>
      </c>
      <c r="H23" s="457">
        <f t="shared" si="2"/>
        <v>571.02</v>
      </c>
      <c r="I23" s="457">
        <f t="shared" si="4"/>
        <v>2991.62</v>
      </c>
      <c r="J23" s="458">
        <f t="shared" si="7"/>
        <v>3355.5366666666664</v>
      </c>
      <c r="K23" s="194">
        <f t="shared" si="5"/>
        <v>20133</v>
      </c>
      <c r="L23" s="194">
        <f t="shared" si="6"/>
        <v>40266</v>
      </c>
    </row>
    <row r="24" spans="1:12" x14ac:dyDescent="0.25">
      <c r="A24" s="459" t="s">
        <v>87</v>
      </c>
      <c r="B24" s="120" t="s">
        <v>94</v>
      </c>
      <c r="C24" s="122">
        <v>1</v>
      </c>
      <c r="D24" s="457">
        <f t="shared" si="0"/>
        <v>363.91666666666669</v>
      </c>
      <c r="E24" s="457">
        <f t="shared" si="1"/>
        <v>1862</v>
      </c>
      <c r="F24" s="457">
        <v>1.3</v>
      </c>
      <c r="G24" s="457">
        <f t="shared" si="3"/>
        <v>2420.6</v>
      </c>
      <c r="H24" s="457">
        <f t="shared" si="2"/>
        <v>571.02</v>
      </c>
      <c r="I24" s="457">
        <f t="shared" si="4"/>
        <v>2991.62</v>
      </c>
      <c r="J24" s="458">
        <f t="shared" si="7"/>
        <v>3355.5366666666664</v>
      </c>
      <c r="K24" s="194">
        <f t="shared" si="5"/>
        <v>20133</v>
      </c>
      <c r="L24" s="194">
        <f t="shared" si="6"/>
        <v>40266</v>
      </c>
    </row>
    <row r="25" spans="1:12" x14ac:dyDescent="0.25">
      <c r="A25" s="459" t="s">
        <v>95</v>
      </c>
      <c r="B25" s="120" t="s">
        <v>96</v>
      </c>
      <c r="C25" s="122">
        <v>0.5</v>
      </c>
      <c r="D25" s="457">
        <f t="shared" si="0"/>
        <v>181.95833333333334</v>
      </c>
      <c r="E25" s="457">
        <f t="shared" si="1"/>
        <v>931</v>
      </c>
      <c r="F25" s="457">
        <v>1.3</v>
      </c>
      <c r="G25" s="457">
        <f t="shared" si="3"/>
        <v>1210.3</v>
      </c>
      <c r="H25" s="457">
        <f t="shared" si="2"/>
        <v>285.51</v>
      </c>
      <c r="I25" s="457">
        <f t="shared" si="4"/>
        <v>1495.81</v>
      </c>
      <c r="J25" s="458">
        <f t="shared" si="7"/>
        <v>1677.7683333333332</v>
      </c>
      <c r="K25" s="194">
        <f t="shared" si="5"/>
        <v>10067</v>
      </c>
      <c r="L25" s="194">
        <f t="shared" si="6"/>
        <v>20134</v>
      </c>
    </row>
    <row r="26" spans="1:12" x14ac:dyDescent="0.25">
      <c r="A26" s="459" t="s">
        <v>95</v>
      </c>
      <c r="B26" s="120" t="s">
        <v>97</v>
      </c>
      <c r="C26" s="122">
        <v>0.5</v>
      </c>
      <c r="D26" s="457">
        <f t="shared" si="0"/>
        <v>181.95833333333334</v>
      </c>
      <c r="E26" s="457">
        <f t="shared" si="1"/>
        <v>931</v>
      </c>
      <c r="F26" s="457">
        <v>1.3</v>
      </c>
      <c r="G26" s="457">
        <f t="shared" si="3"/>
        <v>1210.3</v>
      </c>
      <c r="H26" s="457">
        <f t="shared" si="2"/>
        <v>285.51</v>
      </c>
      <c r="I26" s="457">
        <f t="shared" si="4"/>
        <v>1495.81</v>
      </c>
      <c r="J26" s="458">
        <f t="shared" si="7"/>
        <v>1677.7683333333332</v>
      </c>
      <c r="K26" s="194">
        <f t="shared" si="5"/>
        <v>10067</v>
      </c>
      <c r="L26" s="194">
        <f t="shared" si="6"/>
        <v>20134</v>
      </c>
    </row>
    <row r="27" spans="1:12" x14ac:dyDescent="0.25">
      <c r="A27" s="459" t="s">
        <v>95</v>
      </c>
      <c r="B27" s="120" t="s">
        <v>98</v>
      </c>
      <c r="C27" s="122">
        <v>0.5</v>
      </c>
      <c r="D27" s="457">
        <f t="shared" si="0"/>
        <v>181.95833333333334</v>
      </c>
      <c r="E27" s="457">
        <f t="shared" si="1"/>
        <v>931</v>
      </c>
      <c r="F27" s="457">
        <v>1.3</v>
      </c>
      <c r="G27" s="457">
        <f t="shared" si="3"/>
        <v>1210.3</v>
      </c>
      <c r="H27" s="457">
        <f t="shared" si="2"/>
        <v>285.51</v>
      </c>
      <c r="I27" s="457">
        <f t="shared" si="4"/>
        <v>1495.81</v>
      </c>
      <c r="J27" s="458">
        <f t="shared" si="7"/>
        <v>1677.7683333333332</v>
      </c>
      <c r="K27" s="194">
        <f t="shared" si="5"/>
        <v>10067</v>
      </c>
      <c r="L27" s="194">
        <f t="shared" si="6"/>
        <v>20134</v>
      </c>
    </row>
    <row r="28" spans="1:12" x14ac:dyDescent="0.25">
      <c r="A28" s="459" t="s">
        <v>95</v>
      </c>
      <c r="B28" s="120" t="s">
        <v>99</v>
      </c>
      <c r="C28" s="122">
        <v>0.5</v>
      </c>
      <c r="D28" s="457">
        <f t="shared" si="0"/>
        <v>181.95833333333334</v>
      </c>
      <c r="E28" s="457">
        <f t="shared" si="1"/>
        <v>931</v>
      </c>
      <c r="F28" s="457">
        <v>1.3</v>
      </c>
      <c r="G28" s="457">
        <f t="shared" si="3"/>
        <v>1210.3</v>
      </c>
      <c r="H28" s="457">
        <f t="shared" si="2"/>
        <v>285.51</v>
      </c>
      <c r="I28" s="457">
        <f t="shared" si="4"/>
        <v>1495.81</v>
      </c>
      <c r="J28" s="458">
        <f t="shared" si="7"/>
        <v>1677.7683333333332</v>
      </c>
      <c r="K28" s="194">
        <f t="shared" si="5"/>
        <v>10067</v>
      </c>
      <c r="L28" s="194">
        <f t="shared" si="6"/>
        <v>20134</v>
      </c>
    </row>
    <row r="29" spans="1:12" x14ac:dyDescent="0.25">
      <c r="A29" s="459" t="s">
        <v>95</v>
      </c>
      <c r="B29" s="120" t="s">
        <v>100</v>
      </c>
      <c r="C29" s="122">
        <v>0.5</v>
      </c>
      <c r="D29" s="457">
        <f t="shared" si="0"/>
        <v>181.95833333333334</v>
      </c>
      <c r="E29" s="457">
        <f t="shared" si="1"/>
        <v>931</v>
      </c>
      <c r="F29" s="457">
        <v>1.3</v>
      </c>
      <c r="G29" s="457">
        <f t="shared" si="3"/>
        <v>1210.3</v>
      </c>
      <c r="H29" s="457">
        <f t="shared" si="2"/>
        <v>285.51</v>
      </c>
      <c r="I29" s="457">
        <f t="shared" si="4"/>
        <v>1495.81</v>
      </c>
      <c r="J29" s="458">
        <f t="shared" si="7"/>
        <v>1677.7683333333332</v>
      </c>
      <c r="K29" s="194">
        <f t="shared" si="5"/>
        <v>10067</v>
      </c>
      <c r="L29" s="194">
        <f t="shared" si="6"/>
        <v>20134</v>
      </c>
    </row>
    <row r="30" spans="1:12" x14ac:dyDescent="0.25">
      <c r="A30" s="459" t="s">
        <v>95</v>
      </c>
      <c r="B30" s="120" t="s">
        <v>101</v>
      </c>
      <c r="C30" s="122">
        <v>0.5</v>
      </c>
      <c r="D30" s="457">
        <f t="shared" si="0"/>
        <v>181.95833333333334</v>
      </c>
      <c r="E30" s="457">
        <f t="shared" si="1"/>
        <v>931</v>
      </c>
      <c r="F30" s="457">
        <v>1.3</v>
      </c>
      <c r="G30" s="457">
        <f t="shared" si="3"/>
        <v>1210.3</v>
      </c>
      <c r="H30" s="457">
        <f t="shared" si="2"/>
        <v>285.51</v>
      </c>
      <c r="I30" s="457">
        <f t="shared" si="4"/>
        <v>1495.81</v>
      </c>
      <c r="J30" s="458">
        <f t="shared" si="7"/>
        <v>1677.7683333333332</v>
      </c>
      <c r="K30" s="194">
        <f t="shared" si="5"/>
        <v>10067</v>
      </c>
      <c r="L30" s="194">
        <f t="shared" si="6"/>
        <v>20134</v>
      </c>
    </row>
    <row r="31" spans="1:12" x14ac:dyDescent="0.25">
      <c r="A31" s="459" t="s">
        <v>95</v>
      </c>
      <c r="B31" s="120" t="s">
        <v>102</v>
      </c>
      <c r="C31" s="122">
        <v>0.5</v>
      </c>
      <c r="D31" s="457">
        <f t="shared" si="0"/>
        <v>181.95833333333334</v>
      </c>
      <c r="E31" s="457">
        <f t="shared" si="1"/>
        <v>931</v>
      </c>
      <c r="F31" s="457">
        <v>1.3</v>
      </c>
      <c r="G31" s="457">
        <f t="shared" si="3"/>
        <v>1210.3</v>
      </c>
      <c r="H31" s="457">
        <f t="shared" si="2"/>
        <v>285.51</v>
      </c>
      <c r="I31" s="457">
        <f t="shared" si="4"/>
        <v>1495.81</v>
      </c>
      <c r="J31" s="458">
        <f t="shared" si="7"/>
        <v>1677.7683333333332</v>
      </c>
      <c r="K31" s="194">
        <f t="shared" si="5"/>
        <v>10067</v>
      </c>
      <c r="L31" s="194">
        <f t="shared" si="6"/>
        <v>20134</v>
      </c>
    </row>
    <row r="32" spans="1:12" x14ac:dyDescent="0.25">
      <c r="A32" s="459" t="s">
        <v>103</v>
      </c>
      <c r="B32" s="120" t="s">
        <v>104</v>
      </c>
      <c r="C32" s="122">
        <v>0.5</v>
      </c>
      <c r="D32" s="457">
        <f t="shared" si="0"/>
        <v>181.95833333333334</v>
      </c>
      <c r="E32" s="457">
        <f t="shared" si="1"/>
        <v>931</v>
      </c>
      <c r="F32" s="457">
        <v>1.3</v>
      </c>
      <c r="G32" s="457">
        <f t="shared" si="3"/>
        <v>1210.3</v>
      </c>
      <c r="H32" s="457">
        <f t="shared" si="2"/>
        <v>285.51</v>
      </c>
      <c r="I32" s="457">
        <f t="shared" si="4"/>
        <v>1495.81</v>
      </c>
      <c r="J32" s="458">
        <f t="shared" si="7"/>
        <v>1677.7683333333332</v>
      </c>
      <c r="K32" s="194">
        <f t="shared" si="5"/>
        <v>10067</v>
      </c>
      <c r="L32" s="194">
        <f t="shared" si="6"/>
        <v>20134</v>
      </c>
    </row>
    <row r="33" spans="1:12" x14ac:dyDescent="0.25">
      <c r="A33" s="459" t="s">
        <v>103</v>
      </c>
      <c r="B33" s="120" t="s">
        <v>121</v>
      </c>
      <c r="C33" s="122">
        <v>0.5</v>
      </c>
      <c r="D33" s="457">
        <f t="shared" si="0"/>
        <v>181.95833333333334</v>
      </c>
      <c r="E33" s="457">
        <f t="shared" si="1"/>
        <v>931</v>
      </c>
      <c r="F33" s="457">
        <v>1.3</v>
      </c>
      <c r="G33" s="457">
        <f t="shared" si="3"/>
        <v>1210.3</v>
      </c>
      <c r="H33" s="457">
        <f t="shared" si="2"/>
        <v>285.51</v>
      </c>
      <c r="I33" s="457">
        <f t="shared" si="4"/>
        <v>1495.81</v>
      </c>
      <c r="J33" s="458">
        <f t="shared" si="7"/>
        <v>1677.7683333333332</v>
      </c>
      <c r="K33" s="194">
        <f t="shared" si="5"/>
        <v>10067</v>
      </c>
      <c r="L33" s="194">
        <f t="shared" si="6"/>
        <v>20134</v>
      </c>
    </row>
    <row r="34" spans="1:12" x14ac:dyDescent="0.25">
      <c r="A34" s="459" t="s">
        <v>103</v>
      </c>
      <c r="B34" s="120" t="s">
        <v>122</v>
      </c>
      <c r="C34" s="122">
        <v>0.5</v>
      </c>
      <c r="D34" s="457">
        <f t="shared" si="0"/>
        <v>181.95833333333334</v>
      </c>
      <c r="E34" s="457">
        <f t="shared" si="1"/>
        <v>931</v>
      </c>
      <c r="F34" s="457">
        <v>1.3</v>
      </c>
      <c r="G34" s="457">
        <f t="shared" si="3"/>
        <v>1210.3</v>
      </c>
      <c r="H34" s="457">
        <f t="shared" si="2"/>
        <v>285.51</v>
      </c>
      <c r="I34" s="457">
        <f t="shared" si="4"/>
        <v>1495.81</v>
      </c>
      <c r="J34" s="458">
        <f t="shared" si="7"/>
        <v>1677.7683333333332</v>
      </c>
      <c r="K34" s="194">
        <f t="shared" si="5"/>
        <v>10067</v>
      </c>
      <c r="L34" s="194">
        <f t="shared" si="6"/>
        <v>20134</v>
      </c>
    </row>
    <row r="35" spans="1:12" x14ac:dyDescent="0.25">
      <c r="A35" s="459" t="s">
        <v>103</v>
      </c>
      <c r="B35" s="120" t="s">
        <v>123</v>
      </c>
      <c r="C35" s="122">
        <v>0.5</v>
      </c>
      <c r="D35" s="457">
        <f t="shared" si="0"/>
        <v>181.95833333333334</v>
      </c>
      <c r="E35" s="457">
        <f t="shared" si="1"/>
        <v>931</v>
      </c>
      <c r="F35" s="457">
        <v>1.3</v>
      </c>
      <c r="G35" s="457">
        <f t="shared" si="3"/>
        <v>1210.3</v>
      </c>
      <c r="H35" s="457">
        <f t="shared" si="2"/>
        <v>285.51</v>
      </c>
      <c r="I35" s="457">
        <f t="shared" si="4"/>
        <v>1495.81</v>
      </c>
      <c r="J35" s="458">
        <f t="shared" si="7"/>
        <v>1677.7683333333332</v>
      </c>
      <c r="K35" s="194">
        <f t="shared" si="5"/>
        <v>10067</v>
      </c>
      <c r="L35" s="194">
        <f t="shared" si="6"/>
        <v>20134</v>
      </c>
    </row>
    <row r="36" spans="1:12" x14ac:dyDescent="0.25">
      <c r="A36" s="459" t="s">
        <v>124</v>
      </c>
      <c r="B36" s="120" t="s">
        <v>125</v>
      </c>
      <c r="C36" s="122">
        <v>0.5</v>
      </c>
      <c r="D36" s="457">
        <f t="shared" si="0"/>
        <v>181.95833333333334</v>
      </c>
      <c r="E36" s="457">
        <f t="shared" si="1"/>
        <v>931</v>
      </c>
      <c r="F36" s="457">
        <v>1.3</v>
      </c>
      <c r="G36" s="457">
        <f t="shared" si="3"/>
        <v>1210.3</v>
      </c>
      <c r="H36" s="457">
        <f t="shared" si="2"/>
        <v>285.51</v>
      </c>
      <c r="I36" s="457">
        <f t="shared" si="4"/>
        <v>1495.81</v>
      </c>
      <c r="J36" s="458">
        <f t="shared" si="7"/>
        <v>1677.7683333333332</v>
      </c>
      <c r="K36" s="194">
        <f t="shared" si="5"/>
        <v>10067</v>
      </c>
      <c r="L36" s="194">
        <f t="shared" si="6"/>
        <v>20134</v>
      </c>
    </row>
    <row r="37" spans="1:12" x14ac:dyDescent="0.25">
      <c r="A37" s="459" t="s">
        <v>124</v>
      </c>
      <c r="B37" s="120" t="s">
        <v>126</v>
      </c>
      <c r="C37" s="122">
        <v>0.5</v>
      </c>
      <c r="D37" s="457">
        <f t="shared" si="0"/>
        <v>181.95833333333334</v>
      </c>
      <c r="E37" s="457">
        <f t="shared" si="1"/>
        <v>931</v>
      </c>
      <c r="F37" s="457">
        <v>1.3</v>
      </c>
      <c r="G37" s="457">
        <f t="shared" si="3"/>
        <v>1210.3</v>
      </c>
      <c r="H37" s="457">
        <f t="shared" si="2"/>
        <v>285.51</v>
      </c>
      <c r="I37" s="457">
        <f t="shared" si="4"/>
        <v>1495.81</v>
      </c>
      <c r="J37" s="458">
        <f t="shared" si="7"/>
        <v>1677.7683333333332</v>
      </c>
      <c r="K37" s="194">
        <f t="shared" si="5"/>
        <v>10067</v>
      </c>
      <c r="L37" s="194">
        <f t="shared" si="6"/>
        <v>20134</v>
      </c>
    </row>
    <row r="38" spans="1:12" x14ac:dyDescent="0.25">
      <c r="A38" s="459" t="s">
        <v>124</v>
      </c>
      <c r="B38" s="120" t="s">
        <v>127</v>
      </c>
      <c r="C38" s="122">
        <v>0.5</v>
      </c>
      <c r="D38" s="457">
        <f t="shared" si="0"/>
        <v>181.95833333333334</v>
      </c>
      <c r="E38" s="457">
        <f t="shared" si="1"/>
        <v>931</v>
      </c>
      <c r="F38" s="457">
        <v>1.3</v>
      </c>
      <c r="G38" s="457">
        <f t="shared" si="3"/>
        <v>1210.3</v>
      </c>
      <c r="H38" s="457">
        <f t="shared" si="2"/>
        <v>285.51</v>
      </c>
      <c r="I38" s="457">
        <f t="shared" si="4"/>
        <v>1495.81</v>
      </c>
      <c r="J38" s="458">
        <f t="shared" si="7"/>
        <v>1677.7683333333332</v>
      </c>
      <c r="K38" s="194">
        <f t="shared" si="5"/>
        <v>10067</v>
      </c>
      <c r="L38" s="194">
        <f t="shared" si="6"/>
        <v>20134</v>
      </c>
    </row>
    <row r="39" spans="1:12" x14ac:dyDescent="0.25">
      <c r="A39" s="459" t="s">
        <v>124</v>
      </c>
      <c r="B39" s="120" t="s">
        <v>128</v>
      </c>
      <c r="C39" s="122">
        <v>0.5</v>
      </c>
      <c r="D39" s="457">
        <f t="shared" si="0"/>
        <v>181.95833333333334</v>
      </c>
      <c r="E39" s="457">
        <f t="shared" si="1"/>
        <v>931</v>
      </c>
      <c r="F39" s="457">
        <v>1.3</v>
      </c>
      <c r="G39" s="457">
        <f t="shared" si="3"/>
        <v>1210.3</v>
      </c>
      <c r="H39" s="457">
        <f t="shared" si="2"/>
        <v>285.51</v>
      </c>
      <c r="I39" s="457">
        <f t="shared" si="4"/>
        <v>1495.81</v>
      </c>
      <c r="J39" s="458">
        <f t="shared" si="7"/>
        <v>1677.7683333333332</v>
      </c>
      <c r="K39" s="194">
        <f t="shared" si="5"/>
        <v>10067</v>
      </c>
      <c r="L39" s="194">
        <f t="shared" si="6"/>
        <v>20134</v>
      </c>
    </row>
    <row r="40" spans="1:12" x14ac:dyDescent="0.25">
      <c r="A40" s="459" t="s">
        <v>124</v>
      </c>
      <c r="B40" s="120" t="s">
        <v>129</v>
      </c>
      <c r="C40" s="122">
        <v>0.5</v>
      </c>
      <c r="D40" s="457">
        <f t="shared" si="0"/>
        <v>181.95833333333334</v>
      </c>
      <c r="E40" s="457">
        <f t="shared" si="1"/>
        <v>931</v>
      </c>
      <c r="F40" s="457">
        <v>1.3</v>
      </c>
      <c r="G40" s="457">
        <f t="shared" si="3"/>
        <v>1210.3</v>
      </c>
      <c r="H40" s="457">
        <f t="shared" si="2"/>
        <v>285.51</v>
      </c>
      <c r="I40" s="457">
        <f t="shared" si="4"/>
        <v>1495.81</v>
      </c>
      <c r="J40" s="458">
        <f t="shared" si="7"/>
        <v>1677.7683333333332</v>
      </c>
      <c r="K40" s="194">
        <f t="shared" si="5"/>
        <v>10067</v>
      </c>
      <c r="L40" s="194">
        <f t="shared" si="6"/>
        <v>20134</v>
      </c>
    </row>
    <row r="41" spans="1:12" x14ac:dyDescent="0.25">
      <c r="A41" s="459" t="s">
        <v>130</v>
      </c>
      <c r="B41" s="120" t="s">
        <v>131</v>
      </c>
      <c r="C41" s="122">
        <v>0.5</v>
      </c>
      <c r="D41" s="457">
        <f t="shared" si="0"/>
        <v>181.95833333333334</v>
      </c>
      <c r="E41" s="457">
        <f t="shared" si="1"/>
        <v>931</v>
      </c>
      <c r="F41" s="457">
        <v>1.3</v>
      </c>
      <c r="G41" s="457">
        <f t="shared" si="3"/>
        <v>1210.3</v>
      </c>
      <c r="H41" s="457">
        <f t="shared" si="2"/>
        <v>285.51</v>
      </c>
      <c r="I41" s="457">
        <f t="shared" si="4"/>
        <v>1495.81</v>
      </c>
      <c r="J41" s="458">
        <f t="shared" si="7"/>
        <v>1677.7683333333332</v>
      </c>
      <c r="K41" s="194">
        <f t="shared" si="5"/>
        <v>10067</v>
      </c>
      <c r="L41" s="194">
        <f t="shared" si="6"/>
        <v>20134</v>
      </c>
    </row>
    <row r="42" spans="1:12" x14ac:dyDescent="0.25">
      <c r="A42" s="459" t="s">
        <v>130</v>
      </c>
      <c r="B42" s="120" t="s">
        <v>132</v>
      </c>
      <c r="C42" s="122">
        <v>0.5</v>
      </c>
      <c r="D42" s="457">
        <f t="shared" si="0"/>
        <v>181.95833333333334</v>
      </c>
      <c r="E42" s="457">
        <f t="shared" si="1"/>
        <v>931</v>
      </c>
      <c r="F42" s="457">
        <v>1.3</v>
      </c>
      <c r="G42" s="457">
        <f t="shared" si="3"/>
        <v>1210.3</v>
      </c>
      <c r="H42" s="457">
        <f t="shared" si="2"/>
        <v>285.51</v>
      </c>
      <c r="I42" s="457">
        <f t="shared" si="4"/>
        <v>1495.81</v>
      </c>
      <c r="J42" s="458">
        <f t="shared" si="7"/>
        <v>1677.7683333333332</v>
      </c>
      <c r="K42" s="194">
        <f t="shared" si="5"/>
        <v>10067</v>
      </c>
      <c r="L42" s="194">
        <f t="shared" si="6"/>
        <v>20134</v>
      </c>
    </row>
    <row r="43" spans="1:12" x14ac:dyDescent="0.25">
      <c r="A43" s="459" t="s">
        <v>130</v>
      </c>
      <c r="B43" s="120" t="s">
        <v>133</v>
      </c>
      <c r="C43" s="122">
        <v>0.5</v>
      </c>
      <c r="D43" s="457">
        <f t="shared" si="0"/>
        <v>181.95833333333334</v>
      </c>
      <c r="E43" s="457">
        <f t="shared" si="1"/>
        <v>931</v>
      </c>
      <c r="F43" s="457">
        <v>1.3</v>
      </c>
      <c r="G43" s="457">
        <f t="shared" si="3"/>
        <v>1210.3</v>
      </c>
      <c r="H43" s="457">
        <f t="shared" si="2"/>
        <v>285.51</v>
      </c>
      <c r="I43" s="457">
        <f t="shared" si="4"/>
        <v>1495.81</v>
      </c>
      <c r="J43" s="458">
        <f t="shared" si="7"/>
        <v>1677.7683333333332</v>
      </c>
      <c r="K43" s="194">
        <f t="shared" si="5"/>
        <v>10067</v>
      </c>
      <c r="L43" s="194">
        <f t="shared" si="6"/>
        <v>20134</v>
      </c>
    </row>
    <row r="44" spans="1:12" x14ac:dyDescent="0.25">
      <c r="A44" s="459" t="s">
        <v>105</v>
      </c>
      <c r="B44" s="120" t="s">
        <v>106</v>
      </c>
      <c r="C44" s="122">
        <v>3</v>
      </c>
      <c r="D44" s="457">
        <f t="shared" si="0"/>
        <v>1091.75</v>
      </c>
      <c r="E44" s="457">
        <f t="shared" si="1"/>
        <v>5586</v>
      </c>
      <c r="F44" s="457">
        <v>1.3</v>
      </c>
      <c r="G44" s="457">
        <f t="shared" si="3"/>
        <v>7261.8</v>
      </c>
      <c r="H44" s="457">
        <f t="shared" si="2"/>
        <v>1713.06</v>
      </c>
      <c r="I44" s="457">
        <f t="shared" si="4"/>
        <v>8974.86</v>
      </c>
      <c r="J44" s="458">
        <f t="shared" si="7"/>
        <v>10066.61</v>
      </c>
      <c r="K44" s="194">
        <f t="shared" si="5"/>
        <v>60400</v>
      </c>
      <c r="L44" s="194">
        <f t="shared" si="6"/>
        <v>120800</v>
      </c>
    </row>
    <row r="45" spans="1:12" x14ac:dyDescent="0.25">
      <c r="A45" s="459" t="s">
        <v>105</v>
      </c>
      <c r="B45" s="120" t="s">
        <v>134</v>
      </c>
      <c r="C45" s="122">
        <v>1</v>
      </c>
      <c r="D45" s="457">
        <f t="shared" si="0"/>
        <v>363.91666666666669</v>
      </c>
      <c r="E45" s="457">
        <f t="shared" si="1"/>
        <v>1862</v>
      </c>
      <c r="F45" s="457">
        <v>1.3</v>
      </c>
      <c r="G45" s="457">
        <f t="shared" si="3"/>
        <v>2420.6</v>
      </c>
      <c r="H45" s="457">
        <f t="shared" si="2"/>
        <v>571.02</v>
      </c>
      <c r="I45" s="457">
        <f t="shared" si="4"/>
        <v>2991.62</v>
      </c>
      <c r="J45" s="458">
        <f t="shared" si="7"/>
        <v>3355.5366666666664</v>
      </c>
      <c r="K45" s="194">
        <f t="shared" si="5"/>
        <v>20133</v>
      </c>
      <c r="L45" s="194">
        <f t="shared" si="6"/>
        <v>40266</v>
      </c>
    </row>
    <row r="46" spans="1:12" x14ac:dyDescent="0.25">
      <c r="A46" s="459" t="s">
        <v>105</v>
      </c>
      <c r="B46" s="120" t="s">
        <v>107</v>
      </c>
      <c r="C46" s="122">
        <v>1</v>
      </c>
      <c r="D46" s="457">
        <f t="shared" si="0"/>
        <v>363.91666666666669</v>
      </c>
      <c r="E46" s="457">
        <f t="shared" si="1"/>
        <v>1862</v>
      </c>
      <c r="F46" s="457">
        <v>1.3</v>
      </c>
      <c r="G46" s="457">
        <f t="shared" si="3"/>
        <v>2420.6</v>
      </c>
      <c r="H46" s="457">
        <f t="shared" si="2"/>
        <v>571.02</v>
      </c>
      <c r="I46" s="457">
        <f t="shared" si="4"/>
        <v>2991.62</v>
      </c>
      <c r="J46" s="458">
        <f t="shared" si="7"/>
        <v>3355.5366666666664</v>
      </c>
      <c r="K46" s="194">
        <f t="shared" si="5"/>
        <v>20133</v>
      </c>
      <c r="L46" s="194">
        <f t="shared" si="6"/>
        <v>40266</v>
      </c>
    </row>
    <row r="47" spans="1:12" x14ac:dyDescent="0.25">
      <c r="A47" s="459" t="s">
        <v>105</v>
      </c>
      <c r="B47" s="120" t="s">
        <v>108</v>
      </c>
      <c r="C47" s="122">
        <v>1</v>
      </c>
      <c r="D47" s="457">
        <f t="shared" si="0"/>
        <v>363.91666666666669</v>
      </c>
      <c r="E47" s="457">
        <f t="shared" si="1"/>
        <v>1862</v>
      </c>
      <c r="F47" s="457">
        <v>1.3</v>
      </c>
      <c r="G47" s="457">
        <f t="shared" si="3"/>
        <v>2420.6</v>
      </c>
      <c r="H47" s="457">
        <f t="shared" si="2"/>
        <v>571.02</v>
      </c>
      <c r="I47" s="457">
        <f t="shared" si="4"/>
        <v>2991.62</v>
      </c>
      <c r="J47" s="458">
        <f t="shared" si="7"/>
        <v>3355.5366666666664</v>
      </c>
      <c r="K47" s="194">
        <f t="shared" si="5"/>
        <v>20133</v>
      </c>
      <c r="L47" s="194">
        <f t="shared" si="6"/>
        <v>40266</v>
      </c>
    </row>
    <row r="48" spans="1:12" ht="25.5" x14ac:dyDescent="0.25">
      <c r="A48" s="459" t="s">
        <v>105</v>
      </c>
      <c r="B48" s="120" t="s">
        <v>274</v>
      </c>
      <c r="C48" s="122">
        <v>1.5</v>
      </c>
      <c r="D48" s="457">
        <f t="shared" si="0"/>
        <v>545.875</v>
      </c>
      <c r="E48" s="457">
        <f t="shared" si="1"/>
        <v>2793</v>
      </c>
      <c r="F48" s="457">
        <v>1.3</v>
      </c>
      <c r="G48" s="457">
        <f t="shared" si="3"/>
        <v>3630.9</v>
      </c>
      <c r="H48" s="457">
        <f t="shared" si="2"/>
        <v>856.53</v>
      </c>
      <c r="I48" s="457">
        <f t="shared" si="4"/>
        <v>4487.43</v>
      </c>
      <c r="J48" s="458">
        <f t="shared" si="7"/>
        <v>5033.3050000000003</v>
      </c>
      <c r="K48" s="194">
        <f t="shared" si="5"/>
        <v>30200</v>
      </c>
      <c r="L48" s="194">
        <f t="shared" si="6"/>
        <v>60400</v>
      </c>
    </row>
    <row r="49" spans="1:12" x14ac:dyDescent="0.25">
      <c r="A49" s="459" t="s">
        <v>105</v>
      </c>
      <c r="B49" s="120" t="s">
        <v>109</v>
      </c>
      <c r="C49" s="122">
        <v>1</v>
      </c>
      <c r="D49" s="457">
        <f t="shared" si="0"/>
        <v>363.91666666666669</v>
      </c>
      <c r="E49" s="457">
        <f t="shared" si="1"/>
        <v>1862</v>
      </c>
      <c r="F49" s="457">
        <v>1.3</v>
      </c>
      <c r="G49" s="457">
        <f t="shared" si="3"/>
        <v>2420.6</v>
      </c>
      <c r="H49" s="457">
        <f t="shared" si="2"/>
        <v>571.02</v>
      </c>
      <c r="I49" s="457">
        <f t="shared" si="4"/>
        <v>2991.62</v>
      </c>
      <c r="J49" s="458">
        <f t="shared" si="7"/>
        <v>3355.5366666666664</v>
      </c>
      <c r="K49" s="194">
        <f t="shared" si="5"/>
        <v>20133</v>
      </c>
      <c r="L49" s="194">
        <f t="shared" si="6"/>
        <v>40266</v>
      </c>
    </row>
    <row r="50" spans="1:12" x14ac:dyDescent="0.25">
      <c r="A50" s="459" t="s">
        <v>105</v>
      </c>
      <c r="B50" s="120" t="s">
        <v>110</v>
      </c>
      <c r="C50" s="460">
        <v>1</v>
      </c>
      <c r="D50" s="457">
        <f t="shared" si="0"/>
        <v>363.91666666666669</v>
      </c>
      <c r="E50" s="457">
        <f t="shared" si="1"/>
        <v>1862</v>
      </c>
      <c r="F50" s="457">
        <v>1.3</v>
      </c>
      <c r="G50" s="457">
        <f t="shared" si="3"/>
        <v>2420.6</v>
      </c>
      <c r="H50" s="457">
        <f t="shared" si="2"/>
        <v>571.02</v>
      </c>
      <c r="I50" s="457">
        <f t="shared" si="4"/>
        <v>2991.62</v>
      </c>
      <c r="J50" s="458">
        <f t="shared" si="7"/>
        <v>3355.5366666666664</v>
      </c>
      <c r="K50" s="194">
        <f t="shared" si="5"/>
        <v>20133</v>
      </c>
      <c r="L50" s="194">
        <f t="shared" si="6"/>
        <v>40266</v>
      </c>
    </row>
    <row r="51" spans="1:12" x14ac:dyDescent="0.25">
      <c r="A51" s="459" t="s">
        <v>105</v>
      </c>
      <c r="B51" s="123" t="s">
        <v>135</v>
      </c>
      <c r="C51" s="122">
        <v>0.5</v>
      </c>
      <c r="D51" s="457">
        <f t="shared" si="0"/>
        <v>181.95833333333334</v>
      </c>
      <c r="E51" s="457">
        <f t="shared" si="1"/>
        <v>931</v>
      </c>
      <c r="F51" s="457">
        <v>1.3</v>
      </c>
      <c r="G51" s="457">
        <f t="shared" si="3"/>
        <v>1210.3</v>
      </c>
      <c r="H51" s="457">
        <f t="shared" si="2"/>
        <v>285.51</v>
      </c>
      <c r="I51" s="457">
        <f t="shared" si="4"/>
        <v>1495.81</v>
      </c>
      <c r="J51" s="458">
        <f t="shared" si="7"/>
        <v>1677.7683333333332</v>
      </c>
      <c r="K51" s="194">
        <f t="shared" si="5"/>
        <v>10067</v>
      </c>
      <c r="L51" s="194">
        <f t="shared" si="6"/>
        <v>20134</v>
      </c>
    </row>
    <row r="52" spans="1:12" x14ac:dyDescent="0.25">
      <c r="A52" s="459" t="s">
        <v>136</v>
      </c>
      <c r="B52" s="120" t="s">
        <v>137</v>
      </c>
      <c r="C52" s="122">
        <v>0.5</v>
      </c>
      <c r="D52" s="457">
        <f t="shared" si="0"/>
        <v>181.95833333333334</v>
      </c>
      <c r="E52" s="457">
        <f t="shared" si="1"/>
        <v>931</v>
      </c>
      <c r="F52" s="457">
        <v>1.3</v>
      </c>
      <c r="G52" s="457">
        <f t="shared" si="3"/>
        <v>1210.3</v>
      </c>
      <c r="H52" s="457">
        <f t="shared" si="2"/>
        <v>285.51</v>
      </c>
      <c r="I52" s="457">
        <f t="shared" si="4"/>
        <v>1495.81</v>
      </c>
      <c r="J52" s="458">
        <f t="shared" si="7"/>
        <v>1677.7683333333332</v>
      </c>
      <c r="K52" s="194">
        <f t="shared" si="5"/>
        <v>10067</v>
      </c>
      <c r="L52" s="194">
        <f t="shared" si="6"/>
        <v>20134</v>
      </c>
    </row>
    <row r="53" spans="1:12" x14ac:dyDescent="0.25">
      <c r="A53" s="459" t="s">
        <v>136</v>
      </c>
      <c r="B53" s="120" t="s">
        <v>138</v>
      </c>
      <c r="C53" s="122">
        <v>0.5</v>
      </c>
      <c r="D53" s="457">
        <f t="shared" si="0"/>
        <v>181.95833333333334</v>
      </c>
      <c r="E53" s="457">
        <f t="shared" si="1"/>
        <v>931</v>
      </c>
      <c r="F53" s="457">
        <v>1.3</v>
      </c>
      <c r="G53" s="457">
        <f t="shared" si="3"/>
        <v>1210.3</v>
      </c>
      <c r="H53" s="457">
        <f t="shared" si="2"/>
        <v>285.51</v>
      </c>
      <c r="I53" s="457">
        <f t="shared" si="4"/>
        <v>1495.81</v>
      </c>
      <c r="J53" s="458">
        <f t="shared" si="7"/>
        <v>1677.7683333333332</v>
      </c>
      <c r="K53" s="194">
        <f t="shared" si="5"/>
        <v>10067</v>
      </c>
      <c r="L53" s="194">
        <f t="shared" si="6"/>
        <v>20134</v>
      </c>
    </row>
    <row r="54" spans="1:12" x14ac:dyDescent="0.25">
      <c r="A54" s="461"/>
      <c r="C54" s="461"/>
      <c r="D54" s="461"/>
      <c r="E54" s="461"/>
      <c r="F54" s="461"/>
      <c r="G54" s="461"/>
      <c r="H54" s="461"/>
      <c r="I54" s="461"/>
      <c r="J54" s="462">
        <f>SUM(J15:J53)</f>
        <v>112410.47833333326</v>
      </c>
      <c r="K54" s="463">
        <f>SUM(K15:K53)</f>
        <v>674468</v>
      </c>
      <c r="L54" s="463">
        <f>SUM(L15:L53)</f>
        <v>1348936</v>
      </c>
    </row>
    <row r="55" spans="1:12" ht="49.5" customHeight="1" x14ac:dyDescent="0.25">
      <c r="A55" s="566" t="s">
        <v>387</v>
      </c>
      <c r="B55" s="566"/>
      <c r="C55" s="566"/>
      <c r="D55" s="566"/>
      <c r="E55" s="566"/>
      <c r="F55" s="566"/>
      <c r="G55" s="566"/>
      <c r="H55" s="566"/>
      <c r="I55" s="566"/>
      <c r="J55" s="566"/>
      <c r="K55" s="566"/>
      <c r="L55" s="566"/>
    </row>
    <row r="57" spans="1:12" x14ac:dyDescent="0.25">
      <c r="B57" s="484" t="s">
        <v>531</v>
      </c>
      <c r="C57" s="192"/>
      <c r="D57" s="192"/>
    </row>
    <row r="58" spans="1:12" ht="38.25" x14ac:dyDescent="0.25">
      <c r="B58" s="484" t="s">
        <v>0</v>
      </c>
      <c r="C58" s="223" t="s">
        <v>528</v>
      </c>
      <c r="D58" s="223" t="s">
        <v>338</v>
      </c>
    </row>
    <row r="59" spans="1:12" x14ac:dyDescent="0.25">
      <c r="B59" s="445" t="s">
        <v>533</v>
      </c>
      <c r="C59" s="381">
        <f>ROUND(J50*2*6,0)</f>
        <v>40266</v>
      </c>
      <c r="D59" s="381">
        <f>C59*2</f>
        <v>80532</v>
      </c>
    </row>
    <row r="60" spans="1:12" ht="31.5" customHeight="1" x14ac:dyDescent="0.25">
      <c r="B60" s="560" t="s">
        <v>535</v>
      </c>
      <c r="C60" s="560"/>
      <c r="D60" s="560"/>
    </row>
  </sheetData>
  <mergeCells count="7">
    <mergeCell ref="B60:D60"/>
    <mergeCell ref="A55:L55"/>
    <mergeCell ref="A3:L3"/>
    <mergeCell ref="A1:L1"/>
    <mergeCell ref="A6:B6"/>
    <mergeCell ref="A7:B7"/>
    <mergeCell ref="A8:B8"/>
  </mergeCells>
  <pageMargins left="0.7" right="0.7" top="0.75" bottom="0.75" header="0.3" footer="0.3"/>
  <pageSetup paperSize="9" scale="49"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5"/>
  <sheetViews>
    <sheetView zoomScale="90" zoomScaleNormal="90" workbookViewId="0">
      <selection activeCell="J39" sqref="J39"/>
    </sheetView>
  </sheetViews>
  <sheetFormatPr defaultColWidth="8.7109375" defaultRowHeight="15" x14ac:dyDescent="0.25"/>
  <cols>
    <col min="1" max="1" width="10.42578125" style="103" customWidth="1"/>
    <col min="2" max="2" width="42.42578125" style="103" customWidth="1"/>
    <col min="3" max="3" width="13.28515625" style="103" customWidth="1"/>
    <col min="4" max="4" width="10.5703125" style="103" customWidth="1"/>
    <col min="5" max="5" width="5.140625" style="103" customWidth="1"/>
    <col min="6" max="6" width="36.42578125" style="103" customWidth="1"/>
    <col min="7" max="7" width="11" style="103" bestFit="1" customWidth="1"/>
    <col min="8" max="8" width="9.7109375" style="103" customWidth="1"/>
    <col min="9" max="9" width="10.85546875" style="103" customWidth="1"/>
    <col min="10" max="10" width="10.5703125" style="103" customWidth="1"/>
    <col min="11" max="11" width="44" style="103" customWidth="1"/>
    <col min="12" max="12" width="10.140625" style="103" bestFit="1" customWidth="1"/>
    <col min="13" max="16384" width="8.7109375" style="103"/>
  </cols>
  <sheetData>
    <row r="1" spans="1:13" ht="69.75" customHeight="1" x14ac:dyDescent="0.3">
      <c r="A1" s="542" t="s">
        <v>339</v>
      </c>
      <c r="B1" s="542"/>
      <c r="C1" s="542"/>
      <c r="D1" s="542"/>
      <c r="E1" s="542"/>
      <c r="F1" s="542"/>
      <c r="G1" s="542"/>
      <c r="H1" s="542"/>
      <c r="I1" s="542"/>
      <c r="J1" s="542"/>
      <c r="K1" s="403" t="s">
        <v>448</v>
      </c>
      <c r="L1" s="435"/>
      <c r="M1" s="435"/>
    </row>
    <row r="2" spans="1:13" ht="15.75" x14ac:dyDescent="0.25">
      <c r="A2" s="569" t="s">
        <v>265</v>
      </c>
      <c r="B2" s="569"/>
      <c r="C2" s="569"/>
      <c r="D2" s="569"/>
      <c r="E2" s="569"/>
      <c r="F2" s="569"/>
      <c r="G2" s="569"/>
      <c r="H2" s="569"/>
      <c r="I2" s="569"/>
      <c r="J2" s="569"/>
      <c r="K2" s="436"/>
      <c r="L2" s="436"/>
      <c r="M2" s="436"/>
    </row>
    <row r="3" spans="1:13" ht="48" customHeight="1" x14ac:dyDescent="0.25">
      <c r="A3" s="568" t="s">
        <v>431</v>
      </c>
      <c r="B3" s="568"/>
      <c r="C3" s="568"/>
      <c r="D3" s="568"/>
      <c r="E3" s="568"/>
      <c r="F3" s="568"/>
      <c r="G3" s="568"/>
      <c r="H3" s="568"/>
      <c r="I3" s="568"/>
      <c r="J3" s="568"/>
      <c r="K3" s="312"/>
      <c r="L3" s="312"/>
      <c r="M3" s="312"/>
    </row>
    <row r="4" spans="1:13" x14ac:dyDescent="0.25">
      <c r="A4" s="437"/>
      <c r="B4" s="437"/>
      <c r="C4" s="437"/>
      <c r="D4" s="437"/>
      <c r="E4" s="437"/>
      <c r="F4" s="437"/>
      <c r="G4" s="437"/>
      <c r="H4" s="437"/>
      <c r="I4" s="437"/>
      <c r="K4" s="438"/>
      <c r="L4" s="438"/>
      <c r="M4" s="438"/>
    </row>
    <row r="5" spans="1:13" ht="33.950000000000003" customHeight="1" x14ac:dyDescent="0.25">
      <c r="A5" s="567" t="s">
        <v>388</v>
      </c>
      <c r="B5" s="567"/>
      <c r="C5" s="567"/>
      <c r="D5" s="567"/>
      <c r="E5" s="567"/>
      <c r="F5" s="567"/>
      <c r="G5" s="567"/>
      <c r="H5" s="567"/>
      <c r="I5" s="567"/>
      <c r="J5" s="567"/>
    </row>
    <row r="6" spans="1:13" x14ac:dyDescent="0.25">
      <c r="F6" s="439"/>
    </row>
    <row r="7" spans="1:13" ht="42.75" x14ac:dyDescent="0.25">
      <c r="A7" s="440" t="s">
        <v>77</v>
      </c>
      <c r="B7" s="440" t="s">
        <v>78</v>
      </c>
      <c r="C7" s="441" t="s">
        <v>139</v>
      </c>
      <c r="E7" s="442"/>
      <c r="F7" s="442" t="s">
        <v>14</v>
      </c>
      <c r="G7" s="442" t="s">
        <v>188</v>
      </c>
      <c r="H7" s="443" t="s">
        <v>189</v>
      </c>
      <c r="I7" s="443" t="s">
        <v>190</v>
      </c>
      <c r="J7" s="443" t="s">
        <v>191</v>
      </c>
    </row>
    <row r="8" spans="1:13" ht="28.5" customHeight="1" x14ac:dyDescent="0.25">
      <c r="A8" s="444" t="s">
        <v>83</v>
      </c>
      <c r="B8" s="98" t="s">
        <v>84</v>
      </c>
      <c r="C8" s="101">
        <v>5</v>
      </c>
      <c r="E8" s="144"/>
      <c r="F8" s="144"/>
      <c r="G8" s="144"/>
      <c r="H8" s="144"/>
      <c r="I8" s="144"/>
      <c r="J8" s="145"/>
    </row>
    <row r="9" spans="1:13" ht="25.5" x14ac:dyDescent="0.25">
      <c r="A9" s="444" t="s">
        <v>83</v>
      </c>
      <c r="B9" s="98" t="s">
        <v>85</v>
      </c>
      <c r="C9" s="101">
        <v>5</v>
      </c>
      <c r="E9" s="144">
        <v>1</v>
      </c>
      <c r="F9" s="144" t="s">
        <v>192</v>
      </c>
      <c r="G9" s="144"/>
      <c r="H9" s="144"/>
      <c r="I9" s="144"/>
      <c r="J9" s="145"/>
    </row>
    <row r="10" spans="1:13" x14ac:dyDescent="0.25">
      <c r="A10" s="444" t="s">
        <v>83</v>
      </c>
      <c r="B10" s="98" t="s">
        <v>86</v>
      </c>
      <c r="C10" s="101">
        <v>5</v>
      </c>
      <c r="E10" s="144"/>
      <c r="F10" s="144" t="s">
        <v>193</v>
      </c>
      <c r="G10" s="144" t="s">
        <v>194</v>
      </c>
      <c r="H10" s="144">
        <v>36</v>
      </c>
      <c r="I10" s="144">
        <v>80</v>
      </c>
      <c r="J10" s="145">
        <v>2880</v>
      </c>
    </row>
    <row r="11" spans="1:13" x14ac:dyDescent="0.25">
      <c r="A11" s="102" t="s">
        <v>87</v>
      </c>
      <c r="B11" s="98" t="s">
        <v>88</v>
      </c>
      <c r="C11" s="101">
        <v>5</v>
      </c>
      <c r="E11" s="144"/>
      <c r="F11" s="144" t="s">
        <v>195</v>
      </c>
      <c r="G11" s="144" t="s">
        <v>194</v>
      </c>
      <c r="H11" s="144">
        <v>16</v>
      </c>
      <c r="I11" s="144">
        <v>80</v>
      </c>
      <c r="J11" s="145">
        <v>1280</v>
      </c>
    </row>
    <row r="12" spans="1:13" x14ac:dyDescent="0.25">
      <c r="A12" s="102" t="s">
        <v>87</v>
      </c>
      <c r="B12" s="98" t="s">
        <v>89</v>
      </c>
      <c r="C12" s="101">
        <v>5</v>
      </c>
      <c r="E12" s="144"/>
      <c r="F12" s="144" t="s">
        <v>196</v>
      </c>
      <c r="G12" s="144" t="s">
        <v>197</v>
      </c>
      <c r="H12" s="144">
        <v>100</v>
      </c>
      <c r="I12" s="144">
        <v>0.7</v>
      </c>
      <c r="J12" s="145">
        <v>70</v>
      </c>
    </row>
    <row r="13" spans="1:13" x14ac:dyDescent="0.25">
      <c r="A13" s="102" t="s">
        <v>87</v>
      </c>
      <c r="B13" s="99" t="s">
        <v>90</v>
      </c>
      <c r="C13" s="101">
        <v>5</v>
      </c>
      <c r="E13" s="144"/>
      <c r="F13" s="144" t="s">
        <v>198</v>
      </c>
      <c r="G13" s="144" t="s">
        <v>194</v>
      </c>
      <c r="H13" s="144">
        <v>16</v>
      </c>
      <c r="I13" s="144">
        <v>80</v>
      </c>
      <c r="J13" s="145">
        <v>1280</v>
      </c>
    </row>
    <row r="14" spans="1:13" x14ac:dyDescent="0.25">
      <c r="A14" s="102" t="s">
        <v>87</v>
      </c>
      <c r="B14" s="98" t="s">
        <v>91</v>
      </c>
      <c r="C14" s="101">
        <v>5</v>
      </c>
      <c r="E14" s="144"/>
      <c r="F14" s="144" t="s">
        <v>199</v>
      </c>
      <c r="G14" s="144" t="s">
        <v>197</v>
      </c>
      <c r="H14" s="144">
        <v>6480</v>
      </c>
      <c r="I14" s="144">
        <v>0.15</v>
      </c>
      <c r="J14" s="145">
        <v>972</v>
      </c>
    </row>
    <row r="15" spans="1:13" x14ac:dyDescent="0.25">
      <c r="A15" s="102" t="s">
        <v>87</v>
      </c>
      <c r="B15" s="98" t="s">
        <v>92</v>
      </c>
      <c r="C15" s="101">
        <v>5</v>
      </c>
      <c r="E15" s="144"/>
      <c r="F15" s="144" t="s">
        <v>200</v>
      </c>
      <c r="G15" s="144" t="s">
        <v>194</v>
      </c>
      <c r="H15" s="144">
        <v>5</v>
      </c>
      <c r="I15" s="144">
        <v>80</v>
      </c>
      <c r="J15" s="145">
        <v>400</v>
      </c>
    </row>
    <row r="16" spans="1:13" x14ac:dyDescent="0.25">
      <c r="A16" s="102" t="s">
        <v>87</v>
      </c>
      <c r="B16" s="98" t="s">
        <v>93</v>
      </c>
      <c r="C16" s="101">
        <v>5</v>
      </c>
      <c r="E16" s="144"/>
      <c r="F16" s="144" t="s">
        <v>201</v>
      </c>
      <c r="G16" s="144" t="s">
        <v>197</v>
      </c>
      <c r="H16" s="144">
        <v>486</v>
      </c>
      <c r="I16" s="144">
        <v>0.15</v>
      </c>
      <c r="J16" s="145">
        <v>72.900000000000006</v>
      </c>
    </row>
    <row r="17" spans="1:10" x14ac:dyDescent="0.25">
      <c r="A17" s="102" t="s">
        <v>87</v>
      </c>
      <c r="B17" s="98" t="s">
        <v>94</v>
      </c>
      <c r="C17" s="101">
        <v>5</v>
      </c>
      <c r="E17" s="144"/>
      <c r="F17" s="144"/>
      <c r="G17" s="144"/>
      <c r="H17" s="144"/>
      <c r="I17" s="144"/>
      <c r="J17" s="145"/>
    </row>
    <row r="18" spans="1:10" ht="25.5" x14ac:dyDescent="0.25">
      <c r="A18" s="102" t="s">
        <v>95</v>
      </c>
      <c r="B18" s="98" t="s">
        <v>96</v>
      </c>
      <c r="C18" s="101">
        <v>4</v>
      </c>
      <c r="E18" s="144">
        <v>2</v>
      </c>
      <c r="F18" s="144" t="s">
        <v>202</v>
      </c>
      <c r="G18" s="144"/>
      <c r="H18" s="144"/>
      <c r="I18" s="144"/>
      <c r="J18" s="145"/>
    </row>
    <row r="19" spans="1:10" x14ac:dyDescent="0.25">
      <c r="A19" s="102" t="s">
        <v>95</v>
      </c>
      <c r="B19" s="98" t="s">
        <v>97</v>
      </c>
      <c r="C19" s="101">
        <v>4</v>
      </c>
      <c r="E19" s="144"/>
      <c r="F19" s="144" t="s">
        <v>203</v>
      </c>
      <c r="G19" s="144" t="s">
        <v>204</v>
      </c>
      <c r="H19" s="144">
        <v>16</v>
      </c>
      <c r="I19" s="144">
        <v>500</v>
      </c>
      <c r="J19" s="145">
        <v>8000</v>
      </c>
    </row>
    <row r="20" spans="1:10" ht="26.25" x14ac:dyDescent="0.25">
      <c r="A20" s="102" t="s">
        <v>95</v>
      </c>
      <c r="B20" s="98" t="s">
        <v>98</v>
      </c>
      <c r="C20" s="101">
        <v>4</v>
      </c>
      <c r="E20" s="144"/>
      <c r="F20" s="445" t="s">
        <v>205</v>
      </c>
      <c r="G20" s="144" t="s">
        <v>204</v>
      </c>
      <c r="H20" s="144">
        <v>16</v>
      </c>
      <c r="I20" s="144">
        <v>100</v>
      </c>
      <c r="J20" s="145">
        <v>1600</v>
      </c>
    </row>
    <row r="21" spans="1:10" x14ac:dyDescent="0.25">
      <c r="A21" s="102" t="s">
        <v>95</v>
      </c>
      <c r="B21" s="98" t="s">
        <v>99</v>
      </c>
      <c r="C21" s="101">
        <v>4</v>
      </c>
      <c r="E21" s="144"/>
      <c r="F21" s="144" t="s">
        <v>206</v>
      </c>
      <c r="G21" s="144" t="s">
        <v>207</v>
      </c>
      <c r="H21" s="144">
        <v>2</v>
      </c>
      <c r="I21" s="144">
        <v>16</v>
      </c>
      <c r="J21" s="145">
        <v>32</v>
      </c>
    </row>
    <row r="22" spans="1:10" x14ac:dyDescent="0.25">
      <c r="A22" s="102" t="s">
        <v>95</v>
      </c>
      <c r="B22" s="98" t="s">
        <v>100</v>
      </c>
      <c r="C22" s="101">
        <v>4</v>
      </c>
      <c r="E22" s="144"/>
      <c r="F22" s="144" t="s">
        <v>208</v>
      </c>
      <c r="G22" s="144" t="s">
        <v>204</v>
      </c>
      <c r="H22" s="144">
        <v>16</v>
      </c>
      <c r="I22" s="144">
        <v>60</v>
      </c>
      <c r="J22" s="145">
        <v>960</v>
      </c>
    </row>
    <row r="23" spans="1:10" x14ac:dyDescent="0.25">
      <c r="A23" s="102" t="s">
        <v>95</v>
      </c>
      <c r="B23" s="98" t="s">
        <v>101</v>
      </c>
      <c r="C23" s="101">
        <v>4</v>
      </c>
      <c r="E23" s="144">
        <v>3</v>
      </c>
      <c r="F23" s="144" t="s">
        <v>209</v>
      </c>
      <c r="G23" s="144"/>
      <c r="H23" s="144"/>
      <c r="I23" s="144"/>
      <c r="J23" s="145"/>
    </row>
    <row r="24" spans="1:10" x14ac:dyDescent="0.25">
      <c r="A24" s="102" t="s">
        <v>95</v>
      </c>
      <c r="B24" s="98" t="s">
        <v>102</v>
      </c>
      <c r="C24" s="101">
        <v>4</v>
      </c>
      <c r="E24" s="144"/>
      <c r="F24" s="144" t="s">
        <v>210</v>
      </c>
      <c r="G24" s="144" t="s">
        <v>194</v>
      </c>
      <c r="H24" s="144">
        <v>6</v>
      </c>
      <c r="I24" s="144">
        <v>30</v>
      </c>
      <c r="J24" s="145">
        <v>180</v>
      </c>
    </row>
    <row r="25" spans="1:10" x14ac:dyDescent="0.25">
      <c r="A25" s="102" t="s">
        <v>103</v>
      </c>
      <c r="B25" s="98" t="s">
        <v>104</v>
      </c>
      <c r="C25" s="101">
        <v>3</v>
      </c>
      <c r="E25" s="144"/>
      <c r="F25" s="144" t="s">
        <v>211</v>
      </c>
      <c r="G25" s="144" t="s">
        <v>194</v>
      </c>
      <c r="H25" s="144">
        <v>16</v>
      </c>
      <c r="I25" s="144">
        <v>30</v>
      </c>
      <c r="J25" s="145">
        <v>480</v>
      </c>
    </row>
    <row r="26" spans="1:10" x14ac:dyDescent="0.25">
      <c r="A26" s="102" t="s">
        <v>103</v>
      </c>
      <c r="B26" s="98" t="s">
        <v>121</v>
      </c>
      <c r="C26" s="101">
        <v>3</v>
      </c>
      <c r="E26" s="144"/>
      <c r="F26" s="144" t="s">
        <v>212</v>
      </c>
      <c r="G26" s="144" t="s">
        <v>194</v>
      </c>
      <c r="H26" s="144">
        <v>8</v>
      </c>
      <c r="I26" s="144">
        <v>30</v>
      </c>
      <c r="J26" s="145">
        <v>240</v>
      </c>
    </row>
    <row r="27" spans="1:10" x14ac:dyDescent="0.25">
      <c r="A27" s="102" t="s">
        <v>103</v>
      </c>
      <c r="B27" s="98" t="s">
        <v>122</v>
      </c>
      <c r="C27" s="101">
        <v>3</v>
      </c>
      <c r="E27" s="144"/>
      <c r="F27" s="144" t="s">
        <v>213</v>
      </c>
      <c r="G27" s="144" t="s">
        <v>194</v>
      </c>
      <c r="H27" s="144">
        <v>4</v>
      </c>
      <c r="I27" s="144">
        <v>30</v>
      </c>
      <c r="J27" s="145">
        <v>120</v>
      </c>
    </row>
    <row r="28" spans="1:10" x14ac:dyDescent="0.25">
      <c r="A28" s="102" t="s">
        <v>103</v>
      </c>
      <c r="B28" s="98" t="s">
        <v>123</v>
      </c>
      <c r="C28" s="101">
        <v>3</v>
      </c>
      <c r="E28" s="144"/>
      <c r="F28" s="144"/>
      <c r="G28" s="144"/>
      <c r="H28" s="144"/>
      <c r="I28" s="144"/>
      <c r="J28" s="145"/>
    </row>
    <row r="29" spans="1:10" ht="25.5" x14ac:dyDescent="0.25">
      <c r="A29" s="102" t="s">
        <v>124</v>
      </c>
      <c r="B29" s="98" t="s">
        <v>125</v>
      </c>
      <c r="C29" s="101">
        <v>3</v>
      </c>
      <c r="E29" s="144">
        <v>4</v>
      </c>
      <c r="F29" s="144" t="s">
        <v>214</v>
      </c>
      <c r="G29" s="144"/>
      <c r="H29" s="144"/>
      <c r="I29" s="144"/>
      <c r="J29" s="145"/>
    </row>
    <row r="30" spans="1:10" x14ac:dyDescent="0.25">
      <c r="A30" s="102" t="s">
        <v>124</v>
      </c>
      <c r="B30" s="98" t="s">
        <v>126</v>
      </c>
      <c r="C30" s="101">
        <v>3</v>
      </c>
      <c r="E30" s="144"/>
      <c r="F30" s="144" t="s">
        <v>215</v>
      </c>
      <c r="G30" s="144" t="s">
        <v>194</v>
      </c>
      <c r="H30" s="144">
        <v>6</v>
      </c>
      <c r="I30" s="144">
        <v>30</v>
      </c>
      <c r="J30" s="145">
        <v>180</v>
      </c>
    </row>
    <row r="31" spans="1:10" x14ac:dyDescent="0.25">
      <c r="A31" s="102" t="s">
        <v>124</v>
      </c>
      <c r="B31" s="98" t="s">
        <v>127</v>
      </c>
      <c r="C31" s="101">
        <v>3</v>
      </c>
      <c r="E31" s="144"/>
      <c r="F31" s="144" t="s">
        <v>216</v>
      </c>
      <c r="G31" s="144" t="s">
        <v>194</v>
      </c>
      <c r="H31" s="144">
        <v>6</v>
      </c>
      <c r="I31" s="144">
        <v>30</v>
      </c>
      <c r="J31" s="145">
        <v>180</v>
      </c>
    </row>
    <row r="32" spans="1:10" x14ac:dyDescent="0.25">
      <c r="A32" s="102" t="s">
        <v>124</v>
      </c>
      <c r="B32" s="98" t="s">
        <v>128</v>
      </c>
      <c r="C32" s="101">
        <v>3</v>
      </c>
      <c r="E32" s="144"/>
      <c r="F32" s="144" t="s">
        <v>217</v>
      </c>
      <c r="G32" s="144" t="s">
        <v>194</v>
      </c>
      <c r="H32" s="144">
        <v>2</v>
      </c>
      <c r="I32" s="144">
        <v>30</v>
      </c>
      <c r="J32" s="145">
        <v>60</v>
      </c>
    </row>
    <row r="33" spans="1:10" x14ac:dyDescent="0.25">
      <c r="A33" s="102" t="s">
        <v>124</v>
      </c>
      <c r="B33" s="98" t="s">
        <v>129</v>
      </c>
      <c r="C33" s="101">
        <v>3</v>
      </c>
      <c r="E33" s="144"/>
      <c r="F33" s="144" t="s">
        <v>218</v>
      </c>
      <c r="G33" s="144"/>
      <c r="H33" s="144"/>
      <c r="I33" s="144"/>
      <c r="J33" s="145">
        <v>100</v>
      </c>
    </row>
    <row r="34" spans="1:10" x14ac:dyDescent="0.25">
      <c r="A34" s="102" t="s">
        <v>130</v>
      </c>
      <c r="B34" s="98" t="s">
        <v>131</v>
      </c>
      <c r="C34" s="101">
        <v>5</v>
      </c>
      <c r="E34" s="144"/>
      <c r="F34" s="144" t="s">
        <v>219</v>
      </c>
      <c r="G34" s="144" t="s">
        <v>220</v>
      </c>
      <c r="H34" s="146">
        <v>0.03</v>
      </c>
      <c r="I34" s="144"/>
      <c r="J34" s="145">
        <v>572.61</v>
      </c>
    </row>
    <row r="35" spans="1:10" x14ac:dyDescent="0.25">
      <c r="A35" s="102" t="s">
        <v>130</v>
      </c>
      <c r="B35" s="98" t="s">
        <v>132</v>
      </c>
      <c r="C35" s="101">
        <v>5</v>
      </c>
      <c r="E35" s="144"/>
      <c r="F35" s="144" t="s">
        <v>221</v>
      </c>
      <c r="G35" s="144" t="s">
        <v>220</v>
      </c>
      <c r="H35" s="146">
        <v>0.15</v>
      </c>
      <c r="I35" s="144"/>
      <c r="J35" s="145">
        <v>2948.93</v>
      </c>
    </row>
    <row r="36" spans="1:10" x14ac:dyDescent="0.25">
      <c r="A36" s="102" t="s">
        <v>130</v>
      </c>
      <c r="B36" s="98" t="s">
        <v>133</v>
      </c>
      <c r="C36" s="101">
        <v>5</v>
      </c>
      <c r="E36" s="144"/>
      <c r="F36" s="144"/>
      <c r="G36" s="144"/>
      <c r="H36" s="144"/>
      <c r="I36" s="144"/>
      <c r="J36" s="145"/>
    </row>
    <row r="37" spans="1:10" x14ac:dyDescent="0.25">
      <c r="A37" s="102" t="s">
        <v>105</v>
      </c>
      <c r="B37" s="98" t="s">
        <v>106</v>
      </c>
      <c r="C37" s="101">
        <v>5</v>
      </c>
      <c r="E37" s="144"/>
      <c r="F37" s="144" t="s">
        <v>222</v>
      </c>
      <c r="G37" s="144"/>
      <c r="H37" s="144"/>
      <c r="I37" s="144"/>
      <c r="J37" s="145">
        <v>22608.43</v>
      </c>
    </row>
    <row r="38" spans="1:10" x14ac:dyDescent="0.25">
      <c r="A38" s="102" t="s">
        <v>105</v>
      </c>
      <c r="B38" s="98" t="s">
        <v>134</v>
      </c>
      <c r="C38" s="101">
        <v>3</v>
      </c>
      <c r="E38" s="144"/>
      <c r="F38" s="144" t="s">
        <v>223</v>
      </c>
      <c r="G38" s="144" t="s">
        <v>220</v>
      </c>
      <c r="H38" s="146">
        <v>0.21</v>
      </c>
      <c r="I38" s="144"/>
      <c r="J38" s="145">
        <v>4747.7700000000004</v>
      </c>
    </row>
    <row r="39" spans="1:10" x14ac:dyDescent="0.25">
      <c r="A39" s="102" t="s">
        <v>105</v>
      </c>
      <c r="B39" s="98" t="s">
        <v>107</v>
      </c>
      <c r="C39" s="101">
        <v>3</v>
      </c>
      <c r="E39" s="104"/>
      <c r="F39" s="105" t="s">
        <v>224</v>
      </c>
      <c r="G39" s="105"/>
      <c r="H39" s="105"/>
      <c r="I39" s="105"/>
      <c r="J39" s="108">
        <v>27356.2</v>
      </c>
    </row>
    <row r="40" spans="1:10" x14ac:dyDescent="0.25">
      <c r="A40" s="102" t="s">
        <v>105</v>
      </c>
      <c r="B40" s="98" t="s">
        <v>108</v>
      </c>
      <c r="C40" s="101">
        <v>4</v>
      </c>
      <c r="E40" s="104"/>
      <c r="F40" s="104" t="s">
        <v>225</v>
      </c>
      <c r="G40" s="104"/>
      <c r="H40" s="104"/>
      <c r="I40" s="104"/>
      <c r="J40" s="107">
        <v>168.87</v>
      </c>
    </row>
    <row r="41" spans="1:10" ht="25.5" x14ac:dyDescent="0.25">
      <c r="A41" s="102" t="s">
        <v>105</v>
      </c>
      <c r="B41" s="98" t="s">
        <v>140</v>
      </c>
      <c r="C41" s="101">
        <v>5</v>
      </c>
    </row>
    <row r="42" spans="1:10" x14ac:dyDescent="0.25">
      <c r="A42" s="102" t="s">
        <v>105</v>
      </c>
      <c r="B42" s="98" t="s">
        <v>109</v>
      </c>
      <c r="C42" s="101">
        <v>4</v>
      </c>
      <c r="E42" s="446"/>
    </row>
    <row r="43" spans="1:10" x14ac:dyDescent="0.25">
      <c r="A43" s="102" t="s">
        <v>105</v>
      </c>
      <c r="B43" s="98" t="s">
        <v>110</v>
      </c>
      <c r="C43" s="447">
        <v>4</v>
      </c>
      <c r="E43" s="446"/>
    </row>
    <row r="44" spans="1:10" x14ac:dyDescent="0.25">
      <c r="A44" s="102" t="s">
        <v>105</v>
      </c>
      <c r="B44" s="106" t="s">
        <v>135</v>
      </c>
      <c r="C44" s="101">
        <v>3</v>
      </c>
      <c r="E44" s="446"/>
    </row>
    <row r="45" spans="1:10" x14ac:dyDescent="0.25">
      <c r="A45" s="102" t="s">
        <v>136</v>
      </c>
      <c r="B45" s="98" t="s">
        <v>137</v>
      </c>
      <c r="C45" s="101">
        <v>3</v>
      </c>
      <c r="E45" s="448"/>
    </row>
    <row r="46" spans="1:10" x14ac:dyDescent="0.25">
      <c r="A46" s="102" t="s">
        <v>136</v>
      </c>
      <c r="B46" s="98" t="s">
        <v>138</v>
      </c>
      <c r="C46" s="101">
        <v>3</v>
      </c>
      <c r="E46" s="100"/>
    </row>
    <row r="47" spans="1:10" x14ac:dyDescent="0.25">
      <c r="A47" s="102" t="s">
        <v>136</v>
      </c>
      <c r="B47" s="98" t="s">
        <v>141</v>
      </c>
      <c r="C47" s="101">
        <v>5</v>
      </c>
    </row>
    <row r="49" spans="1:1" x14ac:dyDescent="0.25">
      <c r="A49" s="449"/>
    </row>
    <row r="50" spans="1:1" x14ac:dyDescent="0.25">
      <c r="A50" s="449"/>
    </row>
    <row r="51" spans="1:1" x14ac:dyDescent="0.25">
      <c r="A51" s="449"/>
    </row>
    <row r="52" spans="1:1" x14ac:dyDescent="0.25">
      <c r="A52" s="449"/>
    </row>
    <row r="53" spans="1:1" x14ac:dyDescent="0.25">
      <c r="A53" s="449"/>
    </row>
    <row r="54" spans="1:1" x14ac:dyDescent="0.25">
      <c r="A54" s="450"/>
    </row>
    <row r="55" spans="1:1" x14ac:dyDescent="0.25">
      <c r="A55" s="449"/>
    </row>
  </sheetData>
  <mergeCells count="4">
    <mergeCell ref="A5:J5"/>
    <mergeCell ref="A3:J3"/>
    <mergeCell ref="A2:J2"/>
    <mergeCell ref="A1:J1"/>
  </mergeCells>
  <pageMargins left="0.7" right="0.7" top="0.75" bottom="0.75" header="0.3" footer="0.3"/>
  <pageSetup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6"/>
  <sheetViews>
    <sheetView zoomScale="90" zoomScaleNormal="90" workbookViewId="0">
      <selection activeCell="H11" sqref="H11"/>
    </sheetView>
  </sheetViews>
  <sheetFormatPr defaultColWidth="8.7109375" defaultRowHeight="15" x14ac:dyDescent="0.25"/>
  <cols>
    <col min="1" max="1" width="16.42578125" style="83" customWidth="1"/>
    <col min="2" max="2" width="13.85546875" style="83" customWidth="1"/>
    <col min="3" max="3" width="13.28515625" style="83" customWidth="1"/>
    <col min="4" max="4" width="22" style="83" customWidth="1"/>
    <col min="5" max="5" width="18" style="83" customWidth="1"/>
    <col min="6" max="6" width="22.42578125" style="83" customWidth="1"/>
    <col min="7" max="7" width="21.85546875" style="83" customWidth="1"/>
    <col min="8" max="8" width="21.7109375" style="83" customWidth="1"/>
    <col min="9" max="9" width="39.85546875" style="83" customWidth="1"/>
    <col min="10" max="10" width="10.7109375" style="83" customWidth="1"/>
    <col min="11" max="11" width="14.7109375" style="83" customWidth="1"/>
    <col min="12" max="12" width="15.85546875" style="83" customWidth="1"/>
    <col min="13" max="13" width="20" style="83" customWidth="1"/>
    <col min="14" max="14" width="16.5703125" style="83" customWidth="1"/>
    <col min="15" max="15" width="16.85546875" style="83" customWidth="1"/>
    <col min="16" max="16384" width="8.7109375" style="83"/>
  </cols>
  <sheetData>
    <row r="1" spans="1:12" ht="64.5" customHeight="1" x14ac:dyDescent="0.25">
      <c r="A1" s="557" t="s">
        <v>339</v>
      </c>
      <c r="B1" s="557"/>
      <c r="C1" s="557"/>
      <c r="D1" s="557"/>
      <c r="E1" s="557"/>
      <c r="F1" s="557"/>
      <c r="G1" s="557"/>
      <c r="H1" s="557"/>
      <c r="I1" s="231" t="s">
        <v>449</v>
      </c>
    </row>
    <row r="2" spans="1:12" ht="15" customHeight="1" x14ac:dyDescent="0.25">
      <c r="A2" s="570" t="s">
        <v>266</v>
      </c>
      <c r="B2" s="570"/>
      <c r="C2" s="570"/>
      <c r="D2" s="570"/>
      <c r="E2" s="570"/>
      <c r="F2" s="570"/>
      <c r="G2" s="570"/>
      <c r="H2" s="570"/>
      <c r="I2" s="113"/>
      <c r="J2" s="113"/>
      <c r="K2" s="113"/>
      <c r="L2" s="113"/>
    </row>
    <row r="3" spans="1:12" x14ac:dyDescent="0.25">
      <c r="A3" s="76" t="s">
        <v>54</v>
      </c>
      <c r="B3" s="110"/>
      <c r="C3" s="110"/>
      <c r="D3" s="110"/>
      <c r="E3" s="110"/>
      <c r="F3" s="110"/>
      <c r="G3" s="110"/>
      <c r="H3" s="110"/>
      <c r="I3" s="110"/>
      <c r="J3" s="111"/>
      <c r="K3" s="109"/>
      <c r="L3" s="109"/>
    </row>
    <row r="4" spans="1:12" x14ac:dyDescent="0.25">
      <c r="A4" s="95" t="s">
        <v>245</v>
      </c>
      <c r="B4" s="110"/>
      <c r="C4" s="110"/>
      <c r="D4" s="110"/>
      <c r="E4" s="110"/>
      <c r="F4" s="110"/>
      <c r="G4" s="110"/>
      <c r="H4" s="110"/>
      <c r="I4" s="110"/>
      <c r="J4" s="111"/>
      <c r="K4" s="109"/>
      <c r="L4" s="109"/>
    </row>
    <row r="5" spans="1:12" s="57" customFormat="1" ht="15.75" x14ac:dyDescent="0.25">
      <c r="A5" s="73" t="s">
        <v>264</v>
      </c>
      <c r="B5" s="71"/>
      <c r="C5" s="71"/>
      <c r="D5" s="71"/>
      <c r="E5" s="71"/>
      <c r="F5" s="75"/>
      <c r="G5" s="75"/>
      <c r="H5" s="70"/>
      <c r="I5" s="67"/>
      <c r="J5" s="67"/>
    </row>
    <row r="7" spans="1:12" x14ac:dyDescent="0.25">
      <c r="A7" s="83" t="s">
        <v>369</v>
      </c>
    </row>
    <row r="8" spans="1:12" x14ac:dyDescent="0.25">
      <c r="A8" s="45" t="s">
        <v>359</v>
      </c>
    </row>
    <row r="9" spans="1:12" s="196" customFormat="1" ht="74.25" customHeight="1" x14ac:dyDescent="0.25">
      <c r="A9" s="158" t="s">
        <v>226</v>
      </c>
      <c r="B9" s="158" t="s">
        <v>227</v>
      </c>
      <c r="C9" s="158" t="s">
        <v>113</v>
      </c>
      <c r="D9" s="158" t="s">
        <v>228</v>
      </c>
      <c r="E9" s="158" t="s">
        <v>390</v>
      </c>
      <c r="F9" s="219" t="s">
        <v>412</v>
      </c>
      <c r="G9" s="158" t="s">
        <v>368</v>
      </c>
      <c r="H9" s="158" t="s">
        <v>392</v>
      </c>
    </row>
    <row r="10" spans="1:12" s="84" customFormat="1" x14ac:dyDescent="0.25">
      <c r="A10" s="160" t="s">
        <v>112</v>
      </c>
      <c r="B10" s="159">
        <v>336602</v>
      </c>
      <c r="C10" s="159">
        <f>B10/10</f>
        <v>33660.199999999997</v>
      </c>
      <c r="D10" s="159">
        <f>C10*0.2</f>
        <v>6732.04</v>
      </c>
      <c r="E10" s="159">
        <f>D10*4</f>
        <v>26928.16</v>
      </c>
      <c r="F10" s="159">
        <f>C10*12*4</f>
        <v>1615689.5999999999</v>
      </c>
      <c r="G10" s="159">
        <f>E10*11</f>
        <v>296209.76</v>
      </c>
      <c r="H10" s="159">
        <f>ROUND(E10*12,0)</f>
        <v>323138</v>
      </c>
    </row>
    <row r="11" spans="1:12" s="84" customFormat="1" x14ac:dyDescent="0.25">
      <c r="A11" s="225" t="s">
        <v>111</v>
      </c>
      <c r="B11" s="159">
        <v>25256</v>
      </c>
      <c r="C11" s="159">
        <f>B11/10</f>
        <v>2525.6</v>
      </c>
      <c r="D11" s="159">
        <f>C11*0.2</f>
        <v>505.12</v>
      </c>
      <c r="E11" s="159">
        <f>D11*4</f>
        <v>2020.48</v>
      </c>
      <c r="F11" s="159">
        <f>C11*12*4</f>
        <v>121228.79999999999</v>
      </c>
      <c r="G11" s="159">
        <f>E11*11</f>
        <v>22225.279999999999</v>
      </c>
      <c r="H11" s="159">
        <f>ROUND(E11*12,0)</f>
        <v>24246</v>
      </c>
    </row>
    <row r="12" spans="1:12" s="84" customFormat="1" x14ac:dyDescent="0.25">
      <c r="B12" s="197"/>
      <c r="C12" s="197"/>
      <c r="D12" s="197"/>
      <c r="E12" s="197"/>
      <c r="F12" s="161">
        <f>SUM(F10:F11)</f>
        <v>1736918.4</v>
      </c>
      <c r="G12" s="112">
        <f>ROUND(SUM(G10:G11),0)</f>
        <v>318435</v>
      </c>
      <c r="H12" s="112">
        <f>ROUND(SUM(H10:H11),0)</f>
        <v>347384</v>
      </c>
    </row>
    <row r="13" spans="1:12" x14ac:dyDescent="0.25">
      <c r="A13" s="157" t="s">
        <v>391</v>
      </c>
    </row>
    <row r="16" spans="1:12" x14ac:dyDescent="0.25">
      <c r="A16" s="224"/>
    </row>
  </sheetData>
  <mergeCells count="2">
    <mergeCell ref="A1:H1"/>
    <mergeCell ref="A2:H2"/>
  </mergeCells>
  <pageMargins left="0.7" right="0.7" top="0.75" bottom="0.75" header="0.3" footer="0.3"/>
  <pageSetup paperSize="9" scale="6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
  <sheetViews>
    <sheetView tabSelected="1" zoomScale="110" zoomScaleNormal="110" workbookViewId="0">
      <selection activeCell="D6" sqref="D6"/>
    </sheetView>
  </sheetViews>
  <sheetFormatPr defaultColWidth="8.7109375" defaultRowHeight="15" x14ac:dyDescent="0.25"/>
  <cols>
    <col min="1" max="1" width="21.28515625" style="83" customWidth="1"/>
    <col min="2" max="2" width="19.85546875" style="83" customWidth="1"/>
    <col min="3" max="3" width="17.5703125" style="83" customWidth="1"/>
    <col min="4" max="4" width="17.7109375" style="83" customWidth="1"/>
    <col min="5" max="8" width="8.7109375" style="83"/>
    <col min="9" max="9" width="16" style="83" customWidth="1"/>
    <col min="10" max="10" width="36.140625" style="83" customWidth="1"/>
    <col min="11" max="16384" width="8.7109375" style="83"/>
  </cols>
  <sheetData>
    <row r="1" spans="1:12" ht="66.75" customHeight="1" x14ac:dyDescent="0.3">
      <c r="A1" s="557" t="s">
        <v>339</v>
      </c>
      <c r="B1" s="557"/>
      <c r="C1" s="557"/>
      <c r="D1" s="557"/>
      <c r="E1" s="557"/>
      <c r="F1" s="557"/>
      <c r="G1" s="557"/>
      <c r="H1" s="557"/>
      <c r="I1" s="557"/>
      <c r="J1" s="231" t="s">
        <v>450</v>
      </c>
      <c r="K1" s="143"/>
      <c r="L1" s="143"/>
    </row>
    <row r="2" spans="1:12" ht="30.75" customHeight="1" x14ac:dyDescent="0.25">
      <c r="A2" s="572" t="s">
        <v>267</v>
      </c>
      <c r="B2" s="572"/>
      <c r="C2" s="572"/>
      <c r="D2" s="572"/>
      <c r="E2" s="572"/>
      <c r="F2" s="572"/>
      <c r="G2" s="572"/>
      <c r="H2" s="572"/>
      <c r="I2" s="572"/>
      <c r="J2" s="142"/>
      <c r="K2" s="142"/>
      <c r="L2" s="142"/>
    </row>
    <row r="3" spans="1:12" s="89" customFormat="1" x14ac:dyDescent="0.25">
      <c r="A3" s="115" t="s">
        <v>260</v>
      </c>
      <c r="B3" s="96"/>
      <c r="C3" s="96"/>
      <c r="D3" s="96"/>
      <c r="E3" s="96"/>
      <c r="F3" s="96"/>
      <c r="G3" s="96"/>
      <c r="H3" s="96"/>
      <c r="I3" s="96"/>
      <c r="J3" s="96"/>
      <c r="K3" s="96"/>
      <c r="L3" s="96"/>
    </row>
    <row r="4" spans="1:12" x14ac:dyDescent="0.25">
      <c r="A4" s="45"/>
    </row>
    <row r="5" spans="1:12" ht="28.5" x14ac:dyDescent="0.25">
      <c r="A5" s="61" t="s">
        <v>179</v>
      </c>
      <c r="B5" s="61" t="s">
        <v>114</v>
      </c>
      <c r="C5" s="63" t="s">
        <v>256</v>
      </c>
      <c r="D5" s="63" t="s">
        <v>257</v>
      </c>
      <c r="E5" s="571" t="s">
        <v>236</v>
      </c>
      <c r="F5" s="553"/>
      <c r="G5" s="553"/>
      <c r="H5" s="553"/>
      <c r="I5" s="554"/>
    </row>
    <row r="6" spans="1:12" ht="89.45" customHeight="1" x14ac:dyDescent="0.25">
      <c r="A6" s="85" t="s">
        <v>186</v>
      </c>
      <c r="B6" s="86" t="s">
        <v>304</v>
      </c>
      <c r="C6" s="114">
        <v>18000</v>
      </c>
      <c r="D6" s="114">
        <v>21780</v>
      </c>
      <c r="E6" s="555" t="s">
        <v>389</v>
      </c>
      <c r="F6" s="555"/>
      <c r="G6" s="555"/>
      <c r="H6" s="555"/>
      <c r="I6" s="556"/>
    </row>
  </sheetData>
  <mergeCells count="4">
    <mergeCell ref="E5:I5"/>
    <mergeCell ref="E6:I6"/>
    <mergeCell ref="A1:I1"/>
    <mergeCell ref="A2:I2"/>
  </mergeCells>
  <pageMargins left="0.7" right="0.7" top="0.75" bottom="0.75" header="0.3" footer="0.3"/>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1"/>
  <sheetViews>
    <sheetView zoomScale="80" zoomScaleNormal="80" workbookViewId="0">
      <selection activeCell="U20" sqref="U20"/>
    </sheetView>
  </sheetViews>
  <sheetFormatPr defaultColWidth="8.7109375" defaultRowHeight="15" x14ac:dyDescent="0.25"/>
  <cols>
    <col min="1" max="1" width="11.7109375" style="246" customWidth="1"/>
    <col min="2" max="2" width="41" style="246" customWidth="1"/>
    <col min="3" max="3" width="18.85546875" style="246" customWidth="1"/>
    <col min="4" max="4" width="29.42578125" style="246" bestFit="1" customWidth="1"/>
    <col min="5" max="5" width="11.140625" style="246" customWidth="1"/>
    <col min="6" max="6" width="11.5703125" style="246" customWidth="1"/>
    <col min="7" max="7" width="17.140625" style="246" customWidth="1"/>
    <col min="8" max="8" width="11" style="246" customWidth="1"/>
    <col min="9" max="9" width="11.42578125" style="246" customWidth="1"/>
    <col min="10" max="10" width="12.42578125" style="246" customWidth="1"/>
    <col min="11" max="11" width="9" style="246" bestFit="1" customWidth="1"/>
    <col min="12" max="12" width="12.5703125" style="246" customWidth="1"/>
    <col min="13" max="13" width="10.28515625" style="246" customWidth="1"/>
    <col min="14" max="14" width="9" style="246" customWidth="1"/>
    <col min="15" max="15" width="10.7109375" style="246" customWidth="1"/>
    <col min="16" max="16" width="9" style="246" customWidth="1"/>
    <col min="17" max="17" width="13.85546875" style="246" customWidth="1"/>
    <col min="18" max="19" width="14.140625" style="246" customWidth="1"/>
    <col min="20" max="20" width="16.7109375" style="246" customWidth="1"/>
    <col min="21" max="21" width="17.140625" style="246" customWidth="1"/>
    <col min="22" max="22" width="17.28515625" style="246" customWidth="1"/>
    <col min="23" max="23" width="13.42578125" style="246" customWidth="1"/>
    <col min="24" max="24" width="33" style="246" customWidth="1"/>
    <col min="25" max="16384" width="8.7109375" style="246"/>
  </cols>
  <sheetData>
    <row r="1" spans="1:22" ht="54" customHeight="1" x14ac:dyDescent="0.25">
      <c r="A1" s="501" t="s">
        <v>339</v>
      </c>
      <c r="B1" s="501"/>
      <c r="C1" s="501"/>
      <c r="D1" s="501"/>
      <c r="E1" s="501"/>
      <c r="F1" s="501"/>
      <c r="G1" s="501"/>
      <c r="H1" s="501"/>
      <c r="I1" s="501"/>
      <c r="J1" s="501"/>
      <c r="K1" s="501"/>
      <c r="L1" s="501"/>
      <c r="M1" s="501"/>
      <c r="N1" s="501"/>
      <c r="O1" s="501"/>
      <c r="P1" s="501"/>
      <c r="Q1" s="501"/>
      <c r="R1" s="501"/>
      <c r="S1" s="501"/>
      <c r="T1" s="502" t="s">
        <v>438</v>
      </c>
      <c r="U1" s="502"/>
      <c r="V1" s="502"/>
    </row>
    <row r="2" spans="1:22" ht="15" customHeight="1" x14ac:dyDescent="0.25">
      <c r="A2" s="247"/>
      <c r="B2" s="496" t="s">
        <v>262</v>
      </c>
      <c r="C2" s="496"/>
      <c r="D2" s="496"/>
      <c r="E2" s="496"/>
      <c r="F2" s="496"/>
      <c r="G2" s="496"/>
      <c r="H2" s="496"/>
      <c r="I2" s="496"/>
      <c r="J2" s="496"/>
      <c r="K2" s="496"/>
      <c r="L2" s="496"/>
      <c r="M2" s="496"/>
      <c r="N2" s="496"/>
      <c r="O2" s="496"/>
      <c r="P2" s="248"/>
      <c r="Q2" s="249"/>
      <c r="R2" s="249"/>
      <c r="S2" s="249"/>
      <c r="T2" s="249"/>
      <c r="U2" s="249"/>
      <c r="V2" s="249"/>
    </row>
    <row r="3" spans="1:22" ht="15.75" x14ac:dyDescent="0.25">
      <c r="A3" s="247"/>
      <c r="B3" s="496"/>
      <c r="C3" s="496"/>
      <c r="D3" s="496"/>
      <c r="E3" s="496"/>
      <c r="F3" s="496"/>
      <c r="G3" s="496"/>
      <c r="H3" s="496"/>
      <c r="I3" s="496"/>
      <c r="J3" s="496"/>
      <c r="K3" s="496"/>
      <c r="L3" s="496"/>
      <c r="M3" s="496"/>
      <c r="N3" s="496"/>
      <c r="O3" s="496"/>
      <c r="P3" s="248"/>
      <c r="Q3" s="249"/>
      <c r="R3" s="249"/>
      <c r="S3" s="249"/>
      <c r="T3" s="249"/>
      <c r="U3" s="249"/>
      <c r="V3" s="249"/>
    </row>
    <row r="4" spans="1:22" ht="15.75" x14ac:dyDescent="0.25">
      <c r="A4" s="247"/>
      <c r="B4" s="496"/>
      <c r="C4" s="496"/>
      <c r="D4" s="496"/>
      <c r="E4" s="496"/>
      <c r="F4" s="496"/>
      <c r="G4" s="496"/>
      <c r="H4" s="496"/>
      <c r="I4" s="496"/>
      <c r="J4" s="496"/>
      <c r="K4" s="496"/>
      <c r="L4" s="496"/>
      <c r="M4" s="496"/>
      <c r="N4" s="496"/>
      <c r="O4" s="496"/>
      <c r="P4" s="248"/>
      <c r="Q4" s="249"/>
      <c r="R4" s="249"/>
      <c r="S4" s="249"/>
      <c r="T4" s="249"/>
      <c r="U4" s="249"/>
      <c r="V4" s="249"/>
    </row>
    <row r="5" spans="1:22" s="250" customFormat="1" ht="15.75" x14ac:dyDescent="0.25">
      <c r="B5" s="82" t="s">
        <v>54</v>
      </c>
      <c r="C5" s="82"/>
      <c r="D5" s="80"/>
      <c r="E5" s="80"/>
      <c r="F5" s="80"/>
      <c r="G5" s="80"/>
      <c r="H5" s="251"/>
      <c r="I5" s="251"/>
      <c r="J5" s="251"/>
    </row>
    <row r="6" spans="1:22" s="250" customFormat="1" ht="15.75" x14ac:dyDescent="0.25">
      <c r="B6" s="97" t="s">
        <v>245</v>
      </c>
      <c r="C6" s="97"/>
      <c r="D6" s="81"/>
      <c r="E6" s="81"/>
      <c r="F6" s="81"/>
      <c r="G6" s="81"/>
      <c r="H6" s="251"/>
      <c r="I6" s="251"/>
      <c r="J6" s="251"/>
    </row>
    <row r="7" spans="1:22" s="252" customFormat="1" ht="15.75" x14ac:dyDescent="0.25">
      <c r="B7" s="253"/>
      <c r="C7" s="253"/>
      <c r="D7" s="78"/>
      <c r="E7" s="78"/>
      <c r="F7" s="78"/>
      <c r="G7" s="78"/>
      <c r="H7" s="254"/>
      <c r="I7" s="254"/>
      <c r="J7" s="254"/>
    </row>
    <row r="8" spans="1:22" x14ac:dyDescent="0.25">
      <c r="A8" s="255"/>
      <c r="B8" s="195"/>
      <c r="C8" s="195"/>
      <c r="D8" s="255"/>
      <c r="E8" s="497" t="s">
        <v>229</v>
      </c>
      <c r="F8" s="497"/>
      <c r="G8" s="256"/>
      <c r="H8" s="64">
        <v>1862</v>
      </c>
      <c r="I8" s="64">
        <v>945</v>
      </c>
      <c r="J8" s="64">
        <v>405</v>
      </c>
      <c r="K8" s="64">
        <v>1117</v>
      </c>
      <c r="L8" s="64">
        <v>243</v>
      </c>
      <c r="M8" s="64"/>
      <c r="N8" s="64"/>
      <c r="O8" s="64">
        <v>0.2359</v>
      </c>
      <c r="P8" s="64"/>
      <c r="Q8" s="64"/>
      <c r="R8" s="64"/>
      <c r="S8" s="64"/>
      <c r="T8" s="64"/>
      <c r="U8" s="64"/>
    </row>
    <row r="9" spans="1:22" ht="75" x14ac:dyDescent="0.25">
      <c r="A9" s="257" t="s">
        <v>7</v>
      </c>
      <c r="B9" s="257" t="s">
        <v>0</v>
      </c>
      <c r="C9" s="257" t="s">
        <v>453</v>
      </c>
      <c r="D9" s="257" t="s">
        <v>1</v>
      </c>
      <c r="E9" s="257" t="s">
        <v>142</v>
      </c>
      <c r="F9" s="257" t="s">
        <v>60</v>
      </c>
      <c r="G9" s="258" t="s">
        <v>230</v>
      </c>
      <c r="H9" s="258" t="s">
        <v>231</v>
      </c>
      <c r="I9" s="258" t="s">
        <v>344</v>
      </c>
      <c r="J9" s="258" t="s">
        <v>232</v>
      </c>
      <c r="K9" s="258" t="s">
        <v>233</v>
      </c>
      <c r="L9" s="258" t="s">
        <v>234</v>
      </c>
      <c r="M9" s="258" t="s">
        <v>454</v>
      </c>
      <c r="N9" s="258" t="s">
        <v>370</v>
      </c>
      <c r="O9" s="258" t="s">
        <v>455</v>
      </c>
      <c r="P9" s="258" t="s">
        <v>371</v>
      </c>
      <c r="Q9" s="258" t="s">
        <v>263</v>
      </c>
      <c r="R9" s="258" t="s">
        <v>235</v>
      </c>
      <c r="S9" s="258" t="s">
        <v>456</v>
      </c>
      <c r="T9" s="257" t="s">
        <v>457</v>
      </c>
      <c r="U9" s="257" t="s">
        <v>413</v>
      </c>
      <c r="V9" s="259" t="s">
        <v>423</v>
      </c>
    </row>
    <row r="10" spans="1:22" ht="30" customHeight="1" x14ac:dyDescent="0.25">
      <c r="A10" s="260">
        <v>50012101</v>
      </c>
      <c r="B10" s="153" t="s">
        <v>2</v>
      </c>
      <c r="C10" s="503" t="s">
        <v>451</v>
      </c>
      <c r="D10" s="153" t="s">
        <v>149</v>
      </c>
      <c r="E10" s="153">
        <v>1</v>
      </c>
      <c r="F10" s="261">
        <v>1</v>
      </c>
      <c r="G10" s="153">
        <v>11</v>
      </c>
      <c r="H10" s="153">
        <f>F10*G10*$H$8</f>
        <v>20482</v>
      </c>
      <c r="I10" s="262"/>
      <c r="J10" s="262">
        <f>F10*G10*$J$8</f>
        <v>4455</v>
      </c>
      <c r="K10" s="262"/>
      <c r="L10" s="262"/>
      <c r="M10" s="262">
        <f t="shared" ref="M10:M19" si="0">H10+I10+J10+K10+L10</f>
        <v>24937</v>
      </c>
      <c r="N10" s="262">
        <f>M10/G10</f>
        <v>2267</v>
      </c>
      <c r="O10" s="262">
        <f t="shared" ref="O10:O19" si="1">M10*$O$8</f>
        <v>5882.6382999999996</v>
      </c>
      <c r="P10" s="262">
        <f>N10*$O$8</f>
        <v>534.78530000000001</v>
      </c>
      <c r="Q10" s="262">
        <v>3416</v>
      </c>
      <c r="R10" s="262">
        <f t="shared" ref="R10:R19" si="2">ROUND(F10*Q10,2)</f>
        <v>3416</v>
      </c>
      <c r="S10" s="262">
        <f>R10/12*G10</f>
        <v>3131.3333333333335</v>
      </c>
      <c r="T10" s="262">
        <f>M10+O10+S10</f>
        <v>33950.971633333334</v>
      </c>
      <c r="U10" s="263">
        <f>M10+N10+O10+P10+R10</f>
        <v>37037.423600000002</v>
      </c>
      <c r="V10" s="498"/>
    </row>
    <row r="11" spans="1:22" x14ac:dyDescent="0.25">
      <c r="A11" s="260">
        <v>50012101</v>
      </c>
      <c r="B11" s="153" t="s">
        <v>2</v>
      </c>
      <c r="C11" s="504"/>
      <c r="D11" s="153" t="s">
        <v>144</v>
      </c>
      <c r="E11" s="153">
        <v>1</v>
      </c>
      <c r="F11" s="261">
        <v>1</v>
      </c>
      <c r="G11" s="153">
        <v>11</v>
      </c>
      <c r="H11" s="153">
        <f>F11*G11*$H$8</f>
        <v>20482</v>
      </c>
      <c r="I11" s="262">
        <f>F11*G11*$I$8</f>
        <v>10395</v>
      </c>
      <c r="J11" s="262"/>
      <c r="K11" s="262"/>
      <c r="L11" s="262"/>
      <c r="M11" s="262">
        <f t="shared" si="0"/>
        <v>30877</v>
      </c>
      <c r="N11" s="262">
        <f t="shared" ref="N11:N19" si="3">M11/G11</f>
        <v>2807</v>
      </c>
      <c r="O11" s="262">
        <f t="shared" si="1"/>
        <v>7283.8842999999997</v>
      </c>
      <c r="P11" s="262">
        <f t="shared" ref="P11:P19" si="4">N11*$O$8</f>
        <v>662.17129999999997</v>
      </c>
      <c r="Q11" s="262">
        <v>3416</v>
      </c>
      <c r="R11" s="262">
        <f t="shared" si="2"/>
        <v>3416</v>
      </c>
      <c r="S11" s="262">
        <f t="shared" ref="S11:S19" si="5">R11/12*G11</f>
        <v>3131.3333333333335</v>
      </c>
      <c r="T11" s="262">
        <f t="shared" ref="T11:T19" si="6">M11+O11+S11</f>
        <v>41292.217633333334</v>
      </c>
      <c r="U11" s="263">
        <f t="shared" ref="U11:U18" si="7">M11+N11+O11+P11+R11</f>
        <v>45046.0556</v>
      </c>
      <c r="V11" s="499"/>
    </row>
    <row r="12" spans="1:22" x14ac:dyDescent="0.25">
      <c r="A12" s="152">
        <v>10011804</v>
      </c>
      <c r="B12" s="264" t="s">
        <v>3</v>
      </c>
      <c r="C12" s="504"/>
      <c r="D12" s="153" t="s">
        <v>145</v>
      </c>
      <c r="E12" s="153"/>
      <c r="F12" s="261">
        <v>5</v>
      </c>
      <c r="G12" s="153">
        <v>11</v>
      </c>
      <c r="H12" s="153">
        <f>F12*G12*$H$8</f>
        <v>102410</v>
      </c>
      <c r="I12" s="262">
        <f>F12*G12*$I$8</f>
        <v>51975</v>
      </c>
      <c r="J12" s="262"/>
      <c r="K12" s="262"/>
      <c r="L12" s="262"/>
      <c r="M12" s="262">
        <f t="shared" si="0"/>
        <v>154385</v>
      </c>
      <c r="N12" s="262">
        <f t="shared" si="3"/>
        <v>14035</v>
      </c>
      <c r="O12" s="262">
        <f t="shared" si="1"/>
        <v>36419.421499999997</v>
      </c>
      <c r="P12" s="262">
        <f t="shared" si="4"/>
        <v>3310.8564999999999</v>
      </c>
      <c r="Q12" s="262">
        <v>4367</v>
      </c>
      <c r="R12" s="262">
        <f t="shared" si="2"/>
        <v>21835</v>
      </c>
      <c r="S12" s="262">
        <f t="shared" si="5"/>
        <v>20015.416666666664</v>
      </c>
      <c r="T12" s="262">
        <f t="shared" si="6"/>
        <v>210819.83816666665</v>
      </c>
      <c r="U12" s="263">
        <f t="shared" si="7"/>
        <v>229985.27799999999</v>
      </c>
      <c r="V12" s="499"/>
    </row>
    <row r="13" spans="1:22" x14ac:dyDescent="0.25">
      <c r="A13" s="260">
        <v>10012202</v>
      </c>
      <c r="B13" s="153" t="s">
        <v>4</v>
      </c>
      <c r="C13" s="504"/>
      <c r="D13" s="153" t="s">
        <v>145</v>
      </c>
      <c r="E13" s="153">
        <v>0</v>
      </c>
      <c r="F13" s="261">
        <v>1</v>
      </c>
      <c r="G13" s="153">
        <v>11</v>
      </c>
      <c r="H13" s="153">
        <f>F13*G13*$H$8</f>
        <v>20482</v>
      </c>
      <c r="I13" s="262">
        <f>F13*G13*$I$8</f>
        <v>10395</v>
      </c>
      <c r="J13" s="262"/>
      <c r="K13" s="262"/>
      <c r="L13" s="262"/>
      <c r="M13" s="262">
        <f t="shared" si="0"/>
        <v>30877</v>
      </c>
      <c r="N13" s="262">
        <f t="shared" si="3"/>
        <v>2807</v>
      </c>
      <c r="O13" s="262">
        <f t="shared" si="1"/>
        <v>7283.8842999999997</v>
      </c>
      <c r="P13" s="262">
        <f t="shared" si="4"/>
        <v>662.17129999999997</v>
      </c>
      <c r="Q13" s="262">
        <v>4367</v>
      </c>
      <c r="R13" s="262">
        <f t="shared" si="2"/>
        <v>4367</v>
      </c>
      <c r="S13" s="262">
        <f t="shared" si="5"/>
        <v>4003.0833333333335</v>
      </c>
      <c r="T13" s="262">
        <f t="shared" si="6"/>
        <v>42163.967633333334</v>
      </c>
      <c r="U13" s="263">
        <f t="shared" si="7"/>
        <v>45997.0556</v>
      </c>
      <c r="V13" s="499"/>
    </row>
    <row r="14" spans="1:22" x14ac:dyDescent="0.25">
      <c r="A14" s="260">
        <v>10012202</v>
      </c>
      <c r="B14" s="153" t="s">
        <v>4</v>
      </c>
      <c r="C14" s="504"/>
      <c r="D14" s="153" t="s">
        <v>146</v>
      </c>
      <c r="E14" s="153">
        <v>0</v>
      </c>
      <c r="F14" s="261">
        <v>1.5</v>
      </c>
      <c r="G14" s="153">
        <v>11</v>
      </c>
      <c r="H14" s="153">
        <f>F14*G14*$H$8</f>
        <v>30723</v>
      </c>
      <c r="I14" s="262">
        <f>F14*G14*$I$8</f>
        <v>15592.5</v>
      </c>
      <c r="J14" s="262"/>
      <c r="K14" s="262"/>
      <c r="L14" s="262"/>
      <c r="M14" s="262">
        <f t="shared" si="0"/>
        <v>46315.5</v>
      </c>
      <c r="N14" s="262">
        <f t="shared" si="3"/>
        <v>4210.5</v>
      </c>
      <c r="O14" s="262">
        <f t="shared" si="1"/>
        <v>10925.82645</v>
      </c>
      <c r="P14" s="262">
        <f t="shared" si="4"/>
        <v>993.25694999999996</v>
      </c>
      <c r="Q14" s="262">
        <v>3416</v>
      </c>
      <c r="R14" s="262">
        <f t="shared" si="2"/>
        <v>5124</v>
      </c>
      <c r="S14" s="262">
        <f t="shared" si="5"/>
        <v>4697</v>
      </c>
      <c r="T14" s="262">
        <f t="shared" si="6"/>
        <v>61938.32645</v>
      </c>
      <c r="U14" s="263">
        <f t="shared" si="7"/>
        <v>67569.083400000003</v>
      </c>
      <c r="V14" s="499"/>
    </row>
    <row r="15" spans="1:22" x14ac:dyDescent="0.25">
      <c r="A15" s="260">
        <v>10012202</v>
      </c>
      <c r="B15" s="153" t="s">
        <v>4</v>
      </c>
      <c r="C15" s="504"/>
      <c r="D15" s="153" t="s">
        <v>147</v>
      </c>
      <c r="E15" s="153">
        <v>0</v>
      </c>
      <c r="F15" s="261">
        <v>1</v>
      </c>
      <c r="G15" s="153">
        <v>11</v>
      </c>
      <c r="H15" s="153"/>
      <c r="I15" s="262"/>
      <c r="J15" s="262"/>
      <c r="K15" s="262">
        <f>F15*G15*$K$8</f>
        <v>12287</v>
      </c>
      <c r="L15" s="262">
        <f>F15*G15*$L$8</f>
        <v>2673</v>
      </c>
      <c r="M15" s="262">
        <f t="shared" si="0"/>
        <v>14960</v>
      </c>
      <c r="N15" s="262">
        <f t="shared" si="3"/>
        <v>1360</v>
      </c>
      <c r="O15" s="262">
        <f t="shared" si="1"/>
        <v>3529.0639999999999</v>
      </c>
      <c r="P15" s="262">
        <f t="shared" si="4"/>
        <v>320.82400000000001</v>
      </c>
      <c r="Q15" s="262">
        <v>3524</v>
      </c>
      <c r="R15" s="262">
        <f t="shared" si="2"/>
        <v>3524</v>
      </c>
      <c r="S15" s="262">
        <f t="shared" si="5"/>
        <v>3230.3333333333335</v>
      </c>
      <c r="T15" s="262">
        <f t="shared" si="6"/>
        <v>21719.397333333331</v>
      </c>
      <c r="U15" s="263">
        <f t="shared" si="7"/>
        <v>23693.887999999999</v>
      </c>
      <c r="V15" s="499"/>
    </row>
    <row r="16" spans="1:22" x14ac:dyDescent="0.25">
      <c r="A16" s="260">
        <v>941800004</v>
      </c>
      <c r="B16" s="264" t="s">
        <v>5</v>
      </c>
      <c r="C16" s="504"/>
      <c r="D16" s="153" t="s">
        <v>148</v>
      </c>
      <c r="E16" s="153">
        <v>1</v>
      </c>
      <c r="F16" s="261">
        <v>0.25</v>
      </c>
      <c r="G16" s="153">
        <v>11</v>
      </c>
      <c r="H16" s="153">
        <f>F16*G16*$H$8</f>
        <v>5120.5</v>
      </c>
      <c r="I16" s="262">
        <f>F16*G16*$I$8</f>
        <v>2598.75</v>
      </c>
      <c r="J16" s="262"/>
      <c r="K16" s="262"/>
      <c r="L16" s="262"/>
      <c r="M16" s="262">
        <f t="shared" si="0"/>
        <v>7719.25</v>
      </c>
      <c r="N16" s="262">
        <f t="shared" si="3"/>
        <v>701.75</v>
      </c>
      <c r="O16" s="262">
        <f t="shared" si="1"/>
        <v>1820.9710749999999</v>
      </c>
      <c r="P16" s="262">
        <f t="shared" si="4"/>
        <v>165.54282499999999</v>
      </c>
      <c r="Q16" s="262">
        <v>4367</v>
      </c>
      <c r="R16" s="262">
        <f t="shared" si="2"/>
        <v>1091.75</v>
      </c>
      <c r="S16" s="262">
        <f t="shared" si="5"/>
        <v>1000.7708333333334</v>
      </c>
      <c r="T16" s="262">
        <f t="shared" si="6"/>
        <v>10540.991908333333</v>
      </c>
      <c r="U16" s="263">
        <f t="shared" si="7"/>
        <v>11499.2639</v>
      </c>
      <c r="V16" s="499"/>
    </row>
    <row r="17" spans="1:22" x14ac:dyDescent="0.25">
      <c r="A17" s="260">
        <v>90012101</v>
      </c>
      <c r="B17" s="153" t="s">
        <v>6</v>
      </c>
      <c r="C17" s="504"/>
      <c r="D17" s="153" t="s">
        <v>111</v>
      </c>
      <c r="E17" s="153"/>
      <c r="F17" s="261">
        <v>0.5</v>
      </c>
      <c r="G17" s="153">
        <v>11</v>
      </c>
      <c r="H17" s="153">
        <f>F17*G17*$H$8</f>
        <v>10241</v>
      </c>
      <c r="I17" s="262">
        <f>F17*G17*$I$8</f>
        <v>5197.5</v>
      </c>
      <c r="J17" s="262"/>
      <c r="K17" s="262"/>
      <c r="L17" s="262"/>
      <c r="M17" s="262">
        <f t="shared" si="0"/>
        <v>15438.5</v>
      </c>
      <c r="N17" s="262">
        <f t="shared" si="3"/>
        <v>1403.5</v>
      </c>
      <c r="O17" s="262">
        <f t="shared" si="1"/>
        <v>3641.9421499999999</v>
      </c>
      <c r="P17" s="262">
        <f t="shared" si="4"/>
        <v>331.08564999999999</v>
      </c>
      <c r="Q17" s="262">
        <v>4367</v>
      </c>
      <c r="R17" s="262">
        <f t="shared" si="2"/>
        <v>2183.5</v>
      </c>
      <c r="S17" s="262">
        <f t="shared" si="5"/>
        <v>2001.5416666666667</v>
      </c>
      <c r="T17" s="262">
        <f t="shared" si="6"/>
        <v>21081.983816666667</v>
      </c>
      <c r="U17" s="263">
        <f t="shared" si="7"/>
        <v>22998.5278</v>
      </c>
      <c r="V17" s="499"/>
    </row>
    <row r="18" spans="1:22" x14ac:dyDescent="0.25">
      <c r="A18" s="260">
        <v>90012101</v>
      </c>
      <c r="B18" s="153" t="s">
        <v>6</v>
      </c>
      <c r="C18" s="505"/>
      <c r="D18" s="153" t="s">
        <v>112</v>
      </c>
      <c r="E18" s="153"/>
      <c r="F18" s="261">
        <v>0.5</v>
      </c>
      <c r="G18" s="153">
        <v>11</v>
      </c>
      <c r="H18" s="153">
        <f>F18*G18*$H$8</f>
        <v>10241</v>
      </c>
      <c r="I18" s="262">
        <f>F18*G18*$I$8</f>
        <v>5197.5</v>
      </c>
      <c r="J18" s="262"/>
      <c r="K18" s="262"/>
      <c r="L18" s="262"/>
      <c r="M18" s="262">
        <f t="shared" si="0"/>
        <v>15438.5</v>
      </c>
      <c r="N18" s="262">
        <f t="shared" si="3"/>
        <v>1403.5</v>
      </c>
      <c r="O18" s="262">
        <f t="shared" si="1"/>
        <v>3641.9421499999999</v>
      </c>
      <c r="P18" s="262">
        <f t="shared" si="4"/>
        <v>331.08564999999999</v>
      </c>
      <c r="Q18" s="262">
        <v>4367</v>
      </c>
      <c r="R18" s="262">
        <f t="shared" si="2"/>
        <v>2183.5</v>
      </c>
      <c r="S18" s="262">
        <f t="shared" si="5"/>
        <v>2001.5416666666667</v>
      </c>
      <c r="T18" s="262">
        <f t="shared" si="6"/>
        <v>21081.983816666667</v>
      </c>
      <c r="U18" s="263">
        <f t="shared" si="7"/>
        <v>22998.5278</v>
      </c>
      <c r="V18" s="499"/>
    </row>
    <row r="19" spans="1:22" ht="30" x14ac:dyDescent="0.25">
      <c r="A19" s="153"/>
      <c r="B19" s="153"/>
      <c r="C19" s="265" t="s">
        <v>452</v>
      </c>
      <c r="D19" s="153" t="s">
        <v>259</v>
      </c>
      <c r="E19" s="153">
        <v>10</v>
      </c>
      <c r="F19" s="261">
        <v>10</v>
      </c>
      <c r="G19" s="153">
        <v>10</v>
      </c>
      <c r="H19" s="153">
        <f>F19*G19*$H$8</f>
        <v>186200</v>
      </c>
      <c r="I19" s="262">
        <f>F19*G19*$I$8</f>
        <v>94500</v>
      </c>
      <c r="J19" s="262"/>
      <c r="K19" s="262"/>
      <c r="L19" s="262"/>
      <c r="M19" s="262">
        <f t="shared" si="0"/>
        <v>280700</v>
      </c>
      <c r="N19" s="262">
        <f t="shared" si="3"/>
        <v>28070</v>
      </c>
      <c r="O19" s="262">
        <f t="shared" si="1"/>
        <v>66217.13</v>
      </c>
      <c r="P19" s="262">
        <f t="shared" si="4"/>
        <v>6621.7129999999997</v>
      </c>
      <c r="Q19" s="262">
        <v>3416</v>
      </c>
      <c r="R19" s="262">
        <f t="shared" si="2"/>
        <v>34160</v>
      </c>
      <c r="S19" s="262">
        <f t="shared" si="5"/>
        <v>28466.666666666664</v>
      </c>
      <c r="T19" s="262">
        <f t="shared" si="6"/>
        <v>375383.79666666669</v>
      </c>
      <c r="U19" s="263">
        <f>M19+N19*2+O19+P19*2+R19</f>
        <v>450460.55599999998</v>
      </c>
      <c r="V19" s="499"/>
    </row>
    <row r="20" spans="1:22" ht="15.75" x14ac:dyDescent="0.25">
      <c r="A20" s="266"/>
      <c r="D20" s="267" t="s">
        <v>180</v>
      </c>
      <c r="E20" s="267">
        <f>SUM(E10:E19)</f>
        <v>13</v>
      </c>
      <c r="F20" s="267">
        <f>SUM(F10:F19)</f>
        <v>21.75</v>
      </c>
      <c r="G20" s="266"/>
      <c r="H20" s="268"/>
      <c r="I20" s="269"/>
      <c r="J20" s="269"/>
      <c r="K20" s="269"/>
      <c r="L20" s="269"/>
      <c r="M20" s="269"/>
      <c r="N20" s="269"/>
      <c r="O20" s="269"/>
      <c r="P20" s="269"/>
      <c r="Q20" s="269"/>
      <c r="R20" s="269"/>
      <c r="S20" s="269"/>
      <c r="T20" s="270">
        <f>ROUND(SUM(T10:T19),0)</f>
        <v>839973</v>
      </c>
      <c r="U20" s="270">
        <f>ROUND(SUM(U10:U19),0)</f>
        <v>957286</v>
      </c>
      <c r="V20" s="500"/>
    </row>
    <row r="21" spans="1:22" x14ac:dyDescent="0.25">
      <c r="F21" s="271"/>
    </row>
  </sheetData>
  <mergeCells count="6">
    <mergeCell ref="B2:O4"/>
    <mergeCell ref="E8:F8"/>
    <mergeCell ref="V10:V20"/>
    <mergeCell ref="A1:S1"/>
    <mergeCell ref="T1:V1"/>
    <mergeCell ref="C10:C18"/>
  </mergeCells>
  <pageMargins left="0.7" right="0.7" top="0.75" bottom="0.75" header="0.3" footer="0.3"/>
  <pageSetup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7"/>
  <sheetViews>
    <sheetView topLeftCell="B1" zoomScale="90" zoomScaleNormal="90" workbookViewId="0">
      <selection activeCell="H14" sqref="H14"/>
    </sheetView>
  </sheetViews>
  <sheetFormatPr defaultColWidth="8.7109375" defaultRowHeight="15" x14ac:dyDescent="0.25"/>
  <cols>
    <col min="1" max="1" width="15" style="272" customWidth="1"/>
    <col min="2" max="2" width="35" style="272" customWidth="1"/>
    <col min="3" max="3" width="12.5703125" style="272" customWidth="1"/>
    <col min="4" max="4" width="13.5703125" style="272" customWidth="1"/>
    <col min="5" max="5" width="12.5703125" style="272" customWidth="1"/>
    <col min="6" max="6" width="14.42578125" style="272" customWidth="1"/>
    <col min="7" max="7" width="18.85546875" style="272" customWidth="1"/>
    <col min="8" max="8" width="16.85546875" style="272" customWidth="1"/>
    <col min="9" max="9" width="12.42578125" style="272" customWidth="1"/>
    <col min="10" max="10" width="11.5703125" style="272" customWidth="1"/>
    <col min="11" max="11" width="10.5703125" style="272" customWidth="1"/>
    <col min="12" max="12" width="13.28515625" style="272" customWidth="1"/>
    <col min="13" max="13" width="14.140625" style="272" customWidth="1"/>
    <col min="14" max="14" width="11.85546875" style="272" customWidth="1"/>
    <col min="15" max="15" width="13.28515625" style="272" customWidth="1"/>
    <col min="16" max="16" width="14" style="272" customWidth="1"/>
    <col min="17" max="17" width="15.28515625" style="272" customWidth="1"/>
    <col min="18" max="16384" width="8.7109375" style="272"/>
  </cols>
  <sheetData>
    <row r="1" spans="1:19" ht="63.75" customHeight="1" x14ac:dyDescent="0.25">
      <c r="A1" s="510" t="s">
        <v>339</v>
      </c>
      <c r="B1" s="510"/>
      <c r="C1" s="510"/>
      <c r="D1" s="510"/>
      <c r="E1" s="510"/>
      <c r="F1" s="510"/>
      <c r="G1" s="510"/>
      <c r="H1" s="510"/>
      <c r="I1" s="510"/>
      <c r="J1" s="510"/>
      <c r="K1" s="510"/>
      <c r="L1" s="510"/>
      <c r="M1" s="510"/>
      <c r="N1" s="510"/>
      <c r="O1" s="506" t="s">
        <v>439</v>
      </c>
      <c r="P1" s="506"/>
      <c r="Q1" s="506"/>
    </row>
    <row r="2" spans="1:19" ht="15" customHeight="1" x14ac:dyDescent="0.25">
      <c r="A2" s="273"/>
      <c r="B2" s="508" t="s">
        <v>332</v>
      </c>
      <c r="C2" s="508"/>
      <c r="D2" s="508"/>
      <c r="E2" s="508"/>
      <c r="F2" s="508"/>
      <c r="G2" s="508"/>
      <c r="H2" s="508"/>
      <c r="I2" s="508"/>
      <c r="J2" s="508"/>
      <c r="K2" s="508"/>
      <c r="L2" s="508"/>
      <c r="M2" s="508"/>
    </row>
    <row r="3" spans="1:19" ht="15" customHeight="1" x14ac:dyDescent="0.25">
      <c r="A3" s="273"/>
      <c r="B3" s="274" t="s">
        <v>516</v>
      </c>
      <c r="C3" s="275"/>
      <c r="D3" s="275"/>
      <c r="E3" s="275"/>
      <c r="F3" s="275"/>
      <c r="G3" s="275"/>
      <c r="H3" s="275"/>
      <c r="I3" s="275"/>
      <c r="J3" s="275"/>
      <c r="K3" s="275"/>
      <c r="L3" s="275"/>
      <c r="M3" s="275"/>
    </row>
    <row r="4" spans="1:19" ht="15" customHeight="1" x14ac:dyDescent="0.25">
      <c r="A4" s="273"/>
      <c r="B4" s="275"/>
      <c r="C4" s="275"/>
      <c r="D4" s="275"/>
      <c r="E4" s="275"/>
      <c r="F4" s="275"/>
      <c r="G4" s="275"/>
      <c r="H4" s="275"/>
      <c r="I4" s="275"/>
      <c r="J4" s="275"/>
      <c r="K4" s="275"/>
      <c r="L4" s="275"/>
      <c r="M4" s="275"/>
    </row>
    <row r="5" spans="1:19" ht="15" customHeight="1" x14ac:dyDescent="0.25">
      <c r="A5" s="273"/>
      <c r="B5" s="509" t="s">
        <v>436</v>
      </c>
      <c r="C5" s="509"/>
      <c r="D5" s="509"/>
      <c r="E5" s="509"/>
      <c r="F5" s="509"/>
      <c r="G5" s="509"/>
      <c r="H5" s="509"/>
      <c r="I5" s="509"/>
      <c r="J5" s="509"/>
      <c r="K5" s="509"/>
      <c r="L5" s="509"/>
      <c r="M5" s="509"/>
    </row>
    <row r="6" spans="1:19" s="276" customFormat="1" ht="15.75" x14ac:dyDescent="0.25">
      <c r="B6" s="76" t="s">
        <v>54</v>
      </c>
      <c r="C6" s="80"/>
      <c r="D6" s="80"/>
      <c r="E6" s="69"/>
      <c r="F6" s="58"/>
      <c r="G6" s="277"/>
      <c r="H6" s="277"/>
      <c r="I6" s="277"/>
    </row>
    <row r="7" spans="1:19" s="276" customFormat="1" ht="15.75" x14ac:dyDescent="0.25">
      <c r="B7" s="95" t="s">
        <v>245</v>
      </c>
      <c r="C7" s="81"/>
      <c r="D7" s="81"/>
      <c r="E7" s="72"/>
      <c r="F7" s="59"/>
      <c r="G7" s="277"/>
      <c r="H7" s="277"/>
      <c r="I7" s="277"/>
    </row>
    <row r="8" spans="1:19" s="276" customFormat="1" ht="15.75" x14ac:dyDescent="0.25">
      <c r="B8" s="95"/>
      <c r="C8" s="81"/>
      <c r="D8" s="81"/>
      <c r="E8" s="59"/>
      <c r="F8" s="59"/>
      <c r="G8" s="277"/>
      <c r="H8" s="277"/>
      <c r="I8" s="277"/>
    </row>
    <row r="9" spans="1:19" x14ac:dyDescent="0.25">
      <c r="B9" s="195" t="s">
        <v>243</v>
      </c>
      <c r="C9" s="4"/>
      <c r="D9" s="4"/>
      <c r="E9" s="4"/>
      <c r="F9" s="273"/>
      <c r="G9" s="273"/>
      <c r="H9" s="273"/>
      <c r="I9" s="273"/>
      <c r="J9" s="273"/>
      <c r="K9" s="273"/>
      <c r="L9" s="273"/>
      <c r="M9" s="273"/>
    </row>
    <row r="10" spans="1:19" x14ac:dyDescent="0.25">
      <c r="B10" s="4"/>
      <c r="C10" s="4"/>
      <c r="D10" s="4"/>
      <c r="E10" s="4">
        <v>189</v>
      </c>
      <c r="F10" s="255" t="s">
        <v>246</v>
      </c>
      <c r="G10" s="273"/>
      <c r="H10" s="273"/>
      <c r="I10" s="4">
        <v>252</v>
      </c>
      <c r="J10" s="255" t="s">
        <v>279</v>
      </c>
      <c r="K10" s="273"/>
      <c r="L10" s="273"/>
      <c r="M10" s="273"/>
    </row>
    <row r="11" spans="1:19" s="278" customFormat="1" ht="59.25" customHeight="1" x14ac:dyDescent="0.25">
      <c r="B11" s="279" t="s">
        <v>372</v>
      </c>
      <c r="C11" s="280" t="s">
        <v>178</v>
      </c>
      <c r="D11" s="280" t="s">
        <v>238</v>
      </c>
      <c r="E11" s="280" t="s">
        <v>240</v>
      </c>
      <c r="F11" s="280" t="s">
        <v>239</v>
      </c>
      <c r="G11" s="280" t="s">
        <v>277</v>
      </c>
      <c r="H11" s="280" t="s">
        <v>278</v>
      </c>
      <c r="I11" s="281"/>
      <c r="J11" s="281"/>
      <c r="K11" s="281"/>
      <c r="L11" s="281"/>
      <c r="M11" s="281"/>
      <c r="N11" s="281"/>
      <c r="O11" s="281"/>
    </row>
    <row r="12" spans="1:19" x14ac:dyDescent="0.25">
      <c r="B12" s="282" t="s">
        <v>374</v>
      </c>
      <c r="C12" s="283">
        <f>Q25</f>
        <v>24.43</v>
      </c>
      <c r="D12" s="284">
        <v>75</v>
      </c>
      <c r="E12" s="284">
        <v>4</v>
      </c>
      <c r="F12" s="285">
        <f>D12*E12*E10</f>
        <v>56700</v>
      </c>
      <c r="G12" s="285">
        <f>F12*C12</f>
        <v>1385181</v>
      </c>
      <c r="H12" s="145">
        <f>C12*D12*E12*I10</f>
        <v>1846908</v>
      </c>
      <c r="I12" s="273"/>
      <c r="J12" s="273"/>
      <c r="K12" s="273"/>
      <c r="L12" s="273"/>
      <c r="M12" s="273"/>
      <c r="N12" s="273"/>
      <c r="O12" s="273"/>
    </row>
    <row r="13" spans="1:19" ht="30" x14ac:dyDescent="0.25">
      <c r="B13" s="286" t="s">
        <v>376</v>
      </c>
      <c r="C13" s="283">
        <f>Q35</f>
        <v>28.188814000000001</v>
      </c>
      <c r="D13" s="284">
        <v>75</v>
      </c>
      <c r="E13" s="284">
        <v>1</v>
      </c>
      <c r="F13" s="285">
        <f>E13*D13*E10</f>
        <v>14175</v>
      </c>
      <c r="G13" s="285">
        <f>F13*C13</f>
        <v>399576.43845000002</v>
      </c>
      <c r="H13" s="145">
        <f>C13*D13*E13*I10</f>
        <v>532768.58460000006</v>
      </c>
      <c r="I13" s="273"/>
      <c r="J13" s="273"/>
      <c r="K13" s="273"/>
      <c r="L13" s="273"/>
      <c r="M13" s="273"/>
      <c r="N13" s="273"/>
      <c r="O13" s="273"/>
      <c r="Q13" s="246"/>
      <c r="R13" s="246"/>
      <c r="S13" s="246"/>
    </row>
    <row r="14" spans="1:19" x14ac:dyDescent="0.25">
      <c r="A14" s="287"/>
      <c r="B14" s="288" t="s">
        <v>180</v>
      </c>
      <c r="C14" s="287"/>
      <c r="D14" s="287"/>
      <c r="E14" s="287"/>
      <c r="G14" s="289">
        <f>ROUND((G12+G13),0)</f>
        <v>1784757</v>
      </c>
      <c r="H14" s="289">
        <f>ROUND((H12+H13),0)</f>
        <v>2379677</v>
      </c>
      <c r="I14" s="287"/>
      <c r="J14" s="290"/>
      <c r="K14" s="290"/>
      <c r="L14" s="290"/>
      <c r="M14" s="287"/>
      <c r="N14" s="287"/>
      <c r="O14" s="287"/>
      <c r="P14" s="287"/>
      <c r="Q14" s="290"/>
      <c r="R14" s="291"/>
      <c r="S14" s="246"/>
    </row>
    <row r="15" spans="1:19" ht="64.5" customHeight="1" x14ac:dyDescent="0.25">
      <c r="A15" s="287"/>
      <c r="B15" s="507" t="s">
        <v>373</v>
      </c>
      <c r="C15" s="507"/>
      <c r="D15" s="507"/>
      <c r="E15" s="507"/>
      <c r="F15" s="507"/>
      <c r="G15" s="507"/>
      <c r="H15" s="507"/>
      <c r="I15" s="287"/>
      <c r="J15" s="290"/>
      <c r="K15" s="290"/>
      <c r="L15" s="290"/>
      <c r="M15" s="287"/>
      <c r="N15" s="287"/>
      <c r="O15" s="287"/>
      <c r="P15" s="287"/>
      <c r="Q15" s="290"/>
      <c r="R15" s="291"/>
      <c r="S15" s="246"/>
    </row>
    <row r="16" spans="1:19" ht="24" customHeight="1" x14ac:dyDescent="0.25">
      <c r="A16" s="287"/>
      <c r="B16" s="292"/>
      <c r="C16" s="292"/>
      <c r="D16" s="292"/>
      <c r="E16" s="292"/>
      <c r="F16" s="292"/>
      <c r="G16" s="292"/>
      <c r="H16" s="292"/>
      <c r="I16" s="287"/>
      <c r="J16" s="290"/>
      <c r="K16" s="290"/>
      <c r="L16" s="290"/>
      <c r="M16" s="287"/>
      <c r="N16" s="287"/>
      <c r="O16" s="287"/>
      <c r="P16" s="287"/>
      <c r="Q16" s="290"/>
      <c r="R16" s="291"/>
      <c r="S16" s="246"/>
    </row>
    <row r="17" spans="1:19" ht="30" x14ac:dyDescent="0.25">
      <c r="A17" s="287"/>
      <c r="B17" s="287"/>
      <c r="C17" s="287"/>
      <c r="D17" s="287"/>
      <c r="E17" s="287"/>
      <c r="F17" s="293" t="s">
        <v>150</v>
      </c>
      <c r="G17" s="514" t="s">
        <v>153</v>
      </c>
      <c r="H17" s="294"/>
      <c r="I17" s="290"/>
      <c r="J17" s="290"/>
      <c r="K17" s="295"/>
      <c r="L17" s="514" t="s">
        <v>154</v>
      </c>
      <c r="M17" s="514" t="s">
        <v>155</v>
      </c>
      <c r="N17" s="514" t="s">
        <v>156</v>
      </c>
      <c r="O17" s="287"/>
      <c r="Q17" s="246"/>
      <c r="R17" s="246"/>
      <c r="S17" s="246"/>
    </row>
    <row r="18" spans="1:19" x14ac:dyDescent="0.25">
      <c r="A18" s="287"/>
      <c r="B18" s="287"/>
      <c r="C18" s="511" t="s">
        <v>419</v>
      </c>
      <c r="D18" s="511"/>
      <c r="E18" s="511"/>
      <c r="F18" s="296">
        <f>1862*1.3</f>
        <v>2420.6</v>
      </c>
      <c r="G18" s="515"/>
      <c r="H18" s="290"/>
      <c r="I18" s="290"/>
      <c r="J18" s="290"/>
      <c r="K18" s="297"/>
      <c r="L18" s="515"/>
      <c r="M18" s="515"/>
      <c r="N18" s="515"/>
      <c r="O18" s="287"/>
    </row>
    <row r="19" spans="1:19" x14ac:dyDescent="0.25">
      <c r="A19" s="287"/>
      <c r="B19" s="287"/>
      <c r="C19" s="290"/>
      <c r="D19" s="290"/>
      <c r="E19" s="291" t="s">
        <v>158</v>
      </c>
      <c r="F19" s="298">
        <f>0.194*1.3</f>
        <v>0.25220000000000004</v>
      </c>
      <c r="G19" s="299">
        <v>0.2359</v>
      </c>
      <c r="H19" s="287"/>
      <c r="I19" s="287"/>
      <c r="J19" s="287"/>
      <c r="K19" s="300" t="s">
        <v>159</v>
      </c>
      <c r="L19" s="299">
        <v>0.31330000000000002</v>
      </c>
      <c r="M19" s="299">
        <v>2.5100000000000001E-2</v>
      </c>
      <c r="N19" s="299">
        <v>4.0099999999999997E-2</v>
      </c>
      <c r="O19" s="287"/>
    </row>
    <row r="20" spans="1:19" ht="15.75" customHeight="1" x14ac:dyDescent="0.25">
      <c r="A20" s="124"/>
      <c r="B20" s="125"/>
      <c r="C20" s="129"/>
      <c r="D20" s="129"/>
      <c r="E20" s="130"/>
      <c r="F20" s="127"/>
      <c r="G20" s="126"/>
      <c r="H20" s="126"/>
      <c r="I20" s="126"/>
      <c r="J20" s="126"/>
      <c r="K20" s="126"/>
      <c r="L20" s="126"/>
      <c r="M20" s="74"/>
      <c r="N20" s="128"/>
      <c r="O20" s="128"/>
      <c r="P20" s="128"/>
      <c r="Q20" s="128"/>
    </row>
    <row r="21" spans="1:19" ht="15.75" customHeight="1" x14ac:dyDescent="0.25">
      <c r="A21" s="516" t="s">
        <v>160</v>
      </c>
      <c r="B21" s="517" t="s">
        <v>116</v>
      </c>
      <c r="C21" s="517" t="s">
        <v>161</v>
      </c>
      <c r="D21" s="517"/>
      <c r="E21" s="517"/>
      <c r="F21" s="517"/>
      <c r="G21" s="517"/>
      <c r="H21" s="517"/>
      <c r="I21" s="517"/>
      <c r="J21" s="517"/>
      <c r="K21" s="517"/>
      <c r="L21" s="517"/>
      <c r="M21" s="517"/>
      <c r="N21" s="517"/>
      <c r="O21" s="517"/>
      <c r="P21" s="517"/>
      <c r="Q21" s="512" t="s">
        <v>119</v>
      </c>
    </row>
    <row r="22" spans="1:19" ht="90" x14ac:dyDescent="0.25">
      <c r="A22" s="516"/>
      <c r="B22" s="516"/>
      <c r="C22" s="516" t="s">
        <v>162</v>
      </c>
      <c r="D22" s="516"/>
      <c r="E22" s="516"/>
      <c r="F22" s="516" t="s">
        <v>163</v>
      </c>
      <c r="G22" s="516"/>
      <c r="H22" s="516"/>
      <c r="I22" s="301" t="s">
        <v>164</v>
      </c>
      <c r="J22" s="516" t="s">
        <v>165</v>
      </c>
      <c r="K22" s="516"/>
      <c r="L22" s="516"/>
      <c r="M22" s="516" t="s">
        <v>166</v>
      </c>
      <c r="N22" s="516" t="s">
        <v>167</v>
      </c>
      <c r="O22" s="516" t="s">
        <v>168</v>
      </c>
      <c r="P22" s="516" t="s">
        <v>169</v>
      </c>
      <c r="Q22" s="513"/>
    </row>
    <row r="23" spans="1:19" ht="75" x14ac:dyDescent="0.25">
      <c r="A23" s="516"/>
      <c r="B23" s="516"/>
      <c r="C23" s="301" t="s">
        <v>170</v>
      </c>
      <c r="D23" s="301" t="s">
        <v>171</v>
      </c>
      <c r="E23" s="301" t="s">
        <v>172</v>
      </c>
      <c r="F23" s="301" t="s">
        <v>170</v>
      </c>
      <c r="G23" s="301" t="s">
        <v>171</v>
      </c>
      <c r="H23" s="301" t="s">
        <v>173</v>
      </c>
      <c r="I23" s="301" t="s">
        <v>174</v>
      </c>
      <c r="J23" s="301" t="s">
        <v>175</v>
      </c>
      <c r="K23" s="302" t="s">
        <v>117</v>
      </c>
      <c r="L23" s="301" t="s">
        <v>118</v>
      </c>
      <c r="M23" s="516"/>
      <c r="N23" s="516"/>
      <c r="O23" s="516"/>
      <c r="P23" s="516"/>
      <c r="Q23" s="513"/>
    </row>
    <row r="24" spans="1:19" x14ac:dyDescent="0.25">
      <c r="A24" s="303">
        <v>1</v>
      </c>
      <c r="B24" s="303">
        <v>2</v>
      </c>
      <c r="C24" s="303">
        <v>3</v>
      </c>
      <c r="D24" s="303">
        <v>4</v>
      </c>
      <c r="E24" s="303">
        <v>5</v>
      </c>
      <c r="F24" s="303">
        <v>6</v>
      </c>
      <c r="G24" s="303">
        <v>7</v>
      </c>
      <c r="H24" s="303">
        <v>8</v>
      </c>
      <c r="I24" s="303">
        <v>9</v>
      </c>
      <c r="J24" s="303" t="s">
        <v>176</v>
      </c>
      <c r="K24" s="303">
        <v>11</v>
      </c>
      <c r="L24" s="303">
        <v>12</v>
      </c>
      <c r="M24" s="303">
        <v>13</v>
      </c>
      <c r="N24" s="303">
        <v>14</v>
      </c>
      <c r="O24" s="303">
        <v>15</v>
      </c>
      <c r="P24" s="303">
        <v>16</v>
      </c>
      <c r="Q24" s="303">
        <v>17</v>
      </c>
    </row>
    <row r="25" spans="1:19" ht="30" x14ac:dyDescent="0.25">
      <c r="A25" s="41" t="s">
        <v>177</v>
      </c>
      <c r="B25" s="154" t="s">
        <v>341</v>
      </c>
      <c r="C25" s="43">
        <v>60</v>
      </c>
      <c r="D25" s="43">
        <v>0</v>
      </c>
      <c r="E25" s="43" t="s">
        <v>143</v>
      </c>
      <c r="F25" s="44">
        <f>C25*F19</f>
        <v>15.132000000000001</v>
      </c>
      <c r="G25" s="44">
        <v>0</v>
      </c>
      <c r="H25" s="44"/>
      <c r="I25" s="44">
        <f>F25*G19</f>
        <v>3.5696388000000003</v>
      </c>
      <c r="J25" s="304">
        <v>0</v>
      </c>
      <c r="K25" s="304">
        <v>0</v>
      </c>
      <c r="L25" s="304">
        <v>0</v>
      </c>
      <c r="M25" s="44"/>
      <c r="N25" s="44">
        <f>ROUND((F25+G25+H25)*$L$19,2)</f>
        <v>4.74</v>
      </c>
      <c r="O25" s="44">
        <f>ROUND(((F25+G25+H25)*$M$19),2)</f>
        <v>0.38</v>
      </c>
      <c r="P25" s="44">
        <f>ROUND((F25+G25+H25)*$N$19,2)</f>
        <v>0.61</v>
      </c>
      <c r="Q25" s="305">
        <f>ROUND((F25+G25+H25+I25+J25+M25+N25+O25+P25),2)</f>
        <v>24.43</v>
      </c>
      <c r="R25" s="306"/>
    </row>
    <row r="26" spans="1:19" ht="15" customHeight="1" x14ac:dyDescent="0.25">
      <c r="A26" s="307"/>
      <c r="B26" s="155"/>
      <c r="C26" s="287"/>
      <c r="D26" s="287"/>
      <c r="E26" s="287"/>
      <c r="F26" s="287"/>
      <c r="G26" s="287"/>
      <c r="H26" s="287"/>
      <c r="I26" s="287"/>
      <c r="J26" s="287"/>
      <c r="K26" s="287"/>
      <c r="L26" s="287"/>
      <c r="M26" s="287"/>
      <c r="N26" s="287"/>
      <c r="O26" s="287"/>
      <c r="P26" s="287"/>
      <c r="Q26" s="287"/>
    </row>
    <row r="27" spans="1:19" ht="30" x14ac:dyDescent="0.25">
      <c r="A27" s="297"/>
      <c r="B27" s="287"/>
      <c r="C27" s="287"/>
      <c r="D27" s="287"/>
      <c r="E27" s="287"/>
      <c r="F27" s="293" t="s">
        <v>150</v>
      </c>
      <c r="G27" s="514" t="s">
        <v>153</v>
      </c>
      <c r="H27" s="294"/>
      <c r="I27" s="290"/>
      <c r="J27" s="287"/>
      <c r="K27" s="290"/>
      <c r="L27" s="518" t="s">
        <v>154</v>
      </c>
      <c r="M27" s="518" t="s">
        <v>155</v>
      </c>
      <c r="N27" s="518" t="s">
        <v>156</v>
      </c>
      <c r="O27" s="287"/>
    </row>
    <row r="28" spans="1:19" x14ac:dyDescent="0.25">
      <c r="A28" s="287"/>
      <c r="B28" s="287"/>
      <c r="C28" s="511" t="s">
        <v>420</v>
      </c>
      <c r="D28" s="511"/>
      <c r="E28" s="511"/>
      <c r="F28" s="131">
        <f>1862*1.5</f>
        <v>2793</v>
      </c>
      <c r="G28" s="515"/>
      <c r="H28" s="287"/>
      <c r="I28" s="287"/>
      <c r="J28" s="287"/>
      <c r="K28" s="290"/>
      <c r="L28" s="519"/>
      <c r="M28" s="519"/>
      <c r="N28" s="519"/>
      <c r="O28" s="287"/>
    </row>
    <row r="29" spans="1:19" x14ac:dyDescent="0.25">
      <c r="A29" s="287"/>
      <c r="B29" s="287"/>
      <c r="C29" s="287"/>
      <c r="D29" s="287"/>
      <c r="E29" s="308" t="s">
        <v>158</v>
      </c>
      <c r="F29" s="299">
        <f>0.194*1.5</f>
        <v>0.29100000000000004</v>
      </c>
      <c r="G29" s="299">
        <v>0.2359</v>
      </c>
      <c r="H29" s="287"/>
      <c r="I29" s="287"/>
      <c r="J29" s="287"/>
      <c r="K29" s="291" t="s">
        <v>159</v>
      </c>
      <c r="L29" s="309">
        <v>0.31330000000000002</v>
      </c>
      <c r="M29" s="309">
        <v>2.5100000000000001E-2</v>
      </c>
      <c r="N29" s="309">
        <v>4.0099999999999997E-2</v>
      </c>
      <c r="O29" s="287"/>
    </row>
    <row r="30" spans="1:19" x14ac:dyDescent="0.25">
      <c r="M30" s="246"/>
    </row>
    <row r="31" spans="1:19" x14ac:dyDescent="0.25">
      <c r="A31" s="516" t="s">
        <v>160</v>
      </c>
      <c r="B31" s="516" t="s">
        <v>116</v>
      </c>
      <c r="C31" s="516" t="s">
        <v>161</v>
      </c>
      <c r="D31" s="516"/>
      <c r="E31" s="516"/>
      <c r="F31" s="516"/>
      <c r="G31" s="516"/>
      <c r="H31" s="516"/>
      <c r="I31" s="516"/>
      <c r="J31" s="516"/>
      <c r="K31" s="516"/>
      <c r="L31" s="516"/>
      <c r="M31" s="516"/>
      <c r="N31" s="516"/>
      <c r="O31" s="516"/>
      <c r="P31" s="516"/>
      <c r="Q31" s="516" t="s">
        <v>119</v>
      </c>
    </row>
    <row r="32" spans="1:19" ht="90" x14ac:dyDescent="0.25">
      <c r="A32" s="516"/>
      <c r="B32" s="516"/>
      <c r="C32" s="516" t="s">
        <v>162</v>
      </c>
      <c r="D32" s="516"/>
      <c r="E32" s="516"/>
      <c r="F32" s="516" t="s">
        <v>163</v>
      </c>
      <c r="G32" s="516"/>
      <c r="H32" s="516"/>
      <c r="I32" s="301" t="s">
        <v>164</v>
      </c>
      <c r="J32" s="516" t="s">
        <v>165</v>
      </c>
      <c r="K32" s="516"/>
      <c r="L32" s="516"/>
      <c r="M32" s="516" t="s">
        <v>166</v>
      </c>
      <c r="N32" s="516" t="s">
        <v>167</v>
      </c>
      <c r="O32" s="516" t="s">
        <v>168</v>
      </c>
      <c r="P32" s="516" t="s">
        <v>169</v>
      </c>
      <c r="Q32" s="516"/>
    </row>
    <row r="33" spans="1:17" ht="75" x14ac:dyDescent="0.25">
      <c r="A33" s="516"/>
      <c r="B33" s="516"/>
      <c r="C33" s="301" t="s">
        <v>170</v>
      </c>
      <c r="D33" s="301" t="s">
        <v>171</v>
      </c>
      <c r="E33" s="301" t="s">
        <v>172</v>
      </c>
      <c r="F33" s="301" t="s">
        <v>170</v>
      </c>
      <c r="G33" s="301" t="s">
        <v>171</v>
      </c>
      <c r="H33" s="301" t="s">
        <v>173</v>
      </c>
      <c r="I33" s="301" t="s">
        <v>174</v>
      </c>
      <c r="J33" s="301" t="s">
        <v>175</v>
      </c>
      <c r="K33" s="302" t="s">
        <v>117</v>
      </c>
      <c r="L33" s="301" t="s">
        <v>118</v>
      </c>
      <c r="M33" s="516"/>
      <c r="N33" s="516"/>
      <c r="O33" s="516"/>
      <c r="P33" s="516"/>
      <c r="Q33" s="516"/>
    </row>
    <row r="34" spans="1:17" x14ac:dyDescent="0.25">
      <c r="A34" s="303">
        <v>1</v>
      </c>
      <c r="B34" s="303">
        <v>2</v>
      </c>
      <c r="C34" s="303">
        <v>3</v>
      </c>
      <c r="D34" s="303">
        <v>4</v>
      </c>
      <c r="E34" s="303">
        <v>5</v>
      </c>
      <c r="F34" s="303">
        <v>6</v>
      </c>
      <c r="G34" s="303">
        <v>7</v>
      </c>
      <c r="H34" s="303">
        <v>8</v>
      </c>
      <c r="I34" s="303">
        <v>9</v>
      </c>
      <c r="J34" s="303" t="s">
        <v>176</v>
      </c>
      <c r="K34" s="303">
        <v>11</v>
      </c>
      <c r="L34" s="303">
        <v>12</v>
      </c>
      <c r="M34" s="303">
        <v>13</v>
      </c>
      <c r="N34" s="303">
        <v>14</v>
      </c>
      <c r="O34" s="303">
        <v>15</v>
      </c>
      <c r="P34" s="303">
        <v>16</v>
      </c>
      <c r="Q34" s="303">
        <v>17</v>
      </c>
    </row>
    <row r="35" spans="1:17" ht="30" x14ac:dyDescent="0.25">
      <c r="A35" s="41" t="s">
        <v>177</v>
      </c>
      <c r="B35" s="156" t="s">
        <v>375</v>
      </c>
      <c r="C35" s="43">
        <v>60</v>
      </c>
      <c r="D35" s="43">
        <v>0</v>
      </c>
      <c r="E35" s="43" t="s">
        <v>143</v>
      </c>
      <c r="F35" s="44">
        <f>C35*F29</f>
        <v>17.46</v>
      </c>
      <c r="G35" s="44">
        <v>0</v>
      </c>
      <c r="H35" s="44"/>
      <c r="I35" s="44">
        <f>F35*G29</f>
        <v>4.1188140000000004</v>
      </c>
      <c r="J35" s="304">
        <v>0</v>
      </c>
      <c r="K35" s="304">
        <v>0</v>
      </c>
      <c r="L35" s="304">
        <v>0</v>
      </c>
      <c r="M35" s="44"/>
      <c r="N35" s="44">
        <f>ROUND((F35+G35+H35)*$L$29,2)</f>
        <v>5.47</v>
      </c>
      <c r="O35" s="44">
        <f>ROUND((F35+G35+H35)*$M$29,2)</f>
        <v>0.44</v>
      </c>
      <c r="P35" s="44">
        <f>ROUND((F35+G35+H35)*N29,2)</f>
        <v>0.7</v>
      </c>
      <c r="Q35" s="305">
        <f>F35+G35+H35+I35+J35+M35+N35+O35+P35</f>
        <v>28.188814000000001</v>
      </c>
    </row>
    <row r="36" spans="1:17" x14ac:dyDescent="0.25">
      <c r="B36" s="155"/>
    </row>
    <row r="37" spans="1:17" x14ac:dyDescent="0.25">
      <c r="B37" s="103" t="s">
        <v>421</v>
      </c>
    </row>
  </sheetData>
  <mergeCells count="39">
    <mergeCell ref="Q31:Q33"/>
    <mergeCell ref="C32:E32"/>
    <mergeCell ref="F32:H32"/>
    <mergeCell ref="J32:L32"/>
    <mergeCell ref="M32:M33"/>
    <mergeCell ref="N32:N33"/>
    <mergeCell ref="O32:O33"/>
    <mergeCell ref="P32:P33"/>
    <mergeCell ref="C28:E28"/>
    <mergeCell ref="A31:A33"/>
    <mergeCell ref="B31:B33"/>
    <mergeCell ref="C31:L31"/>
    <mergeCell ref="M31:P31"/>
    <mergeCell ref="P22:P23"/>
    <mergeCell ref="G27:G28"/>
    <mergeCell ref="L27:L28"/>
    <mergeCell ref="M27:M28"/>
    <mergeCell ref="N27:N28"/>
    <mergeCell ref="C18:E18"/>
    <mergeCell ref="Q21:Q23"/>
    <mergeCell ref="G17:G18"/>
    <mergeCell ref="A21:A23"/>
    <mergeCell ref="B21:B23"/>
    <mergeCell ref="C21:L21"/>
    <mergeCell ref="M21:P21"/>
    <mergeCell ref="C22:E22"/>
    <mergeCell ref="F22:H22"/>
    <mergeCell ref="J22:L22"/>
    <mergeCell ref="M22:M23"/>
    <mergeCell ref="N22:N23"/>
    <mergeCell ref="O22:O23"/>
    <mergeCell ref="L17:L18"/>
    <mergeCell ref="M17:M18"/>
    <mergeCell ref="N17:N18"/>
    <mergeCell ref="O1:Q1"/>
    <mergeCell ref="B15:H15"/>
    <mergeCell ref="B2:M2"/>
    <mergeCell ref="B5:M5"/>
    <mergeCell ref="A1:N1"/>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3"/>
  <sheetViews>
    <sheetView zoomScale="90" zoomScaleNormal="90" workbookViewId="0">
      <selection activeCell="C14" sqref="C14"/>
    </sheetView>
  </sheetViews>
  <sheetFormatPr defaultColWidth="8.7109375" defaultRowHeight="15" x14ac:dyDescent="0.25"/>
  <cols>
    <col min="1" max="1" width="8.7109375" style="272" customWidth="1"/>
    <col min="2" max="2" width="44" style="272" customWidth="1"/>
    <col min="3" max="3" width="27.28515625" style="272" customWidth="1"/>
    <col min="4" max="4" width="25.28515625" style="272" customWidth="1"/>
    <col min="5" max="5" width="22.28515625" style="272" customWidth="1"/>
    <col min="6" max="6" width="24.85546875" style="272" customWidth="1"/>
    <col min="7" max="7" width="23.140625" style="272" customWidth="1"/>
    <col min="8" max="8" width="18.28515625" style="272" customWidth="1"/>
    <col min="9" max="9" width="34.7109375" style="272" customWidth="1"/>
    <col min="10" max="10" width="39.7109375" style="272" customWidth="1"/>
    <col min="11" max="16384" width="8.7109375" style="272"/>
  </cols>
  <sheetData>
    <row r="1" spans="1:11" ht="78" customHeight="1" x14ac:dyDescent="0.3">
      <c r="A1" s="522" t="s">
        <v>339</v>
      </c>
      <c r="B1" s="522"/>
      <c r="C1" s="522"/>
      <c r="D1" s="522"/>
      <c r="E1" s="522"/>
      <c r="F1" s="522"/>
      <c r="G1" s="522"/>
      <c r="H1" s="522"/>
      <c r="I1" s="310" t="s">
        <v>440</v>
      </c>
      <c r="K1" s="311"/>
    </row>
    <row r="2" spans="1:11" ht="15.75" customHeight="1" x14ac:dyDescent="0.25">
      <c r="A2" s="509" t="s">
        <v>333</v>
      </c>
      <c r="B2" s="509"/>
      <c r="C2" s="509"/>
      <c r="D2" s="509"/>
      <c r="E2" s="509"/>
      <c r="F2" s="509"/>
      <c r="G2" s="509"/>
      <c r="H2" s="509"/>
      <c r="I2" s="312"/>
      <c r="J2" s="312"/>
    </row>
    <row r="3" spans="1:11" ht="15" customHeight="1" x14ac:dyDescent="0.25">
      <c r="A3" s="312"/>
      <c r="B3" s="312"/>
      <c r="C3" s="312"/>
      <c r="D3" s="312"/>
      <c r="E3" s="312"/>
      <c r="F3" s="312"/>
      <c r="G3" s="312"/>
      <c r="H3" s="312"/>
      <c r="I3" s="312"/>
      <c r="J3" s="312"/>
    </row>
    <row r="4" spans="1:11" ht="15.75" customHeight="1" x14ac:dyDescent="0.25">
      <c r="A4" s="76" t="s">
        <v>54</v>
      </c>
      <c r="B4" s="80"/>
      <c r="C4" s="80"/>
      <c r="D4" s="80"/>
      <c r="E4" s="80"/>
      <c r="F4" s="80"/>
      <c r="G4" s="80"/>
      <c r="H4" s="251"/>
      <c r="I4" s="251"/>
    </row>
    <row r="5" spans="1:11" ht="15.75" x14ac:dyDescent="0.25">
      <c r="A5" s="95" t="s">
        <v>245</v>
      </c>
      <c r="B5" s="81"/>
      <c r="C5" s="81"/>
      <c r="D5" s="81"/>
      <c r="E5" s="81"/>
      <c r="F5" s="81"/>
      <c r="G5" s="81"/>
      <c r="H5" s="251"/>
      <c r="I5" s="251"/>
      <c r="J5" s="313"/>
    </row>
    <row r="6" spans="1:11" x14ac:dyDescent="0.25">
      <c r="A6" s="95" t="s">
        <v>264</v>
      </c>
      <c r="B6" s="314"/>
      <c r="C6" s="314"/>
      <c r="D6" s="314"/>
      <c r="E6" s="314"/>
      <c r="F6" s="314"/>
      <c r="G6" s="314"/>
      <c r="H6" s="314"/>
      <c r="I6" s="314"/>
      <c r="J6" s="314"/>
    </row>
    <row r="7" spans="1:11" x14ac:dyDescent="0.25">
      <c r="A7" s="315"/>
      <c r="B7" s="314"/>
      <c r="C7" s="314"/>
      <c r="D7" s="314"/>
      <c r="E7" s="314"/>
      <c r="F7" s="314"/>
      <c r="G7" s="314"/>
      <c r="H7" s="314"/>
      <c r="I7" s="314"/>
      <c r="J7" s="314"/>
    </row>
    <row r="8" spans="1:11" s="317" customFormat="1" x14ac:dyDescent="0.25">
      <c r="A8" s="316"/>
      <c r="B8" s="162" t="s">
        <v>377</v>
      </c>
      <c r="C8" s="316"/>
      <c r="D8" s="316">
        <v>1</v>
      </c>
      <c r="E8" s="316"/>
      <c r="F8" s="316"/>
      <c r="H8" s="316"/>
      <c r="I8" s="316"/>
      <c r="J8" s="316"/>
    </row>
    <row r="9" spans="1:11" x14ac:dyDescent="0.25">
      <c r="A9" s="314"/>
      <c r="B9" s="162" t="s">
        <v>378</v>
      </c>
      <c r="C9" s="314"/>
      <c r="D9" s="314">
        <v>2</v>
      </c>
      <c r="E9" s="314"/>
      <c r="F9" s="314"/>
      <c r="H9" s="314"/>
      <c r="I9" s="314"/>
    </row>
    <row r="10" spans="1:11" x14ac:dyDescent="0.25">
      <c r="A10" s="314"/>
      <c r="B10" s="162"/>
      <c r="C10" s="314"/>
      <c r="D10" s="314"/>
      <c r="E10" s="314"/>
      <c r="F10" s="314"/>
      <c r="G10" s="314"/>
      <c r="H10" s="314"/>
      <c r="I10" s="314"/>
    </row>
    <row r="11" spans="1:11" ht="15.75" customHeight="1" x14ac:dyDescent="0.25">
      <c r="A11" s="314"/>
      <c r="B11" s="318" t="s">
        <v>382</v>
      </c>
      <c r="C11" s="318"/>
      <c r="D11" s="314"/>
      <c r="E11" s="314"/>
      <c r="F11" s="314"/>
      <c r="G11" s="314"/>
      <c r="H11" s="314"/>
      <c r="I11" s="314"/>
    </row>
    <row r="12" spans="1:11" ht="57" x14ac:dyDescent="0.25">
      <c r="A12" s="314"/>
      <c r="B12" s="259" t="s">
        <v>487</v>
      </c>
      <c r="C12" s="319" t="s">
        <v>488</v>
      </c>
      <c r="D12" s="314"/>
      <c r="E12" s="314"/>
      <c r="F12" s="314"/>
      <c r="G12" s="314"/>
      <c r="H12" s="314"/>
      <c r="I12" s="314"/>
    </row>
    <row r="13" spans="1:11" x14ac:dyDescent="0.25">
      <c r="A13" s="314"/>
      <c r="B13" s="108">
        <f>ROUND(H21+F30+E37,0)</f>
        <v>430862</v>
      </c>
      <c r="C13" s="108">
        <f>ROUND(I21+G30+F37,0)</f>
        <v>589017</v>
      </c>
      <c r="D13" s="314"/>
      <c r="E13" s="314"/>
      <c r="F13" s="314"/>
      <c r="G13" s="314"/>
      <c r="H13" s="314"/>
      <c r="I13" s="314"/>
    </row>
    <row r="14" spans="1:11" x14ac:dyDescent="0.25">
      <c r="A14" s="314"/>
      <c r="B14" s="162"/>
      <c r="C14" s="314"/>
      <c r="D14" s="314"/>
      <c r="E14" s="314"/>
      <c r="F14" s="314"/>
      <c r="G14" s="314"/>
      <c r="H14" s="314"/>
      <c r="I14" s="314"/>
    </row>
    <row r="15" spans="1:11" s="278" customFormat="1" ht="15.75" x14ac:dyDescent="0.25">
      <c r="A15" s="320" t="s">
        <v>469</v>
      </c>
      <c r="B15" s="320"/>
      <c r="C15" s="320"/>
      <c r="D15" s="320"/>
      <c r="E15" s="320"/>
      <c r="F15" s="321"/>
      <c r="G15" s="272"/>
      <c r="H15" s="272"/>
    </row>
    <row r="16" spans="1:11" s="278" customFormat="1" ht="64.5" customHeight="1" x14ac:dyDescent="0.25">
      <c r="A16" s="322" t="s">
        <v>470</v>
      </c>
      <c r="B16" s="322" t="s">
        <v>471</v>
      </c>
      <c r="C16" s="323" t="s">
        <v>484</v>
      </c>
      <c r="D16" s="323" t="s">
        <v>494</v>
      </c>
      <c r="E16" s="259" t="s">
        <v>493</v>
      </c>
      <c r="F16" s="259" t="s">
        <v>379</v>
      </c>
      <c r="G16" s="259" t="s">
        <v>345</v>
      </c>
      <c r="H16" s="259" t="s">
        <v>335</v>
      </c>
      <c r="I16" s="259" t="s">
        <v>489</v>
      </c>
    </row>
    <row r="17" spans="1:16" x14ac:dyDescent="0.25">
      <c r="A17" s="241">
        <v>1.1000000000000001</v>
      </c>
      <c r="B17" s="104" t="s">
        <v>472</v>
      </c>
      <c r="C17" s="230">
        <v>3</v>
      </c>
      <c r="D17" s="324">
        <v>2497</v>
      </c>
      <c r="E17" s="325">
        <f>C17*D17</f>
        <v>7491</v>
      </c>
      <c r="F17" s="325">
        <f>E17*5</f>
        <v>37455</v>
      </c>
      <c r="G17" s="325">
        <f>E17*6</f>
        <v>44946</v>
      </c>
      <c r="H17" s="107">
        <f>F17+G17</f>
        <v>82401</v>
      </c>
      <c r="I17" s="107">
        <f>G17*2</f>
        <v>89892</v>
      </c>
    </row>
    <row r="18" spans="1:16" ht="30" x14ac:dyDescent="0.25">
      <c r="A18" s="241" t="s">
        <v>62</v>
      </c>
      <c r="B18" s="326" t="s">
        <v>490</v>
      </c>
      <c r="C18" s="230">
        <v>9.3000000000000007</v>
      </c>
      <c r="D18" s="324">
        <v>1630.74</v>
      </c>
      <c r="E18" s="325">
        <f>D18*C18</f>
        <v>15165.882000000001</v>
      </c>
      <c r="F18" s="325">
        <f t="shared" ref="F18:F20" si="0">E18*5</f>
        <v>75829.41</v>
      </c>
      <c r="G18" s="325">
        <f>E18*6*$D$9</f>
        <v>181990.58400000003</v>
      </c>
      <c r="H18" s="107">
        <f t="shared" ref="H18:H20" si="1">F18+G18</f>
        <v>257819.99400000004</v>
      </c>
      <c r="I18" s="107">
        <f t="shared" ref="I18:I20" si="2">G18*2</f>
        <v>363981.16800000006</v>
      </c>
    </row>
    <row r="19" spans="1:16" x14ac:dyDescent="0.25">
      <c r="A19" s="241" t="s">
        <v>64</v>
      </c>
      <c r="B19" s="104" t="s">
        <v>473</v>
      </c>
      <c r="C19" s="230">
        <v>1</v>
      </c>
      <c r="D19" s="324">
        <v>1708</v>
      </c>
      <c r="E19" s="325">
        <f>D19*C19</f>
        <v>1708</v>
      </c>
      <c r="F19" s="325">
        <f t="shared" si="0"/>
        <v>8540</v>
      </c>
      <c r="G19" s="325">
        <f>E19*6</f>
        <v>10248</v>
      </c>
      <c r="H19" s="107">
        <f t="shared" si="1"/>
        <v>18788</v>
      </c>
      <c r="I19" s="107">
        <f t="shared" si="2"/>
        <v>20496</v>
      </c>
    </row>
    <row r="20" spans="1:16" x14ac:dyDescent="0.25">
      <c r="A20" s="241" t="s">
        <v>65</v>
      </c>
      <c r="B20" s="326" t="s">
        <v>474</v>
      </c>
      <c r="C20" s="230">
        <v>0.5</v>
      </c>
      <c r="D20" s="324">
        <v>1350</v>
      </c>
      <c r="E20" s="325">
        <f>D20*C20</f>
        <v>675</v>
      </c>
      <c r="F20" s="325">
        <f t="shared" si="0"/>
        <v>3375</v>
      </c>
      <c r="G20" s="325">
        <f>E20*6</f>
        <v>4050</v>
      </c>
      <c r="H20" s="107">
        <f t="shared" si="1"/>
        <v>7425</v>
      </c>
      <c r="I20" s="107">
        <f t="shared" si="2"/>
        <v>8100</v>
      </c>
    </row>
    <row r="21" spans="1:16" x14ac:dyDescent="0.25">
      <c r="A21" s="327"/>
      <c r="B21" s="328"/>
      <c r="C21" s="329">
        <f>C18/2</f>
        <v>4.6500000000000004</v>
      </c>
      <c r="D21" s="330" t="s">
        <v>10</v>
      </c>
      <c r="E21" s="331">
        <f>E17+E18+E19+E20</f>
        <v>25039.882000000001</v>
      </c>
      <c r="F21" s="331">
        <f>F17+F18+F19+F20</f>
        <v>125199.41</v>
      </c>
      <c r="G21" s="332">
        <f>G17+G18+G19+G20</f>
        <v>241234.58400000003</v>
      </c>
      <c r="H21" s="333">
        <f>ROUND(H17+H18+H19+H20,0)</f>
        <v>366434</v>
      </c>
      <c r="I21" s="333">
        <f>ROUND(I17+I18+I19+I20,0)</f>
        <v>482469</v>
      </c>
    </row>
    <row r="22" spans="1:16" ht="15.75" x14ac:dyDescent="0.25">
      <c r="A22" s="320" t="s">
        <v>475</v>
      </c>
      <c r="B22" s="320"/>
      <c r="C22" s="320"/>
      <c r="D22" s="320"/>
      <c r="E22" s="320"/>
      <c r="F22" s="334"/>
      <c r="N22" s="335"/>
      <c r="O22" s="335"/>
      <c r="P22" s="336"/>
    </row>
    <row r="23" spans="1:16" ht="57.75" customHeight="1" x14ac:dyDescent="0.25">
      <c r="A23" s="337" t="s">
        <v>470</v>
      </c>
      <c r="B23" s="337" t="s">
        <v>471</v>
      </c>
      <c r="C23" s="259" t="s">
        <v>493</v>
      </c>
      <c r="D23" s="259" t="s">
        <v>379</v>
      </c>
      <c r="E23" s="259" t="s">
        <v>345</v>
      </c>
      <c r="F23" s="338" t="s">
        <v>335</v>
      </c>
      <c r="G23" s="259" t="s">
        <v>489</v>
      </c>
      <c r="H23" s="339"/>
      <c r="M23" s="335"/>
      <c r="N23" s="335"/>
      <c r="O23" s="336"/>
    </row>
    <row r="24" spans="1:16" x14ac:dyDescent="0.25">
      <c r="A24" s="340" t="s">
        <v>67</v>
      </c>
      <c r="B24" s="341" t="s">
        <v>476</v>
      </c>
      <c r="C24" s="325">
        <v>300</v>
      </c>
      <c r="D24" s="342">
        <f>C24*5</f>
        <v>1500</v>
      </c>
      <c r="E24" s="325">
        <f>C24*6*$D$9</f>
        <v>3600</v>
      </c>
      <c r="F24" s="343">
        <f>D24+E24</f>
        <v>5100</v>
      </c>
      <c r="G24" s="325">
        <f>E24*2</f>
        <v>7200</v>
      </c>
      <c r="H24" s="344"/>
      <c r="M24" s="335"/>
      <c r="N24" s="335"/>
      <c r="O24" s="336"/>
    </row>
    <row r="25" spans="1:16" x14ac:dyDescent="0.25">
      <c r="A25" s="340" t="s">
        <v>432</v>
      </c>
      <c r="B25" s="341" t="s">
        <v>477</v>
      </c>
      <c r="C25" s="325">
        <v>20.5</v>
      </c>
      <c r="D25" s="342">
        <f>C25*5</f>
        <v>102.5</v>
      </c>
      <c r="E25" s="325">
        <f>C25*6*$D$9</f>
        <v>246</v>
      </c>
      <c r="F25" s="325">
        <f t="shared" ref="F25:F29" si="3">D25+E25</f>
        <v>348.5</v>
      </c>
      <c r="G25" s="325">
        <f t="shared" ref="G25:G28" si="4">E25*2</f>
        <v>492</v>
      </c>
      <c r="H25" s="344"/>
      <c r="M25" s="335"/>
      <c r="N25" s="335"/>
      <c r="O25" s="336"/>
    </row>
    <row r="26" spans="1:16" ht="15.75" x14ac:dyDescent="0.25">
      <c r="A26" s="340" t="s">
        <v>478</v>
      </c>
      <c r="B26" s="341" t="s">
        <v>479</v>
      </c>
      <c r="C26" s="325">
        <v>150</v>
      </c>
      <c r="D26" s="342">
        <f>C26*5</f>
        <v>750</v>
      </c>
      <c r="E26" s="325">
        <f>C26*6*$D$9</f>
        <v>1800</v>
      </c>
      <c r="F26" s="325">
        <f t="shared" si="3"/>
        <v>2550</v>
      </c>
      <c r="G26" s="325">
        <f t="shared" si="4"/>
        <v>3600</v>
      </c>
      <c r="H26" s="344"/>
      <c r="J26" s="321"/>
      <c r="M26" s="335"/>
      <c r="N26" s="335"/>
      <c r="O26" s="336"/>
    </row>
    <row r="27" spans="1:16" ht="15.75" x14ac:dyDescent="0.25">
      <c r="A27" s="340" t="s">
        <v>480</v>
      </c>
      <c r="B27" s="341" t="s">
        <v>485</v>
      </c>
      <c r="C27" s="325">
        <v>2000</v>
      </c>
      <c r="D27" s="325">
        <f>C27</f>
        <v>2000</v>
      </c>
      <c r="E27" s="325">
        <v>0</v>
      </c>
      <c r="F27" s="325">
        <f t="shared" si="3"/>
        <v>2000</v>
      </c>
      <c r="G27" s="325">
        <f t="shared" si="4"/>
        <v>0</v>
      </c>
      <c r="H27" s="344"/>
      <c r="J27" s="321"/>
      <c r="M27" s="335"/>
      <c r="N27" s="335"/>
      <c r="O27" s="336"/>
    </row>
    <row r="28" spans="1:16" ht="15.75" x14ac:dyDescent="0.25">
      <c r="A28" s="340" t="s">
        <v>481</v>
      </c>
      <c r="B28" s="341" t="s">
        <v>482</v>
      </c>
      <c r="C28" s="325">
        <v>350</v>
      </c>
      <c r="D28" s="342">
        <f>C28*5</f>
        <v>1750</v>
      </c>
      <c r="E28" s="325">
        <f>C28*6</f>
        <v>2100</v>
      </c>
      <c r="F28" s="325">
        <f t="shared" si="3"/>
        <v>3850</v>
      </c>
      <c r="G28" s="325">
        <f t="shared" si="4"/>
        <v>4200</v>
      </c>
      <c r="H28" s="344"/>
      <c r="J28" s="321"/>
      <c r="M28" s="335"/>
      <c r="N28" s="335"/>
      <c r="O28" s="336"/>
    </row>
    <row r="29" spans="1:16" ht="30" x14ac:dyDescent="0.25">
      <c r="A29" s="340" t="s">
        <v>483</v>
      </c>
      <c r="B29" s="341" t="s">
        <v>486</v>
      </c>
      <c r="C29" s="325">
        <v>1000</v>
      </c>
      <c r="D29" s="342">
        <f>C29*5</f>
        <v>5000</v>
      </c>
      <c r="E29" s="325">
        <f>C29*6</f>
        <v>6000</v>
      </c>
      <c r="F29" s="325">
        <f t="shared" si="3"/>
        <v>11000</v>
      </c>
      <c r="G29" s="325">
        <f>E29*2</f>
        <v>12000</v>
      </c>
      <c r="H29" s="345"/>
      <c r="J29" s="321"/>
      <c r="M29" s="335"/>
      <c r="N29" s="335"/>
      <c r="O29" s="336"/>
    </row>
    <row r="30" spans="1:16" ht="15.75" x14ac:dyDescent="0.25">
      <c r="A30" s="346"/>
      <c r="B30" s="347"/>
      <c r="C30" s="330" t="s">
        <v>10</v>
      </c>
      <c r="D30" s="331">
        <f>D24+D25+D26+D27+D28+D29</f>
        <v>11102.5</v>
      </c>
      <c r="E30" s="332">
        <f>E24+E25+E26+E27+E28+E29</f>
        <v>13746</v>
      </c>
      <c r="F30" s="333">
        <f>ROUND(F24+F25+F26+F27+F28+F29,0)</f>
        <v>24849</v>
      </c>
      <c r="G30" s="333">
        <f>ROUND(G24+G25+G26+G27+G28+G29,0)</f>
        <v>27492</v>
      </c>
      <c r="H30" s="348"/>
      <c r="J30" s="321"/>
    </row>
    <row r="31" spans="1:16" ht="15.75" x14ac:dyDescent="0.25">
      <c r="A31" s="320" t="s">
        <v>501</v>
      </c>
      <c r="B31" s="320"/>
      <c r="C31" s="320"/>
      <c r="D31" s="320"/>
      <c r="E31" s="320"/>
      <c r="F31" s="334"/>
      <c r="H31" s="348"/>
      <c r="J31" s="321"/>
    </row>
    <row r="32" spans="1:16" ht="71.25" x14ac:dyDescent="0.25">
      <c r="A32" s="337" t="s">
        <v>470</v>
      </c>
      <c r="B32" s="337" t="s">
        <v>471</v>
      </c>
      <c r="C32" s="337" t="s">
        <v>492</v>
      </c>
      <c r="D32" s="259" t="s">
        <v>493</v>
      </c>
      <c r="E32" s="259" t="s">
        <v>345</v>
      </c>
      <c r="F32" s="259" t="s">
        <v>489</v>
      </c>
      <c r="G32" s="348"/>
      <c r="I32" s="321"/>
    </row>
    <row r="33" spans="1:10" ht="15.75" x14ac:dyDescent="0.25">
      <c r="A33" s="349" t="s">
        <v>69</v>
      </c>
      <c r="B33" s="350" t="s">
        <v>505</v>
      </c>
      <c r="C33" s="351" t="s">
        <v>504</v>
      </c>
      <c r="D33" s="352">
        <f>ROUND(42.2*1.21,0)</f>
        <v>51</v>
      </c>
      <c r="E33" s="325">
        <f>D33</f>
        <v>51</v>
      </c>
      <c r="F33" s="325">
        <v>0</v>
      </c>
      <c r="G33" s="348"/>
      <c r="I33" s="321"/>
    </row>
    <row r="34" spans="1:10" ht="15.75" x14ac:dyDescent="0.25">
      <c r="A34" s="349" t="s">
        <v>72</v>
      </c>
      <c r="B34" s="350" t="s">
        <v>499</v>
      </c>
      <c r="C34" s="351" t="s">
        <v>503</v>
      </c>
      <c r="D34" s="353">
        <f>ROUND(14.23*1.21,0)</f>
        <v>17</v>
      </c>
      <c r="E34" s="325">
        <f>D34*6</f>
        <v>102</v>
      </c>
      <c r="F34" s="325">
        <f t="shared" ref="F34:F35" si="5">E34*2</f>
        <v>204</v>
      </c>
      <c r="G34" s="348"/>
      <c r="I34" s="321"/>
    </row>
    <row r="35" spans="1:10" ht="105" x14ac:dyDescent="0.25">
      <c r="A35" s="349" t="s">
        <v>498</v>
      </c>
      <c r="B35" s="350" t="s">
        <v>495</v>
      </c>
      <c r="C35" s="354" t="s">
        <v>508</v>
      </c>
      <c r="D35" s="325">
        <f>ROUND(0.1326*1.21*40800,0)</f>
        <v>6546</v>
      </c>
      <c r="E35" s="325">
        <f>D35*6</f>
        <v>39276</v>
      </c>
      <c r="F35" s="325">
        <f t="shared" si="5"/>
        <v>78552</v>
      </c>
      <c r="G35" s="348"/>
      <c r="I35" s="321"/>
    </row>
    <row r="36" spans="1:10" ht="15.75" x14ac:dyDescent="0.25">
      <c r="A36" s="349" t="s">
        <v>502</v>
      </c>
      <c r="B36" s="350" t="s">
        <v>500</v>
      </c>
      <c r="C36" s="354"/>
      <c r="D36" s="325">
        <v>25</v>
      </c>
      <c r="E36" s="325">
        <f>D36*6</f>
        <v>150</v>
      </c>
      <c r="F36" s="325">
        <f t="shared" ref="F36" si="6">E36*2</f>
        <v>300</v>
      </c>
      <c r="G36" s="348"/>
      <c r="I36" s="321"/>
    </row>
    <row r="37" spans="1:10" ht="15.75" x14ac:dyDescent="0.25">
      <c r="A37" s="346"/>
      <c r="B37" s="347"/>
      <c r="C37" s="347"/>
      <c r="D37" s="330" t="s">
        <v>10</v>
      </c>
      <c r="E37" s="333">
        <f>ROUND(SUM(E33:E36),0)</f>
        <v>39579</v>
      </c>
      <c r="F37" s="333">
        <f>ROUND(SUM(F33:F36),0)</f>
        <v>79056</v>
      </c>
      <c r="G37" s="348"/>
      <c r="I37" s="321"/>
    </row>
    <row r="38" spans="1:10" ht="15.75" x14ac:dyDescent="0.25">
      <c r="A38" s="355"/>
      <c r="B38" s="356"/>
      <c r="C38" s="356"/>
      <c r="D38" s="357"/>
      <c r="E38" s="348"/>
      <c r="F38" s="348"/>
      <c r="G38" s="348"/>
      <c r="H38" s="348"/>
      <c r="J38" s="321"/>
    </row>
    <row r="39" spans="1:10" ht="90" customHeight="1" x14ac:dyDescent="0.25">
      <c r="A39" s="521" t="s">
        <v>380</v>
      </c>
      <c r="B39" s="521"/>
      <c r="C39" s="521"/>
      <c r="D39" s="521"/>
      <c r="E39" s="521"/>
      <c r="F39" s="521"/>
      <c r="G39" s="521"/>
    </row>
    <row r="40" spans="1:10" x14ac:dyDescent="0.25">
      <c r="A40" s="103" t="s">
        <v>491</v>
      </c>
    </row>
    <row r="41" spans="1:10" ht="51.75" customHeight="1" x14ac:dyDescent="0.25">
      <c r="A41" s="520" t="s">
        <v>507</v>
      </c>
      <c r="B41" s="520"/>
      <c r="C41" s="520"/>
      <c r="D41" s="520"/>
      <c r="E41" s="520"/>
      <c r="F41" s="520"/>
      <c r="G41" s="520"/>
    </row>
    <row r="42" spans="1:10" ht="30.75" customHeight="1" x14ac:dyDescent="0.25">
      <c r="A42" s="523" t="s">
        <v>497</v>
      </c>
      <c r="B42" s="523"/>
      <c r="C42" s="523"/>
      <c r="D42" s="523"/>
      <c r="E42" s="523"/>
      <c r="F42" s="523"/>
      <c r="G42" s="523"/>
      <c r="H42" s="358"/>
      <c r="J42" s="321"/>
    </row>
    <row r="43" spans="1:10" x14ac:dyDescent="0.25">
      <c r="A43" s="103"/>
    </row>
  </sheetData>
  <mergeCells count="5">
    <mergeCell ref="A2:H2"/>
    <mergeCell ref="A41:G41"/>
    <mergeCell ref="A39:G39"/>
    <mergeCell ref="A1:H1"/>
    <mergeCell ref="A42:G42"/>
  </mergeCells>
  <pageMargins left="0.7" right="0.7" top="0.75" bottom="0.75" header="0.3" footer="0.3"/>
  <pageSetup paperSize="9" scale="4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X68"/>
  <sheetViews>
    <sheetView zoomScaleNormal="100" workbookViewId="0">
      <selection activeCell="C52" sqref="C52"/>
    </sheetView>
  </sheetViews>
  <sheetFormatPr defaultColWidth="9.140625" defaultRowHeight="15" x14ac:dyDescent="0.25"/>
  <cols>
    <col min="1" max="1" width="28.42578125" style="273" customWidth="1"/>
    <col min="2" max="2" width="16.85546875" style="273" customWidth="1"/>
    <col min="3" max="3" width="15.5703125" style="273" customWidth="1"/>
    <col min="4" max="4" width="14.85546875" style="273" bestFit="1" customWidth="1"/>
    <col min="5" max="5" width="12.85546875" style="273" customWidth="1"/>
    <col min="6" max="6" width="17" style="273" customWidth="1"/>
    <col min="7" max="7" width="13.42578125" style="273" customWidth="1"/>
    <col min="8" max="8" width="39.7109375" style="273" customWidth="1"/>
    <col min="9" max="9" width="14.85546875" style="273" bestFit="1" customWidth="1"/>
    <col min="10" max="10" width="13.85546875" style="273" customWidth="1"/>
    <col min="11" max="11" width="16.28515625" style="273" customWidth="1"/>
    <col min="12" max="12" width="14.7109375" style="273" customWidth="1"/>
    <col min="13" max="13" width="15.28515625" style="273" customWidth="1"/>
    <col min="14" max="14" width="12" style="273" customWidth="1"/>
    <col min="15" max="16384" width="9.140625" style="273"/>
  </cols>
  <sheetData>
    <row r="1" spans="1:16378" ht="65.25" customHeight="1" x14ac:dyDescent="0.25">
      <c r="A1" s="522" t="s">
        <v>339</v>
      </c>
      <c r="B1" s="522"/>
      <c r="C1" s="522"/>
      <c r="D1" s="522"/>
      <c r="E1" s="522"/>
      <c r="F1" s="522"/>
      <c r="G1" s="522"/>
      <c r="H1" s="522"/>
      <c r="I1" s="522"/>
      <c r="J1" s="522"/>
      <c r="K1" s="522"/>
      <c r="L1" s="506" t="s">
        <v>441</v>
      </c>
      <c r="M1" s="506"/>
      <c r="N1" s="506"/>
    </row>
    <row r="2" spans="1:16378" ht="15.75" x14ac:dyDescent="0.25">
      <c r="B2" s="524" t="s">
        <v>334</v>
      </c>
      <c r="C2" s="524"/>
      <c r="D2" s="524"/>
      <c r="E2" s="524"/>
      <c r="F2" s="524"/>
      <c r="G2" s="524"/>
      <c r="H2" s="524"/>
      <c r="I2" s="524"/>
      <c r="J2" s="524"/>
      <c r="K2" s="524"/>
      <c r="L2" s="312"/>
      <c r="M2" s="312"/>
      <c r="N2" s="312"/>
    </row>
    <row r="3" spans="1:16378" ht="15" customHeight="1" x14ac:dyDescent="0.25">
      <c r="B3" s="312"/>
      <c r="C3" s="312"/>
      <c r="D3" s="312"/>
      <c r="E3" s="312"/>
      <c r="F3" s="312"/>
      <c r="G3" s="312"/>
      <c r="H3" s="312"/>
      <c r="I3" s="312"/>
      <c r="J3" s="312"/>
      <c r="K3" s="312"/>
      <c r="L3" s="312"/>
      <c r="M3" s="312"/>
      <c r="N3" s="312"/>
    </row>
    <row r="4" spans="1:16378" s="276" customFormat="1" ht="15.75" x14ac:dyDescent="0.25">
      <c r="B4" s="76" t="s">
        <v>54</v>
      </c>
      <c r="C4" s="76"/>
      <c r="D4" s="76"/>
      <c r="E4" s="80"/>
      <c r="F4" s="80"/>
      <c r="G4" s="80"/>
      <c r="H4" s="359"/>
      <c r="I4" s="80"/>
      <c r="J4" s="251"/>
      <c r="K4" s="251"/>
      <c r="L4" s="360"/>
    </row>
    <row r="5" spans="1:16378" s="276" customFormat="1" ht="15.75" x14ac:dyDescent="0.25">
      <c r="B5" s="95" t="s">
        <v>245</v>
      </c>
      <c r="C5" s="95"/>
      <c r="D5" s="95"/>
      <c r="E5" s="81"/>
      <c r="F5" s="81"/>
      <c r="G5" s="81"/>
      <c r="H5" s="359"/>
      <c r="I5" s="81"/>
      <c r="J5" s="251"/>
      <c r="K5" s="251"/>
      <c r="L5" s="360"/>
    </row>
    <row r="6" spans="1:16378" s="276" customFormat="1" ht="15.75" x14ac:dyDescent="0.25">
      <c r="B6" s="95" t="s">
        <v>264</v>
      </c>
      <c r="C6" s="95"/>
      <c r="D6" s="95"/>
      <c r="E6" s="81"/>
      <c r="F6" s="81"/>
      <c r="G6" s="81"/>
      <c r="H6" s="359"/>
      <c r="I6" s="81"/>
      <c r="J6" s="251"/>
      <c r="K6" s="251"/>
      <c r="L6" s="360"/>
    </row>
    <row r="7" spans="1:16378" s="247" customFormat="1" x14ac:dyDescent="0.25">
      <c r="A7" s="163"/>
      <c r="B7" s="361"/>
      <c r="C7" s="361"/>
      <c r="D7" s="361"/>
      <c r="E7" s="163"/>
      <c r="F7" s="163"/>
      <c r="G7" s="163"/>
      <c r="H7" s="163"/>
      <c r="I7" s="163"/>
      <c r="J7" s="163"/>
      <c r="K7" s="163"/>
      <c r="L7" s="163"/>
      <c r="M7" s="163"/>
      <c r="N7" s="163"/>
    </row>
    <row r="8" spans="1:16378" ht="15.75" x14ac:dyDescent="0.25">
      <c r="A8" s="530" t="s">
        <v>347</v>
      </c>
      <c r="B8" s="530"/>
      <c r="C8" s="530"/>
      <c r="D8" s="530"/>
      <c r="E8" s="530"/>
      <c r="F8" s="530"/>
      <c r="G8" s="530"/>
      <c r="H8" s="530"/>
      <c r="I8" s="530"/>
      <c r="J8" s="530"/>
      <c r="K8" s="530"/>
      <c r="L8" s="530"/>
      <c r="M8" s="530"/>
      <c r="N8" s="530"/>
    </row>
    <row r="9" spans="1:16378" s="366" customFormat="1" ht="54" customHeight="1" x14ac:dyDescent="0.25">
      <c r="A9" s="362"/>
      <c r="B9" s="363" t="s">
        <v>8</v>
      </c>
      <c r="C9" s="364" t="s">
        <v>299</v>
      </c>
      <c r="D9" s="364" t="s">
        <v>9</v>
      </c>
      <c r="E9" s="364" t="s">
        <v>346</v>
      </c>
      <c r="F9" s="365" t="s">
        <v>281</v>
      </c>
      <c r="G9" s="365" t="s">
        <v>282</v>
      </c>
      <c r="H9" s="365" t="s">
        <v>283</v>
      </c>
      <c r="I9" s="365" t="s">
        <v>518</v>
      </c>
    </row>
    <row r="10" spans="1:16378" x14ac:dyDescent="0.25">
      <c r="A10" s="367" t="s">
        <v>10</v>
      </c>
      <c r="B10" s="368">
        <f>B11+B12</f>
        <v>153</v>
      </c>
      <c r="C10" s="369">
        <v>3234.86</v>
      </c>
      <c r="D10" s="370">
        <f>B10*C10</f>
        <v>494933.58</v>
      </c>
      <c r="E10" s="370">
        <f>ROUND(((B11+B12/12*11)*C10),0)</f>
        <v>465550</v>
      </c>
      <c r="F10" s="371">
        <f>F11+F12</f>
        <v>175</v>
      </c>
      <c r="G10" s="370">
        <f>F10*C10</f>
        <v>566100.5</v>
      </c>
      <c r="H10" s="371">
        <f>H12+H11</f>
        <v>201</v>
      </c>
      <c r="I10" s="370">
        <f>H10*C10</f>
        <v>650206.86</v>
      </c>
    </row>
    <row r="11" spans="1:16378" ht="14.1" customHeight="1" x14ac:dyDescent="0.25">
      <c r="A11" s="368" t="s">
        <v>523</v>
      </c>
      <c r="B11" s="368">
        <v>44</v>
      </c>
      <c r="C11" s="369"/>
      <c r="D11" s="370">
        <v>255815</v>
      </c>
      <c r="E11" s="370">
        <v>255815</v>
      </c>
      <c r="F11" s="371">
        <v>44</v>
      </c>
      <c r="G11" s="370">
        <v>255815</v>
      </c>
      <c r="H11" s="371">
        <v>44</v>
      </c>
      <c r="I11" s="370">
        <v>255815</v>
      </c>
      <c r="J11" s="372"/>
      <c r="K11" s="372"/>
    </row>
    <row r="12" spans="1:16378" ht="14.1" customHeight="1" x14ac:dyDescent="0.25">
      <c r="A12" s="373" t="s">
        <v>524</v>
      </c>
      <c r="B12" s="374">
        <v>109</v>
      </c>
      <c r="C12" s="46"/>
      <c r="D12" s="173">
        <f>ROUND(D10-D11,0)</f>
        <v>239119</v>
      </c>
      <c r="E12" s="173">
        <f>ROUND(E10-E11,0)</f>
        <v>209735</v>
      </c>
      <c r="F12" s="375">
        <v>131</v>
      </c>
      <c r="G12" s="173">
        <f>ROUND(G10-G11,0)</f>
        <v>310286</v>
      </c>
      <c r="H12" s="375">
        <v>157</v>
      </c>
      <c r="I12" s="173">
        <f>ROUND(I10-I11,0)</f>
        <v>394392</v>
      </c>
      <c r="J12" s="372"/>
      <c r="K12" s="372"/>
    </row>
    <row r="13" spans="1:16378" s="247" customFormat="1" ht="14.1" customHeight="1" x14ac:dyDescent="0.25">
      <c r="A13" s="76" t="s">
        <v>526</v>
      </c>
      <c r="B13" s="475"/>
      <c r="C13" s="476"/>
      <c r="D13" s="478"/>
      <c r="E13" s="478"/>
      <c r="F13" s="477"/>
      <c r="G13" s="478"/>
      <c r="H13" s="477"/>
      <c r="I13" s="478"/>
      <c r="J13" s="372"/>
      <c r="K13" s="372"/>
    </row>
    <row r="14" spans="1:16378" ht="14.1" customHeight="1" x14ac:dyDescent="0.25">
      <c r="A14" s="4" t="s">
        <v>525</v>
      </c>
      <c r="B14" s="4"/>
      <c r="C14" s="163"/>
      <c r="D14" s="163"/>
      <c r="E14" s="228"/>
      <c r="F14" s="4"/>
      <c r="G14" s="4"/>
      <c r="H14" s="4"/>
      <c r="I14" s="4"/>
      <c r="J14" s="4"/>
      <c r="K14" s="4"/>
      <c r="L14" s="4"/>
      <c r="M14" s="4"/>
      <c r="N14" s="372"/>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row>
    <row r="15" spans="1:16378" ht="14.1" customHeight="1" x14ac:dyDescent="0.25">
      <c r="A15" s="4"/>
      <c r="B15" s="4"/>
      <c r="C15" s="4"/>
      <c r="D15" s="4"/>
      <c r="E15" s="4"/>
      <c r="F15" s="4"/>
      <c r="G15" s="376"/>
      <c r="H15" s="377"/>
      <c r="I15" s="4"/>
      <c r="J15" s="4"/>
      <c r="K15" s="4"/>
      <c r="L15" s="4"/>
      <c r="M15" s="4"/>
      <c r="N15" s="372"/>
    </row>
    <row r="16" spans="1:16378" ht="15.75" x14ac:dyDescent="0.25">
      <c r="A16" s="508" t="s">
        <v>517</v>
      </c>
      <c r="B16" s="508"/>
      <c r="C16" s="508"/>
      <c r="D16" s="508"/>
      <c r="E16" s="508"/>
      <c r="F16" s="508"/>
      <c r="G16" s="508"/>
      <c r="H16" s="508"/>
      <c r="I16" s="508"/>
      <c r="J16" s="508"/>
      <c r="K16" s="508"/>
      <c r="L16" s="508"/>
      <c r="M16" s="508"/>
      <c r="N16" s="508"/>
    </row>
    <row r="17" spans="1:15" x14ac:dyDescent="0.25">
      <c r="A17" s="531" t="s">
        <v>348</v>
      </c>
      <c r="B17" s="531"/>
      <c r="C17" s="531"/>
      <c r="D17" s="531"/>
      <c r="E17" s="531"/>
      <c r="F17" s="531"/>
      <c r="G17" s="531"/>
      <c r="H17" s="531"/>
      <c r="I17" s="531"/>
      <c r="J17" s="531"/>
      <c r="K17" s="531"/>
      <c r="L17" s="531"/>
      <c r="M17" s="531"/>
      <c r="N17" s="531"/>
    </row>
    <row r="18" spans="1:15" ht="15" customHeight="1" x14ac:dyDescent="0.25">
      <c r="A18" s="525" t="s">
        <v>11</v>
      </c>
      <c r="B18" s="526"/>
      <c r="C18" s="526"/>
      <c r="D18" s="526"/>
      <c r="E18" s="526"/>
      <c r="F18" s="526"/>
      <c r="G18" s="526"/>
      <c r="H18" s="526"/>
      <c r="I18" s="527" t="s">
        <v>12</v>
      </c>
      <c r="J18" s="528"/>
      <c r="K18" s="528"/>
      <c r="L18" s="528" t="s">
        <v>13</v>
      </c>
      <c r="M18" s="528"/>
      <c r="N18" s="528"/>
    </row>
    <row r="19" spans="1:15" ht="28.5" customHeight="1" x14ac:dyDescent="0.25">
      <c r="A19" s="532" t="s">
        <v>14</v>
      </c>
      <c r="B19" s="532" t="s">
        <v>15</v>
      </c>
      <c r="C19" s="532" t="s">
        <v>16</v>
      </c>
      <c r="D19" s="532" t="s">
        <v>17</v>
      </c>
      <c r="E19" s="533" t="s">
        <v>506</v>
      </c>
      <c r="F19" s="534"/>
      <c r="G19" s="535"/>
      <c r="H19" s="529" t="s">
        <v>18</v>
      </c>
      <c r="I19" s="536" t="s">
        <v>355</v>
      </c>
      <c r="J19" s="537"/>
      <c r="K19" s="537"/>
      <c r="L19" s="537" t="s">
        <v>355</v>
      </c>
      <c r="M19" s="537"/>
      <c r="N19" s="537"/>
    </row>
    <row r="20" spans="1:15" ht="38.25" x14ac:dyDescent="0.25">
      <c r="A20" s="532"/>
      <c r="B20" s="532"/>
      <c r="C20" s="532"/>
      <c r="D20" s="532"/>
      <c r="E20" s="5" t="s">
        <v>19</v>
      </c>
      <c r="F20" s="236" t="s">
        <v>20</v>
      </c>
      <c r="G20" s="238" t="s">
        <v>349</v>
      </c>
      <c r="H20" s="529"/>
      <c r="I20" s="237" t="s">
        <v>20</v>
      </c>
      <c r="J20" s="236" t="s">
        <v>20</v>
      </c>
      <c r="K20" s="238" t="s">
        <v>349</v>
      </c>
      <c r="L20" s="238" t="s">
        <v>20</v>
      </c>
      <c r="M20" s="236" t="s">
        <v>20</v>
      </c>
      <c r="N20" s="238" t="s">
        <v>349</v>
      </c>
    </row>
    <row r="21" spans="1:15" x14ac:dyDescent="0.25">
      <c r="A21" s="532"/>
      <c r="B21" s="532"/>
      <c r="C21" s="532"/>
      <c r="D21" s="532"/>
      <c r="E21" s="6" t="s">
        <v>21</v>
      </c>
      <c r="F21" s="6" t="s">
        <v>21</v>
      </c>
      <c r="G21" s="6" t="s">
        <v>21</v>
      </c>
      <c r="H21" s="529"/>
      <c r="I21" s="7" t="s">
        <v>22</v>
      </c>
      <c r="J21" s="6" t="s">
        <v>21</v>
      </c>
      <c r="K21" s="6" t="s">
        <v>21</v>
      </c>
      <c r="L21" s="236" t="s">
        <v>22</v>
      </c>
      <c r="M21" s="6" t="s">
        <v>21</v>
      </c>
      <c r="N21" s="6" t="s">
        <v>21</v>
      </c>
    </row>
    <row r="22" spans="1:15" ht="25.5" x14ac:dyDescent="0.25">
      <c r="A22" s="8" t="s">
        <v>23</v>
      </c>
      <c r="B22" s="8"/>
      <c r="C22" s="8"/>
      <c r="D22" s="8"/>
      <c r="E22" s="8"/>
      <c r="F22" s="8"/>
      <c r="G22" s="8"/>
      <c r="H22" s="9"/>
      <c r="I22" s="10"/>
      <c r="J22" s="8"/>
      <c r="K22" s="8"/>
      <c r="L22" s="11"/>
      <c r="M22" s="8"/>
      <c r="N22" s="8"/>
    </row>
    <row r="23" spans="1:15" ht="51" x14ac:dyDescent="0.25">
      <c r="A23" s="12" t="s">
        <v>182</v>
      </c>
      <c r="B23" s="12"/>
      <c r="C23" s="12"/>
      <c r="D23" s="12"/>
      <c r="E23" s="48"/>
      <c r="F23" s="49">
        <f>SUM(F24:F26)</f>
        <v>7281.9</v>
      </c>
      <c r="G23" s="49">
        <f>SUM(G24:G26)</f>
        <v>80100.899999999994</v>
      </c>
      <c r="H23" s="164" t="s">
        <v>350</v>
      </c>
      <c r="I23" s="14" t="s">
        <v>24</v>
      </c>
      <c r="J23" s="13">
        <f>SUM(J24:J26)</f>
        <v>8121.9</v>
      </c>
      <c r="K23" s="13">
        <f>SUM(K24:K26)</f>
        <v>89340.9</v>
      </c>
      <c r="L23" s="15" t="s">
        <v>24</v>
      </c>
      <c r="M23" s="13">
        <f>SUM(M24:M26)</f>
        <v>8121.9</v>
      </c>
      <c r="N23" s="13">
        <f>SUM(N24:N26)</f>
        <v>89340.9</v>
      </c>
    </row>
    <row r="24" spans="1:15" x14ac:dyDescent="0.25">
      <c r="A24" s="16" t="s">
        <v>25</v>
      </c>
      <c r="B24" s="17" t="s">
        <v>26</v>
      </c>
      <c r="C24" s="18">
        <v>1</v>
      </c>
      <c r="D24" s="19" t="s">
        <v>24</v>
      </c>
      <c r="E24" s="47">
        <v>1786.9</v>
      </c>
      <c r="F24" s="50">
        <f>E24*C24</f>
        <v>1786.9</v>
      </c>
      <c r="G24" s="50">
        <f>F24*11</f>
        <v>19655.900000000001</v>
      </c>
      <c r="H24" s="165"/>
      <c r="I24" s="21">
        <v>1</v>
      </c>
      <c r="J24" s="20">
        <f>I24*E24</f>
        <v>1786.9</v>
      </c>
      <c r="K24" s="50">
        <f>J24*11</f>
        <v>19655.900000000001</v>
      </c>
      <c r="L24" s="166">
        <v>1</v>
      </c>
      <c r="M24" s="50">
        <f>L24*E24</f>
        <v>1786.9</v>
      </c>
      <c r="N24" s="50">
        <f>M24*11</f>
        <v>19655.900000000001</v>
      </c>
    </row>
    <row r="25" spans="1:15" x14ac:dyDescent="0.25">
      <c r="A25" s="5" t="s">
        <v>27</v>
      </c>
      <c r="B25" s="22" t="s">
        <v>26</v>
      </c>
      <c r="C25" s="23">
        <v>2.5</v>
      </c>
      <c r="D25" s="24" t="s">
        <v>24</v>
      </c>
      <c r="E25" s="51">
        <v>1862</v>
      </c>
      <c r="F25" s="50">
        <f>E25*C25</f>
        <v>4655</v>
      </c>
      <c r="G25" s="50">
        <f>F25*11</f>
        <v>51205</v>
      </c>
      <c r="H25" s="165"/>
      <c r="I25" s="27">
        <v>2.5</v>
      </c>
      <c r="J25" s="26">
        <f>I25*E25</f>
        <v>4655</v>
      </c>
      <c r="K25" s="50">
        <f>J25*11</f>
        <v>51205</v>
      </c>
      <c r="L25" s="166">
        <v>2.5</v>
      </c>
      <c r="M25" s="50">
        <f>L25*E25</f>
        <v>4655</v>
      </c>
      <c r="N25" s="50">
        <f>M25*11</f>
        <v>51205</v>
      </c>
    </row>
    <row r="26" spans="1:15" ht="38.25" x14ac:dyDescent="0.25">
      <c r="A26" s="28" t="s">
        <v>28</v>
      </c>
      <c r="B26" s="22" t="s">
        <v>29</v>
      </c>
      <c r="C26" s="23">
        <v>2</v>
      </c>
      <c r="D26" s="24" t="s">
        <v>24</v>
      </c>
      <c r="E26" s="51">
        <v>420</v>
      </c>
      <c r="F26" s="50">
        <f>E26*C26</f>
        <v>840</v>
      </c>
      <c r="G26" s="50">
        <f>F26*11</f>
        <v>9240</v>
      </c>
      <c r="H26" s="165" t="s">
        <v>30</v>
      </c>
      <c r="I26" s="27">
        <v>2</v>
      </c>
      <c r="J26" s="26">
        <f>F26*I26</f>
        <v>1680</v>
      </c>
      <c r="K26" s="50">
        <f>J26*11</f>
        <v>18480</v>
      </c>
      <c r="L26" s="166">
        <v>2</v>
      </c>
      <c r="M26" s="50">
        <f>L26*F26</f>
        <v>1680</v>
      </c>
      <c r="N26" s="50">
        <f>M26*11</f>
        <v>18480</v>
      </c>
    </row>
    <row r="27" spans="1:15" x14ac:dyDescent="0.25">
      <c r="A27" s="12" t="s">
        <v>183</v>
      </c>
      <c r="B27" s="12"/>
      <c r="C27" s="12"/>
      <c r="D27" s="12"/>
      <c r="E27" s="48"/>
      <c r="F27" s="49">
        <f>SUM(F28:F32)</f>
        <v>14373.75</v>
      </c>
      <c r="G27" s="49">
        <f>SUM(G28:G32)</f>
        <v>51548.75</v>
      </c>
      <c r="H27" s="164"/>
      <c r="I27" s="14"/>
      <c r="J27" s="13">
        <f>SUM(J28:J32)</f>
        <v>10661.25</v>
      </c>
      <c r="K27" s="13">
        <f>SUM(K28:K32)</f>
        <v>38386.25</v>
      </c>
      <c r="L27" s="15"/>
      <c r="M27" s="13">
        <f>SUM(M28:M32)</f>
        <v>10717.5</v>
      </c>
      <c r="N27" s="13">
        <f>SUM(N28:N32)</f>
        <v>38386.25</v>
      </c>
    </row>
    <row r="28" spans="1:15" ht="63.75" x14ac:dyDescent="0.25">
      <c r="A28" s="28" t="s">
        <v>31</v>
      </c>
      <c r="B28" s="22" t="s">
        <v>32</v>
      </c>
      <c r="C28" s="23">
        <v>5</v>
      </c>
      <c r="D28" s="167">
        <f>C28*3</f>
        <v>15</v>
      </c>
      <c r="E28" s="52">
        <v>35</v>
      </c>
      <c r="F28" s="50">
        <f>55*C28*E28</f>
        <v>9625</v>
      </c>
      <c r="G28" s="50">
        <f>E28*D28*55</f>
        <v>28875</v>
      </c>
      <c r="H28" s="165" t="s">
        <v>351</v>
      </c>
      <c r="I28" s="31">
        <f>C28*40</f>
        <v>200</v>
      </c>
      <c r="J28" s="26">
        <f>I28*E28</f>
        <v>7000</v>
      </c>
      <c r="K28" s="50">
        <f>D28*E28*37</f>
        <v>19425</v>
      </c>
      <c r="L28" s="168">
        <f>C28*40</f>
        <v>200</v>
      </c>
      <c r="M28" s="50">
        <f>L28*E28</f>
        <v>7000</v>
      </c>
      <c r="N28" s="50">
        <f>K28</f>
        <v>19425</v>
      </c>
      <c r="O28" s="247">
        <f>F28*11</f>
        <v>105875</v>
      </c>
    </row>
    <row r="29" spans="1:15" ht="63.75" x14ac:dyDescent="0.25">
      <c r="A29" s="28" t="s">
        <v>33</v>
      </c>
      <c r="B29" s="22" t="s">
        <v>32</v>
      </c>
      <c r="C29" s="23">
        <v>1</v>
      </c>
      <c r="D29" s="167">
        <f>C29*3</f>
        <v>3</v>
      </c>
      <c r="E29" s="52">
        <v>50</v>
      </c>
      <c r="F29" s="50">
        <f>55*C29*E29</f>
        <v>2750</v>
      </c>
      <c r="G29" s="50">
        <f>E29*55*D29</f>
        <v>8250</v>
      </c>
      <c r="H29" s="165" t="s">
        <v>352</v>
      </c>
      <c r="I29" s="31">
        <f>C29*40</f>
        <v>40</v>
      </c>
      <c r="J29" s="26">
        <f>I29*E29</f>
        <v>2000</v>
      </c>
      <c r="K29" s="50">
        <f>D29*E29*37</f>
        <v>5550</v>
      </c>
      <c r="L29" s="168">
        <f>C29*40</f>
        <v>40</v>
      </c>
      <c r="M29" s="50">
        <f>L29*E29</f>
        <v>2000</v>
      </c>
      <c r="N29" s="50">
        <f>K29</f>
        <v>5550</v>
      </c>
    </row>
    <row r="30" spans="1:15" ht="25.5" x14ac:dyDescent="0.25">
      <c r="A30" s="32" t="s">
        <v>34</v>
      </c>
      <c r="B30" s="22" t="s">
        <v>32</v>
      </c>
      <c r="C30" s="23">
        <v>4</v>
      </c>
      <c r="D30" s="167">
        <v>11</v>
      </c>
      <c r="E30" s="52">
        <v>70</v>
      </c>
      <c r="F30" s="50">
        <f>C30*E30</f>
        <v>280</v>
      </c>
      <c r="G30" s="50">
        <f>F30*11</f>
        <v>3080</v>
      </c>
      <c r="H30" s="165" t="s">
        <v>353</v>
      </c>
      <c r="I30" s="31">
        <v>4</v>
      </c>
      <c r="J30" s="26">
        <v>280</v>
      </c>
      <c r="K30" s="50">
        <f>J30*11</f>
        <v>3080</v>
      </c>
      <c r="L30" s="168">
        <v>4</v>
      </c>
      <c r="M30" s="50">
        <v>280</v>
      </c>
      <c r="N30" s="50">
        <f t="shared" ref="N30:N32" si="0">K30</f>
        <v>3080</v>
      </c>
    </row>
    <row r="31" spans="1:15" ht="38.25" x14ac:dyDescent="0.25">
      <c r="A31" s="28" t="s">
        <v>35</v>
      </c>
      <c r="B31" s="22" t="s">
        <v>32</v>
      </c>
      <c r="C31" s="23">
        <v>5</v>
      </c>
      <c r="D31" s="29">
        <v>15</v>
      </c>
      <c r="E31" s="52">
        <v>50</v>
      </c>
      <c r="F31" s="50">
        <f>G31/12</f>
        <v>687.5</v>
      </c>
      <c r="G31" s="50">
        <f>D31*E31*11</f>
        <v>8250</v>
      </c>
      <c r="H31" s="165" t="s">
        <v>354</v>
      </c>
      <c r="I31" s="31">
        <v>5</v>
      </c>
      <c r="J31" s="26">
        <v>687.5</v>
      </c>
      <c r="K31" s="50">
        <f>D31*E31*11</f>
        <v>8250</v>
      </c>
      <c r="L31" s="168">
        <v>5</v>
      </c>
      <c r="M31" s="50">
        <v>687.5</v>
      </c>
      <c r="N31" s="50">
        <f t="shared" si="0"/>
        <v>8250</v>
      </c>
    </row>
    <row r="32" spans="1:15" ht="25.5" x14ac:dyDescent="0.25">
      <c r="A32" s="28" t="s">
        <v>36</v>
      </c>
      <c r="B32" s="22" t="s">
        <v>32</v>
      </c>
      <c r="C32" s="23">
        <v>0.25</v>
      </c>
      <c r="D32" s="29">
        <f>C32*3</f>
        <v>0.75</v>
      </c>
      <c r="E32" s="52">
        <v>75</v>
      </c>
      <c r="F32" s="50">
        <f>55*C32*E32</f>
        <v>1031.25</v>
      </c>
      <c r="G32" s="50">
        <f>F32*3</f>
        <v>3093.75</v>
      </c>
      <c r="H32" s="165" t="s">
        <v>37</v>
      </c>
      <c r="I32" s="31">
        <f>C32*40</f>
        <v>10</v>
      </c>
      <c r="J32" s="26">
        <f>37*C32*E32</f>
        <v>693.75</v>
      </c>
      <c r="K32" s="50">
        <f>J32*3</f>
        <v>2081.25</v>
      </c>
      <c r="L32" s="168">
        <f>C32*40</f>
        <v>10</v>
      </c>
      <c r="M32" s="50">
        <f>L32*E32</f>
        <v>750</v>
      </c>
      <c r="N32" s="50">
        <f t="shared" si="0"/>
        <v>2081.25</v>
      </c>
    </row>
    <row r="33" spans="1:14" ht="25.5" x14ac:dyDescent="0.25">
      <c r="A33" s="8" t="s">
        <v>38</v>
      </c>
      <c r="B33" s="8"/>
      <c r="C33" s="8"/>
      <c r="D33" s="8"/>
      <c r="E33" s="8"/>
      <c r="F33" s="8"/>
      <c r="G33" s="8"/>
      <c r="H33" s="9"/>
      <c r="I33" s="33"/>
      <c r="J33" s="8"/>
      <c r="K33" s="8"/>
      <c r="L33" s="11"/>
      <c r="M33" s="8"/>
      <c r="N33" s="8"/>
    </row>
    <row r="34" spans="1:14" ht="25.5" x14ac:dyDescent="0.25">
      <c r="A34" s="12" t="s">
        <v>39</v>
      </c>
      <c r="B34" s="12"/>
      <c r="C34" s="12"/>
      <c r="D34" s="12"/>
      <c r="E34" s="12"/>
      <c r="F34" s="13">
        <f>SUM(F35:F36)</f>
        <v>850</v>
      </c>
      <c r="G34" s="49">
        <f>SUM(G35:G36)</f>
        <v>9350</v>
      </c>
      <c r="H34" s="164"/>
      <c r="I34" s="169"/>
      <c r="J34" s="49">
        <f>SUM(J35:J36)</f>
        <v>2850</v>
      </c>
      <c r="K34" s="49">
        <f>SUM(K35:K36)</f>
        <v>11850</v>
      </c>
      <c r="L34" s="170"/>
      <c r="M34" s="49">
        <f>SUM(M35:M36)</f>
        <v>2850</v>
      </c>
      <c r="N34" s="49">
        <f>SUM(N35:N36)</f>
        <v>11850</v>
      </c>
    </row>
    <row r="35" spans="1:14" ht="38.25" x14ac:dyDescent="0.25">
      <c r="A35" s="34" t="s">
        <v>40</v>
      </c>
      <c r="B35" s="22" t="s">
        <v>41</v>
      </c>
      <c r="C35" s="23">
        <v>1</v>
      </c>
      <c r="D35" s="24" t="s">
        <v>24</v>
      </c>
      <c r="E35" s="25">
        <v>500</v>
      </c>
      <c r="F35" s="26">
        <v>500</v>
      </c>
      <c r="G35" s="50">
        <f>F35*11</f>
        <v>5500</v>
      </c>
      <c r="H35" s="164" t="s">
        <v>42</v>
      </c>
      <c r="I35" s="171">
        <v>1</v>
      </c>
      <c r="J35" s="51">
        <v>2500</v>
      </c>
      <c r="K35" s="51">
        <f>J35+I35*E35*11</f>
        <v>8000</v>
      </c>
      <c r="L35" s="168">
        <v>1</v>
      </c>
      <c r="M35" s="51">
        <v>2500</v>
      </c>
      <c r="N35" s="51">
        <f>M35+L35*E35*11</f>
        <v>8000</v>
      </c>
    </row>
    <row r="36" spans="1:14" ht="127.5" x14ac:dyDescent="0.25">
      <c r="A36" s="5" t="s">
        <v>43</v>
      </c>
      <c r="B36" s="35" t="s">
        <v>44</v>
      </c>
      <c r="C36" s="23">
        <v>7</v>
      </c>
      <c r="D36" s="23" t="s">
        <v>24</v>
      </c>
      <c r="E36" s="30">
        <v>50</v>
      </c>
      <c r="F36" s="26">
        <f>E36*C36</f>
        <v>350</v>
      </c>
      <c r="G36" s="50">
        <f>F36*11</f>
        <v>3850</v>
      </c>
      <c r="H36" s="165" t="s">
        <v>53</v>
      </c>
      <c r="I36" s="171">
        <v>7</v>
      </c>
      <c r="J36" s="50">
        <f>E36*I36</f>
        <v>350</v>
      </c>
      <c r="K36" s="50">
        <f>J36*11</f>
        <v>3850</v>
      </c>
      <c r="L36" s="168">
        <v>7</v>
      </c>
      <c r="M36" s="50">
        <f>E36*L36</f>
        <v>350</v>
      </c>
      <c r="N36" s="50">
        <f>M36*11</f>
        <v>3850</v>
      </c>
    </row>
    <row r="37" spans="1:14" ht="25.5" x14ac:dyDescent="0.25">
      <c r="A37" s="12" t="s">
        <v>45</v>
      </c>
      <c r="B37" s="12"/>
      <c r="C37" s="12"/>
      <c r="D37" s="12"/>
      <c r="E37" s="12"/>
      <c r="F37" s="36">
        <f>F23+F27+F34</f>
        <v>22505.65</v>
      </c>
      <c r="G37" s="36">
        <f>G23+G27+G34</f>
        <v>140999.65</v>
      </c>
      <c r="H37" s="37"/>
      <c r="I37" s="38"/>
      <c r="J37" s="36">
        <f>J23+J27+J34</f>
        <v>21633.15</v>
      </c>
      <c r="K37" s="36">
        <f>K23+K27+K34</f>
        <v>139577.15</v>
      </c>
      <c r="L37" s="36"/>
      <c r="M37" s="36">
        <f>M23+M27+M34</f>
        <v>21689.4</v>
      </c>
      <c r="N37" s="36">
        <f>N23+N27+N34</f>
        <v>139577.15</v>
      </c>
    </row>
    <row r="38" spans="1:14" x14ac:dyDescent="0.25">
      <c r="A38" s="12" t="s">
        <v>46</v>
      </c>
      <c r="B38" s="12"/>
      <c r="C38" s="12"/>
      <c r="D38" s="12"/>
      <c r="E38" s="12"/>
      <c r="F38" s="13">
        <f>F37*0.1</f>
        <v>2250.5650000000001</v>
      </c>
      <c r="G38" s="13">
        <f>G37*0.1</f>
        <v>14099.965</v>
      </c>
      <c r="H38" s="235"/>
      <c r="I38" s="39"/>
      <c r="J38" s="13">
        <f>J37*0.1</f>
        <v>2163.3150000000001</v>
      </c>
      <c r="K38" s="13">
        <f>K37*0.1</f>
        <v>13957.715</v>
      </c>
      <c r="L38" s="13"/>
      <c r="M38" s="13">
        <f>M37*0.1</f>
        <v>2168.94</v>
      </c>
      <c r="N38" s="13">
        <f>N37*0.1</f>
        <v>13957.715</v>
      </c>
    </row>
    <row r="39" spans="1:14" s="247" customFormat="1" x14ac:dyDescent="0.25">
      <c r="A39" s="48" t="s">
        <v>47</v>
      </c>
      <c r="B39" s="48"/>
      <c r="C39" s="48"/>
      <c r="D39" s="48"/>
      <c r="E39" s="48"/>
      <c r="F39" s="174">
        <f>F37+F38</f>
        <v>24756.215</v>
      </c>
      <c r="G39" s="172">
        <f>G37+G38</f>
        <v>155099.61499999999</v>
      </c>
      <c r="H39" s="175"/>
      <c r="I39" s="176"/>
      <c r="J39" s="174">
        <f>J37+J38</f>
        <v>23796.465</v>
      </c>
      <c r="K39" s="172">
        <f>K37+K38</f>
        <v>153534.86499999999</v>
      </c>
      <c r="L39" s="174"/>
      <c r="M39" s="174">
        <f>M37+M38</f>
        <v>23858.34</v>
      </c>
      <c r="N39" s="172">
        <f>N37+N38</f>
        <v>153534.86499999999</v>
      </c>
    </row>
    <row r="40" spans="1:14" s="247" customFormat="1" x14ac:dyDescent="0.25">
      <c r="A40" s="374" t="s">
        <v>48</v>
      </c>
      <c r="B40" s="368"/>
      <c r="C40" s="368"/>
      <c r="D40" s="368"/>
      <c r="E40" s="368"/>
      <c r="F40" s="368"/>
      <c r="G40" s="368"/>
      <c r="H40" s="368"/>
      <c r="I40" s="368"/>
      <c r="J40" s="368"/>
      <c r="K40" s="368"/>
      <c r="L40" s="368"/>
      <c r="M40" s="368"/>
      <c r="N40" s="173">
        <f>G39+K39+N39</f>
        <v>462169.34499999997</v>
      </c>
    </row>
    <row r="41" spans="1:14" x14ac:dyDescent="0.25">
      <c r="A41" s="4"/>
      <c r="B41" s="4"/>
      <c r="C41" s="4"/>
      <c r="D41" s="4"/>
      <c r="E41" s="4"/>
      <c r="F41" s="4"/>
      <c r="G41" s="4"/>
      <c r="H41" s="4"/>
      <c r="I41" s="4"/>
      <c r="J41" s="4"/>
      <c r="K41" s="4"/>
      <c r="L41" s="4"/>
      <c r="M41" s="4"/>
      <c r="N41" s="4"/>
    </row>
    <row r="42" spans="1:14" x14ac:dyDescent="0.25">
      <c r="A42" s="40" t="s">
        <v>49</v>
      </c>
      <c r="B42" s="40"/>
      <c r="C42" s="40"/>
      <c r="D42" s="40"/>
      <c r="E42" s="40"/>
      <c r="F42" s="40"/>
      <c r="G42" s="40"/>
      <c r="H42" s="40"/>
      <c r="I42" s="40"/>
      <c r="J42" s="40"/>
      <c r="K42" s="40"/>
      <c r="L42" s="40"/>
      <c r="M42" s="4"/>
      <c r="N42" s="4"/>
    </row>
    <row r="43" spans="1:14" s="247" customFormat="1" ht="52.5" customHeight="1" x14ac:dyDescent="0.25">
      <c r="A43" s="374"/>
      <c r="B43" s="363" t="s">
        <v>8</v>
      </c>
      <c r="C43" s="363" t="s">
        <v>381</v>
      </c>
      <c r="D43" s="364" t="s">
        <v>356</v>
      </c>
      <c r="E43" s="363" t="s">
        <v>281</v>
      </c>
      <c r="F43" s="364" t="s">
        <v>298</v>
      </c>
      <c r="G43" s="364" t="s">
        <v>282</v>
      </c>
      <c r="H43" s="363" t="s">
        <v>283</v>
      </c>
      <c r="I43" s="364" t="s">
        <v>300</v>
      </c>
      <c r="J43" s="364" t="s">
        <v>518</v>
      </c>
    </row>
    <row r="44" spans="1:14" s="247" customFormat="1" x14ac:dyDescent="0.25">
      <c r="A44" s="368" t="s">
        <v>50</v>
      </c>
      <c r="B44" s="368">
        <v>60</v>
      </c>
      <c r="C44" s="368">
        <f>ROUND((B44/12*11),0)</f>
        <v>55</v>
      </c>
      <c r="D44" s="370">
        <f>G39</f>
        <v>155099.61499999999</v>
      </c>
      <c r="E44" s="370">
        <v>72</v>
      </c>
      <c r="F44" s="369">
        <v>2564.27</v>
      </c>
      <c r="G44" s="378">
        <f>ROUND(E44*F44,0)</f>
        <v>184627</v>
      </c>
      <c r="H44" s="378">
        <v>86</v>
      </c>
      <c r="I44" s="379">
        <v>2289.2800000000002</v>
      </c>
      <c r="J44" s="378">
        <f>ROUND(H44*I44,0)</f>
        <v>196878</v>
      </c>
    </row>
    <row r="45" spans="1:14" s="247" customFormat="1" x14ac:dyDescent="0.25">
      <c r="A45" s="368" t="s">
        <v>51</v>
      </c>
      <c r="B45" s="368">
        <v>40</v>
      </c>
      <c r="C45" s="368">
        <f t="shared" ref="C45:C46" si="1">ROUND((B45/12*11),0)</f>
        <v>37</v>
      </c>
      <c r="D45" s="370">
        <f>K39</f>
        <v>153534.86499999999</v>
      </c>
      <c r="E45" s="370">
        <v>48</v>
      </c>
      <c r="F45" s="369">
        <v>3629.38</v>
      </c>
      <c r="G45" s="378">
        <f t="shared" ref="G45:G46" si="2">ROUND(E45*F45,0)</f>
        <v>174210</v>
      </c>
      <c r="H45" s="378">
        <v>58</v>
      </c>
      <c r="I45" s="379">
        <v>3170.76</v>
      </c>
      <c r="J45" s="378">
        <f t="shared" ref="J45:J46" si="3">ROUND(H45*I45,0)</f>
        <v>183904</v>
      </c>
    </row>
    <row r="46" spans="1:14" s="247" customFormat="1" x14ac:dyDescent="0.25">
      <c r="A46" s="368" t="s">
        <v>52</v>
      </c>
      <c r="B46" s="368">
        <v>40</v>
      </c>
      <c r="C46" s="368">
        <f t="shared" si="1"/>
        <v>37</v>
      </c>
      <c r="D46" s="370">
        <f>N39</f>
        <v>153534.86499999999</v>
      </c>
      <c r="E46" s="370">
        <v>48</v>
      </c>
      <c r="F46" s="369">
        <v>3629.38</v>
      </c>
      <c r="G46" s="378">
        <f t="shared" si="2"/>
        <v>174210</v>
      </c>
      <c r="H46" s="378">
        <v>58</v>
      </c>
      <c r="I46" s="379">
        <v>3170.76</v>
      </c>
      <c r="J46" s="378">
        <f t="shared" si="3"/>
        <v>183904</v>
      </c>
    </row>
    <row r="47" spans="1:14" s="247" customFormat="1" x14ac:dyDescent="0.25">
      <c r="A47" s="374" t="s">
        <v>10</v>
      </c>
      <c r="B47" s="374">
        <f>B44+B45+B46</f>
        <v>140</v>
      </c>
      <c r="C47" s="374">
        <f>C44+C45+C46</f>
        <v>129</v>
      </c>
      <c r="D47" s="173">
        <f>D44+D45+D46</f>
        <v>462169.34499999997</v>
      </c>
      <c r="E47" s="380">
        <f t="shared" ref="E47:G47" si="4">E44+E45+E46</f>
        <v>168</v>
      </c>
      <c r="F47" s="46">
        <f>(F44+F45+F46)/3</f>
        <v>3274.3433333333328</v>
      </c>
      <c r="G47" s="173">
        <f t="shared" si="4"/>
        <v>533047</v>
      </c>
      <c r="H47" s="378">
        <v>202</v>
      </c>
      <c r="I47" s="46">
        <f>(I44+I45+I46)/3</f>
        <v>2876.9333333333338</v>
      </c>
      <c r="J47" s="381">
        <v>564685.99</v>
      </c>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s="58" customFormat="1" ht="15.75" x14ac:dyDescent="0.25">
      <c r="A50" s="382" t="s">
        <v>382</v>
      </c>
    </row>
    <row r="51" spans="1:14" ht="85.5" x14ac:dyDescent="0.25">
      <c r="A51" s="383" t="s">
        <v>365</v>
      </c>
      <c r="B51" s="383" t="s">
        <v>301</v>
      </c>
      <c r="C51" s="383" t="s">
        <v>519</v>
      </c>
    </row>
    <row r="52" spans="1:14" x14ac:dyDescent="0.25">
      <c r="A52" s="108">
        <f>ROUND(E12+D47,0)</f>
        <v>671904</v>
      </c>
      <c r="B52" s="108">
        <f>ROUND(G12+G47,0)</f>
        <v>843333</v>
      </c>
      <c r="C52" s="108">
        <f>ROUND(I12+J47,0)</f>
        <v>959078</v>
      </c>
    </row>
    <row r="53" spans="1:14" x14ac:dyDescent="0.25">
      <c r="A53" s="4"/>
      <c r="B53" s="4"/>
      <c r="C53" s="4"/>
      <c r="D53" s="4"/>
      <c r="E53" s="4"/>
      <c r="F53" s="4"/>
      <c r="G53" s="4"/>
      <c r="H53" s="4"/>
      <c r="I53" s="4"/>
      <c r="J53" s="4"/>
      <c r="K53" s="4"/>
      <c r="L53" s="4"/>
      <c r="M53" s="4"/>
      <c r="N53" s="4"/>
    </row>
    <row r="55" spans="1:14" x14ac:dyDescent="0.25">
      <c r="A55" s="384"/>
    </row>
    <row r="56" spans="1:14" x14ac:dyDescent="0.25">
      <c r="A56" s="384"/>
    </row>
    <row r="57" spans="1:14" x14ac:dyDescent="0.25">
      <c r="A57" s="384"/>
    </row>
    <row r="58" spans="1:14" x14ac:dyDescent="0.25">
      <c r="A58" s="384"/>
    </row>
    <row r="59" spans="1:14" x14ac:dyDescent="0.25">
      <c r="A59" s="385"/>
    </row>
    <row r="60" spans="1:14" x14ac:dyDescent="0.25">
      <c r="A60" s="384"/>
    </row>
    <row r="62" spans="1:14" x14ac:dyDescent="0.25">
      <c r="A62" s="386"/>
    </row>
    <row r="63" spans="1:14" x14ac:dyDescent="0.25">
      <c r="A63" s="386"/>
    </row>
    <row r="64" spans="1:14" x14ac:dyDescent="0.25">
      <c r="A64" s="386"/>
    </row>
    <row r="65" spans="1:1" x14ac:dyDescent="0.25">
      <c r="A65" s="386"/>
    </row>
    <row r="66" spans="1:1" x14ac:dyDescent="0.25">
      <c r="A66" s="386"/>
    </row>
    <row r="67" spans="1:1" x14ac:dyDescent="0.25">
      <c r="A67" s="387"/>
    </row>
    <row r="68" spans="1:1" x14ac:dyDescent="0.25">
      <c r="A68" s="386"/>
    </row>
  </sheetData>
  <mergeCells count="17">
    <mergeCell ref="H19:H21"/>
    <mergeCell ref="A8:N8"/>
    <mergeCell ref="A16:N16"/>
    <mergeCell ref="A17:N17"/>
    <mergeCell ref="L18:N18"/>
    <mergeCell ref="A19:A21"/>
    <mergeCell ref="B19:B21"/>
    <mergeCell ref="C19:C21"/>
    <mergeCell ref="D19:D21"/>
    <mergeCell ref="E19:G19"/>
    <mergeCell ref="I19:K19"/>
    <mergeCell ref="L19:N19"/>
    <mergeCell ref="A1:K1"/>
    <mergeCell ref="B2:K2"/>
    <mergeCell ref="L1:N1"/>
    <mergeCell ref="A18:H18"/>
    <mergeCell ref="I18:K18"/>
  </mergeCells>
  <pageMargins left="0.7" right="0.7" top="0.75" bottom="0.75" header="0.3" footer="0.3"/>
  <pageSetup paperSize="9" scale="5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8"/>
  <sheetViews>
    <sheetView topLeftCell="B1" zoomScaleNormal="100" workbookViewId="0">
      <selection activeCell="H20" sqref="H20"/>
    </sheetView>
  </sheetViews>
  <sheetFormatPr defaultColWidth="8.7109375" defaultRowHeight="12.75" x14ac:dyDescent="0.2"/>
  <cols>
    <col min="1" max="1" width="27" style="135" customWidth="1"/>
    <col min="2" max="2" width="13.85546875" style="135" customWidth="1"/>
    <col min="3" max="3" width="17.42578125" style="135" customWidth="1"/>
    <col min="4" max="4" width="17.5703125" style="135" customWidth="1"/>
    <col min="5" max="5" width="19.140625" style="135" customWidth="1"/>
    <col min="6" max="6" width="17.5703125" style="135" customWidth="1"/>
    <col min="7" max="7" width="20" style="135" customWidth="1"/>
    <col min="8" max="8" width="47.42578125" style="135" customWidth="1"/>
    <col min="9" max="9" width="27.5703125" style="135" customWidth="1"/>
    <col min="10" max="12" width="15.7109375" style="135" customWidth="1"/>
    <col min="13" max="13" width="16.42578125" style="135" customWidth="1"/>
    <col min="14" max="14" width="15.7109375" style="135" customWidth="1"/>
    <col min="15" max="16384" width="8.7109375" style="135"/>
  </cols>
  <sheetData>
    <row r="1" spans="1:12" ht="55.5" customHeight="1" x14ac:dyDescent="0.2">
      <c r="A1" s="540" t="s">
        <v>339</v>
      </c>
      <c r="B1" s="540"/>
      <c r="C1" s="540"/>
      <c r="D1" s="540"/>
      <c r="E1" s="540"/>
      <c r="F1" s="540"/>
      <c r="G1" s="540"/>
      <c r="H1" s="388" t="s">
        <v>442</v>
      </c>
    </row>
    <row r="2" spans="1:12" ht="34.5" customHeight="1" x14ac:dyDescent="0.25">
      <c r="A2" s="541" t="s">
        <v>458</v>
      </c>
      <c r="B2" s="541"/>
      <c r="C2" s="541"/>
      <c r="D2" s="541"/>
      <c r="E2" s="541"/>
      <c r="F2" s="541"/>
      <c r="G2" s="541"/>
      <c r="H2" s="389"/>
      <c r="I2" s="389"/>
      <c r="J2" s="389"/>
      <c r="K2" s="389"/>
      <c r="L2" s="389"/>
    </row>
    <row r="3" spans="1:12" s="391" customFormat="1" ht="15.75" x14ac:dyDescent="0.2">
      <c r="A3" s="390" t="s">
        <v>459</v>
      </c>
      <c r="B3" s="390"/>
      <c r="C3" s="390"/>
      <c r="D3" s="390"/>
      <c r="E3" s="390"/>
      <c r="F3" s="390"/>
      <c r="G3" s="390"/>
      <c r="H3" s="390"/>
      <c r="I3" s="390"/>
      <c r="J3" s="390"/>
      <c r="K3" s="390"/>
      <c r="L3" s="390"/>
    </row>
    <row r="4" spans="1:12" ht="15.75" x14ac:dyDescent="0.2">
      <c r="A4" s="392"/>
      <c r="B4" s="392"/>
      <c r="C4" s="392"/>
      <c r="D4" s="392"/>
      <c r="E4" s="392"/>
      <c r="F4" s="392"/>
      <c r="G4" s="392"/>
      <c r="H4" s="392"/>
      <c r="I4" s="392"/>
      <c r="J4" s="392"/>
      <c r="K4" s="392"/>
      <c r="L4" s="392"/>
    </row>
    <row r="5" spans="1:12" s="393" customFormat="1" ht="15.75" x14ac:dyDescent="0.25">
      <c r="A5" s="82" t="s">
        <v>54</v>
      </c>
      <c r="B5" s="80"/>
      <c r="C5" s="69"/>
      <c r="D5" s="69"/>
      <c r="E5" s="69"/>
      <c r="F5" s="360"/>
      <c r="G5" s="360"/>
      <c r="H5" s="360"/>
    </row>
    <row r="6" spans="1:12" s="393" customFormat="1" ht="15.75" x14ac:dyDescent="0.25">
      <c r="A6" s="97" t="s">
        <v>245</v>
      </c>
      <c r="B6" s="81"/>
      <c r="C6" s="72"/>
      <c r="D6" s="72"/>
      <c r="E6" s="72"/>
      <c r="F6" s="360"/>
      <c r="G6" s="360"/>
      <c r="H6" s="360"/>
    </row>
    <row r="7" spans="1:12" x14ac:dyDescent="0.2">
      <c r="A7" s="95" t="s">
        <v>264</v>
      </c>
      <c r="B7" s="132"/>
      <c r="C7" s="133"/>
      <c r="D7" s="133"/>
      <c r="E7" s="133"/>
    </row>
    <row r="8" spans="1:12" x14ac:dyDescent="0.2">
      <c r="A8" s="95"/>
      <c r="B8" s="132"/>
      <c r="C8" s="133"/>
      <c r="D8" s="133"/>
      <c r="E8" s="133"/>
    </row>
    <row r="9" spans="1:12" x14ac:dyDescent="0.2">
      <c r="A9" s="277" t="s">
        <v>395</v>
      </c>
      <c r="B9" s="277"/>
      <c r="C9" s="277"/>
      <c r="D9" s="277"/>
      <c r="E9" s="277"/>
      <c r="F9" s="277"/>
    </row>
    <row r="10" spans="1:12" x14ac:dyDescent="0.2">
      <c r="A10" s="277" t="s">
        <v>394</v>
      </c>
      <c r="B10" s="277"/>
      <c r="C10" s="277"/>
      <c r="D10" s="277"/>
      <c r="E10" s="277"/>
      <c r="F10" s="277"/>
    </row>
    <row r="11" spans="1:12" x14ac:dyDescent="0.2">
      <c r="A11" s="277" t="s">
        <v>396</v>
      </c>
      <c r="B11" s="277"/>
      <c r="C11" s="277"/>
      <c r="D11" s="277"/>
      <c r="E11" s="277"/>
      <c r="F11" s="277"/>
    </row>
    <row r="12" spans="1:12" x14ac:dyDescent="0.2">
      <c r="A12" s="539" t="s">
        <v>357</v>
      </c>
      <c r="B12" s="539"/>
      <c r="C12" s="539"/>
      <c r="D12" s="277">
        <v>1.18</v>
      </c>
      <c r="E12" s="277"/>
      <c r="F12" s="277"/>
    </row>
    <row r="13" spans="1:12" s="395" customFormat="1" ht="63.75" x14ac:dyDescent="0.2">
      <c r="A13" s="394" t="s">
        <v>284</v>
      </c>
      <c r="B13" s="394" t="s">
        <v>400</v>
      </c>
      <c r="C13" s="394" t="s">
        <v>397</v>
      </c>
      <c r="D13" s="394" t="s">
        <v>422</v>
      </c>
      <c r="E13" s="394" t="s">
        <v>358</v>
      </c>
      <c r="F13" s="394" t="s">
        <v>412</v>
      </c>
      <c r="G13" s="394" t="s">
        <v>398</v>
      </c>
      <c r="H13" s="394" t="s">
        <v>399</v>
      </c>
    </row>
    <row r="14" spans="1:12" x14ac:dyDescent="0.2">
      <c r="A14" s="396" t="s">
        <v>285</v>
      </c>
      <c r="B14" s="397">
        <v>12.75</v>
      </c>
      <c r="C14" s="398">
        <f>G24</f>
        <v>45997.06</v>
      </c>
      <c r="D14" s="398">
        <f>B14*$D$12</f>
        <v>15.045</v>
      </c>
      <c r="E14" s="398">
        <f>D14-B14</f>
        <v>2.2949999999999999</v>
      </c>
      <c r="F14" s="398">
        <f>B14*C14</f>
        <v>586462.51500000001</v>
      </c>
      <c r="G14" s="399">
        <f>H14/12*11</f>
        <v>96766.314975000001</v>
      </c>
      <c r="H14" s="399">
        <f>E14*C14</f>
        <v>105563.2527</v>
      </c>
    </row>
    <row r="15" spans="1:12" x14ac:dyDescent="0.2">
      <c r="A15" s="396" t="s">
        <v>286</v>
      </c>
      <c r="B15" s="397">
        <v>81</v>
      </c>
      <c r="C15" s="398">
        <f>G27</f>
        <v>23693.89</v>
      </c>
      <c r="D15" s="398">
        <f>B15*$D$12</f>
        <v>95.58</v>
      </c>
      <c r="E15" s="398">
        <f t="shared" ref="E15:E18" si="0">D15-B15</f>
        <v>14.579999999999998</v>
      </c>
      <c r="F15" s="398">
        <f t="shared" ref="F15:F18" si="1">B15*C15</f>
        <v>1919205.0899999999</v>
      </c>
      <c r="G15" s="399">
        <f t="shared" ref="G15:G18" si="2">H15/12*11</f>
        <v>316668.83984999999</v>
      </c>
      <c r="H15" s="399">
        <f>E15*C15</f>
        <v>345456.91619999998</v>
      </c>
    </row>
    <row r="16" spans="1:12" x14ac:dyDescent="0.2">
      <c r="A16" s="396" t="s">
        <v>145</v>
      </c>
      <c r="B16" s="397">
        <v>74.75</v>
      </c>
      <c r="C16" s="398">
        <f>G24</f>
        <v>45997.06</v>
      </c>
      <c r="D16" s="398">
        <f>B16*$D$12</f>
        <v>88.204999999999998</v>
      </c>
      <c r="E16" s="398">
        <f t="shared" si="0"/>
        <v>13.454999999999998</v>
      </c>
      <c r="F16" s="398">
        <f t="shared" si="1"/>
        <v>3438280.2349999999</v>
      </c>
      <c r="G16" s="399">
        <f t="shared" si="2"/>
        <v>567316.23877499986</v>
      </c>
      <c r="H16" s="399">
        <f>E16*C16</f>
        <v>618890.44229999988</v>
      </c>
    </row>
    <row r="17" spans="1:8" x14ac:dyDescent="0.2">
      <c r="A17" s="396" t="s">
        <v>287</v>
      </c>
      <c r="B17" s="397">
        <v>25.75</v>
      </c>
      <c r="C17" s="398">
        <f>G25</f>
        <v>45046.06</v>
      </c>
      <c r="D17" s="398">
        <f>B17*$D$12</f>
        <v>30.384999999999998</v>
      </c>
      <c r="E17" s="398">
        <f t="shared" si="0"/>
        <v>4.634999999999998</v>
      </c>
      <c r="F17" s="398">
        <f t="shared" si="1"/>
        <v>1159936.0449999999</v>
      </c>
      <c r="G17" s="399">
        <f t="shared" si="2"/>
        <v>191389.44742499993</v>
      </c>
      <c r="H17" s="399">
        <f>E17*C17</f>
        <v>208788.4880999999</v>
      </c>
    </row>
    <row r="18" spans="1:8" x14ac:dyDescent="0.2">
      <c r="A18" s="134" t="s">
        <v>288</v>
      </c>
      <c r="B18" s="397">
        <v>17.75</v>
      </c>
      <c r="C18" s="398">
        <f>G26</f>
        <v>37037.42</v>
      </c>
      <c r="D18" s="398">
        <f>B18*$D$12</f>
        <v>20.945</v>
      </c>
      <c r="E18" s="398">
        <f t="shared" si="0"/>
        <v>3.1950000000000003</v>
      </c>
      <c r="F18" s="398">
        <f t="shared" si="1"/>
        <v>657414.20499999996</v>
      </c>
      <c r="G18" s="399">
        <f t="shared" si="2"/>
        <v>108473.34382500002</v>
      </c>
      <c r="H18" s="399">
        <f>E18*C18</f>
        <v>118334.55690000001</v>
      </c>
    </row>
    <row r="19" spans="1:8" x14ac:dyDescent="0.2">
      <c r="A19" s="400" t="s">
        <v>10</v>
      </c>
      <c r="B19" s="399">
        <f>SUM(B14:B18)</f>
        <v>212</v>
      </c>
      <c r="C19" s="399">
        <f t="shared" ref="C19:E19" si="3">SUM(C14:C18)</f>
        <v>197771.49</v>
      </c>
      <c r="D19" s="399">
        <f t="shared" si="3"/>
        <v>250.15999999999997</v>
      </c>
      <c r="E19" s="399">
        <f t="shared" si="3"/>
        <v>38.159999999999997</v>
      </c>
      <c r="F19" s="401">
        <f>SUM(F14:F18)</f>
        <v>7761298.0899999999</v>
      </c>
      <c r="G19" s="402">
        <f>ROUND(SUM(G14:G18),0)</f>
        <v>1280614</v>
      </c>
      <c r="H19" s="402">
        <f>ROUND(SUM(H14:H18),0)</f>
        <v>1397034</v>
      </c>
    </row>
    <row r="21" spans="1:8" ht="13.5" thickBot="1" x14ac:dyDescent="0.25"/>
    <row r="22" spans="1:8" ht="42" thickBot="1" x14ac:dyDescent="0.25">
      <c r="A22" s="177"/>
      <c r="B22" s="177" t="s">
        <v>289</v>
      </c>
      <c r="C22" s="177" t="s">
        <v>383</v>
      </c>
      <c r="D22" s="177" t="s">
        <v>297</v>
      </c>
      <c r="E22" s="177" t="s">
        <v>290</v>
      </c>
      <c r="F22" s="177" t="s">
        <v>291</v>
      </c>
      <c r="G22" s="177" t="s">
        <v>292</v>
      </c>
    </row>
    <row r="23" spans="1:8" ht="13.5" thickBot="1" x14ac:dyDescent="0.25">
      <c r="A23" s="177">
        <v>1</v>
      </c>
      <c r="B23" s="178">
        <v>2</v>
      </c>
      <c r="C23" s="178">
        <v>3</v>
      </c>
      <c r="D23" s="178" t="s">
        <v>293</v>
      </c>
      <c r="E23" s="178" t="s">
        <v>294</v>
      </c>
      <c r="F23" s="178">
        <v>6</v>
      </c>
      <c r="G23" s="177"/>
    </row>
    <row r="24" spans="1:8" ht="13.5" thickBot="1" x14ac:dyDescent="0.25">
      <c r="A24" s="177" t="s">
        <v>295</v>
      </c>
      <c r="B24" s="177">
        <v>1862</v>
      </c>
      <c r="C24" s="177">
        <v>945</v>
      </c>
      <c r="D24" s="179">
        <f>(B24+C24)*0.2359</f>
        <v>662.17129999999997</v>
      </c>
      <c r="E24" s="180">
        <f>(B24+C24+D24)*12</f>
        <v>41630.0556</v>
      </c>
      <c r="F24" s="181">
        <v>4367</v>
      </c>
      <c r="G24" s="180">
        <f>ROUND(E24+F24, 2)</f>
        <v>45997.06</v>
      </c>
    </row>
    <row r="25" spans="1:8" ht="13.5" thickBot="1" x14ac:dyDescent="0.25">
      <c r="A25" s="177" t="s">
        <v>144</v>
      </c>
      <c r="B25" s="177">
        <v>1862</v>
      </c>
      <c r="C25" s="177">
        <v>945</v>
      </c>
      <c r="D25" s="179">
        <f t="shared" ref="D25:D27" si="4">(B25+C25)*0.2359</f>
        <v>662.17129999999997</v>
      </c>
      <c r="E25" s="180">
        <f t="shared" ref="E25:E27" si="5">(B25+C25+D25)*12</f>
        <v>41630.0556</v>
      </c>
      <c r="F25" s="181">
        <v>3416</v>
      </c>
      <c r="G25" s="180">
        <f t="shared" ref="G25:G27" si="6">ROUND(E25+F25, 2)</f>
        <v>45046.06</v>
      </c>
    </row>
    <row r="26" spans="1:8" ht="13.5" thickBot="1" x14ac:dyDescent="0.25">
      <c r="A26" s="177" t="s">
        <v>296</v>
      </c>
      <c r="B26" s="177">
        <v>1862</v>
      </c>
      <c r="C26" s="177">
        <v>405</v>
      </c>
      <c r="D26" s="179">
        <f t="shared" si="4"/>
        <v>534.78530000000001</v>
      </c>
      <c r="E26" s="180">
        <f t="shared" si="5"/>
        <v>33621.423600000002</v>
      </c>
      <c r="F26" s="181">
        <v>3416</v>
      </c>
      <c r="G26" s="180">
        <f t="shared" si="6"/>
        <v>37037.42</v>
      </c>
    </row>
    <row r="27" spans="1:8" ht="13.5" thickBot="1" x14ac:dyDescent="0.25">
      <c r="A27" s="177" t="s">
        <v>286</v>
      </c>
      <c r="B27" s="177">
        <v>1117</v>
      </c>
      <c r="C27" s="177">
        <v>243</v>
      </c>
      <c r="D27" s="179">
        <f t="shared" si="4"/>
        <v>320.82400000000001</v>
      </c>
      <c r="E27" s="180">
        <f t="shared" si="5"/>
        <v>20169.887999999999</v>
      </c>
      <c r="F27" s="181">
        <v>3524</v>
      </c>
      <c r="G27" s="180">
        <f t="shared" si="6"/>
        <v>23693.89</v>
      </c>
    </row>
    <row r="28" spans="1:8" ht="90.75" customHeight="1" x14ac:dyDescent="0.2">
      <c r="A28" s="538" t="s">
        <v>384</v>
      </c>
      <c r="B28" s="538"/>
      <c r="C28" s="538"/>
      <c r="D28" s="538"/>
      <c r="E28" s="538"/>
      <c r="F28" s="538"/>
      <c r="G28" s="538"/>
    </row>
  </sheetData>
  <mergeCells count="4">
    <mergeCell ref="A28:G28"/>
    <mergeCell ref="A12:C12"/>
    <mergeCell ref="A1:G1"/>
    <mergeCell ref="A2:G2"/>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
  <sheetViews>
    <sheetView zoomScale="90" zoomScaleNormal="90" workbookViewId="0">
      <selection activeCell="G11" sqref="G11"/>
    </sheetView>
  </sheetViews>
  <sheetFormatPr defaultColWidth="9.140625" defaultRowHeight="15" x14ac:dyDescent="0.25"/>
  <cols>
    <col min="1" max="1" width="44" style="408" customWidth="1"/>
    <col min="2" max="2" width="13.5703125" style="408" customWidth="1"/>
    <col min="3" max="3" width="13.140625" style="408" customWidth="1"/>
    <col min="4" max="4" width="14.5703125" style="408" customWidth="1"/>
    <col min="5" max="5" width="14.42578125" style="408" customWidth="1"/>
    <col min="6" max="6" width="13.42578125" style="408" customWidth="1"/>
    <col min="7" max="7" width="13.5703125" style="408" customWidth="1"/>
    <col min="8" max="8" width="16.5703125" style="408" customWidth="1"/>
    <col min="9" max="9" width="51.140625" style="408" customWidth="1"/>
    <col min="10" max="16384" width="9.140625" style="408"/>
  </cols>
  <sheetData>
    <row r="1" spans="1:13" s="103" customFormat="1" ht="57" customHeight="1" x14ac:dyDescent="0.25">
      <c r="A1" s="542" t="s">
        <v>339</v>
      </c>
      <c r="B1" s="542"/>
      <c r="C1" s="542"/>
      <c r="D1" s="542"/>
      <c r="E1" s="542"/>
      <c r="F1" s="542"/>
      <c r="G1" s="542"/>
      <c r="H1" s="542"/>
      <c r="I1" s="403" t="s">
        <v>443</v>
      </c>
    </row>
    <row r="2" spans="1:13" s="103" customFormat="1" ht="15" customHeight="1" x14ac:dyDescent="0.25">
      <c r="A2" s="543" t="s">
        <v>458</v>
      </c>
      <c r="B2" s="543"/>
      <c r="C2" s="543"/>
      <c r="D2" s="543"/>
      <c r="E2" s="543"/>
      <c r="F2" s="543"/>
      <c r="G2" s="543"/>
      <c r="H2" s="543"/>
      <c r="I2" s="274"/>
      <c r="J2" s="274"/>
      <c r="K2" s="274"/>
      <c r="L2" s="274"/>
    </row>
    <row r="3" spans="1:13" s="103" customFormat="1" ht="33.75" customHeight="1" x14ac:dyDescent="0.25">
      <c r="A3" s="404" t="s">
        <v>460</v>
      </c>
      <c r="B3" s="405"/>
      <c r="C3" s="405"/>
      <c r="D3" s="405"/>
      <c r="E3" s="405"/>
      <c r="F3" s="405"/>
      <c r="G3" s="405"/>
      <c r="H3" s="405"/>
      <c r="I3" s="405"/>
      <c r="J3" s="405"/>
      <c r="K3" s="405"/>
      <c r="L3" s="405"/>
    </row>
    <row r="4" spans="1:13" s="103" customFormat="1" ht="15" customHeight="1" x14ac:dyDescent="0.25">
      <c r="A4" s="406"/>
      <c r="B4" s="312"/>
      <c r="C4" s="312"/>
      <c r="D4" s="312"/>
      <c r="E4" s="312"/>
      <c r="F4" s="312"/>
      <c r="G4" s="312"/>
      <c r="H4" s="312"/>
      <c r="I4" s="312"/>
      <c r="J4" s="312"/>
      <c r="K4" s="312"/>
      <c r="L4" s="312"/>
      <c r="M4" s="312"/>
    </row>
    <row r="5" spans="1:13" s="82" customFormat="1" ht="15.75" x14ac:dyDescent="0.25">
      <c r="A5" s="76" t="s">
        <v>54</v>
      </c>
      <c r="C5" s="80"/>
      <c r="D5" s="80"/>
      <c r="E5" s="191"/>
      <c r="F5" s="191"/>
      <c r="G5" s="191"/>
      <c r="H5" s="191"/>
      <c r="I5" s="191"/>
      <c r="J5" s="191"/>
      <c r="K5" s="191"/>
      <c r="L5" s="191"/>
    </row>
    <row r="6" spans="1:13" s="82" customFormat="1" ht="15.75" x14ac:dyDescent="0.25">
      <c r="A6" s="95" t="s">
        <v>308</v>
      </c>
      <c r="C6" s="81"/>
      <c r="D6" s="81"/>
      <c r="E6" s="191"/>
      <c r="F6" s="191"/>
      <c r="G6" s="191"/>
      <c r="H6" s="191"/>
      <c r="I6" s="191"/>
      <c r="J6" s="191"/>
      <c r="K6" s="191"/>
      <c r="L6" s="191"/>
    </row>
    <row r="7" spans="1:13" s="82" customFormat="1" x14ac:dyDescent="0.25">
      <c r="A7" s="95" t="s">
        <v>264</v>
      </c>
      <c r="C7" s="76"/>
      <c r="D7" s="76"/>
      <c r="E7" s="76"/>
      <c r="F7" s="76"/>
      <c r="G7" s="76"/>
      <c r="H7" s="76"/>
      <c r="I7" s="76"/>
      <c r="J7" s="76"/>
      <c r="K7" s="76"/>
      <c r="L7" s="76"/>
      <c r="M7" s="76"/>
    </row>
    <row r="8" spans="1:13" s="103" customFormat="1" x14ac:dyDescent="0.25">
      <c r="A8" s="406"/>
      <c r="B8" s="406"/>
      <c r="C8" s="406"/>
      <c r="D8" s="406"/>
      <c r="E8" s="406"/>
      <c r="F8" s="406"/>
      <c r="G8" s="406"/>
      <c r="H8" s="406"/>
      <c r="I8" s="406"/>
      <c r="J8" s="406"/>
      <c r="K8" s="406"/>
    </row>
    <row r="9" spans="1:13" x14ac:dyDescent="0.25">
      <c r="A9" s="407"/>
    </row>
    <row r="10" spans="1:13" s="103" customFormat="1" ht="45" customHeight="1" x14ac:dyDescent="0.25">
      <c r="A10" s="409" t="s">
        <v>360</v>
      </c>
      <c r="B10" s="409" t="s">
        <v>309</v>
      </c>
      <c r="C10" s="409" t="s">
        <v>305</v>
      </c>
      <c r="D10" s="409" t="s">
        <v>310</v>
      </c>
      <c r="E10" s="409" t="s">
        <v>311</v>
      </c>
      <c r="F10" s="409" t="s">
        <v>312</v>
      </c>
      <c r="G10" s="409" t="s">
        <v>306</v>
      </c>
      <c r="H10" s="409" t="s">
        <v>307</v>
      </c>
      <c r="I10" s="406"/>
      <c r="J10" s="406"/>
      <c r="K10" s="406"/>
    </row>
    <row r="11" spans="1:13" s="155" customFormat="1" ht="61.5" customHeight="1" x14ac:dyDescent="0.25">
      <c r="A11" s="410" t="s">
        <v>313</v>
      </c>
      <c r="B11" s="411">
        <v>18</v>
      </c>
      <c r="C11" s="411">
        <v>18</v>
      </c>
      <c r="D11" s="412">
        <v>18</v>
      </c>
      <c r="E11" s="411">
        <f>B11*C11</f>
        <v>324</v>
      </c>
      <c r="F11" s="411">
        <v>1000</v>
      </c>
      <c r="G11" s="413">
        <f>G12+G13+G14+G15+G16+G17+G18+G19</f>
        <v>323985</v>
      </c>
      <c r="H11" s="414">
        <v>2021</v>
      </c>
    </row>
    <row r="12" spans="1:13" s="155" customFormat="1" ht="53.1" customHeight="1" x14ac:dyDescent="0.25">
      <c r="A12" s="141" t="s">
        <v>314</v>
      </c>
      <c r="B12" s="415"/>
      <c r="C12" s="415"/>
      <c r="D12" s="415"/>
      <c r="E12" s="415"/>
      <c r="F12" s="415"/>
      <c r="G12" s="411">
        <v>274428</v>
      </c>
      <c r="H12" s="416"/>
    </row>
    <row r="13" spans="1:13" s="155" customFormat="1" ht="30" x14ac:dyDescent="0.25">
      <c r="A13" s="141" t="s">
        <v>315</v>
      </c>
      <c r="B13" s="411"/>
      <c r="C13" s="411"/>
      <c r="D13" s="412"/>
      <c r="E13" s="411"/>
      <c r="F13" s="411"/>
      <c r="G13" s="411">
        <v>6050</v>
      </c>
      <c r="H13" s="416"/>
    </row>
    <row r="14" spans="1:13" s="155" customFormat="1" x14ac:dyDescent="0.25">
      <c r="A14" s="141" t="s">
        <v>316</v>
      </c>
      <c r="B14" s="411"/>
      <c r="C14" s="411"/>
      <c r="D14" s="412"/>
      <c r="E14" s="411"/>
      <c r="F14" s="411"/>
      <c r="G14" s="411">
        <v>2420</v>
      </c>
      <c r="H14" s="416"/>
    </row>
    <row r="15" spans="1:13" s="155" customFormat="1" x14ac:dyDescent="0.25">
      <c r="A15" s="141" t="s">
        <v>317</v>
      </c>
      <c r="B15" s="411"/>
      <c r="C15" s="411"/>
      <c r="D15" s="412"/>
      <c r="E15" s="411"/>
      <c r="F15" s="411"/>
      <c r="G15" s="411">
        <v>605</v>
      </c>
      <c r="H15" s="416"/>
    </row>
    <row r="16" spans="1:13" s="155" customFormat="1" x14ac:dyDescent="0.25">
      <c r="A16" s="141" t="s">
        <v>318</v>
      </c>
      <c r="B16" s="411"/>
      <c r="C16" s="411"/>
      <c r="D16" s="412"/>
      <c r="E16" s="411"/>
      <c r="F16" s="411"/>
      <c r="G16" s="411">
        <v>8840</v>
      </c>
      <c r="H16" s="416"/>
    </row>
    <row r="17" spans="1:8" s="155" customFormat="1" ht="45" x14ac:dyDescent="0.25">
      <c r="A17" s="141" t="s">
        <v>319</v>
      </c>
      <c r="B17" s="411"/>
      <c r="C17" s="411"/>
      <c r="D17" s="412"/>
      <c r="E17" s="411"/>
      <c r="F17" s="411"/>
      <c r="G17" s="411">
        <v>15730</v>
      </c>
      <c r="H17" s="416"/>
    </row>
    <row r="18" spans="1:8" s="155" customFormat="1" x14ac:dyDescent="0.25">
      <c r="A18" s="141" t="s">
        <v>320</v>
      </c>
      <c r="B18" s="411"/>
      <c r="C18" s="411"/>
      <c r="D18" s="412"/>
      <c r="E18" s="411"/>
      <c r="F18" s="411"/>
      <c r="G18" s="411">
        <v>8712</v>
      </c>
      <c r="H18" s="416"/>
    </row>
    <row r="19" spans="1:8" s="155" customFormat="1" x14ac:dyDescent="0.25">
      <c r="A19" s="417" t="s">
        <v>321</v>
      </c>
      <c r="B19" s="415"/>
      <c r="C19" s="415"/>
      <c r="D19" s="415"/>
      <c r="E19" s="415"/>
      <c r="F19" s="414">
        <v>400</v>
      </c>
      <c r="G19" s="411">
        <f>F19*C11</f>
        <v>7200</v>
      </c>
      <c r="H19" s="415"/>
    </row>
    <row r="20" spans="1:8" s="155" customFormat="1" x14ac:dyDescent="0.25"/>
  </sheetData>
  <mergeCells count="2">
    <mergeCell ref="A1:H1"/>
    <mergeCell ref="A2:H2"/>
  </mergeCells>
  <pageMargins left="0.70866141732283472" right="0.70866141732283472" top="0.74803149606299213" bottom="0.74803149606299213"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34"/>
  <sheetViews>
    <sheetView zoomScale="80" zoomScaleNormal="80" workbookViewId="0">
      <selection activeCell="D6" sqref="D6"/>
    </sheetView>
  </sheetViews>
  <sheetFormatPr defaultColWidth="8.7109375" defaultRowHeight="15" x14ac:dyDescent="0.25"/>
  <cols>
    <col min="1" max="1" width="14.85546875" style="272" customWidth="1"/>
    <col min="2" max="2" width="17.42578125" style="272" customWidth="1"/>
    <col min="3" max="3" width="26.7109375" style="272" customWidth="1"/>
    <col min="4" max="4" width="16.28515625" style="272" customWidth="1"/>
    <col min="5" max="5" width="22" style="272" customWidth="1"/>
    <col min="6" max="6" width="23.140625" style="272" customWidth="1"/>
    <col min="7" max="7" width="14.42578125" style="272" customWidth="1"/>
    <col min="8" max="8" width="14.7109375" style="272" customWidth="1"/>
    <col min="9" max="9" width="37.140625" style="272" customWidth="1"/>
    <col min="10" max="10" width="15.28515625" style="272" customWidth="1"/>
    <col min="11" max="11" width="18.140625" style="272" customWidth="1"/>
    <col min="12" max="13" width="8.7109375" style="272"/>
    <col min="14" max="14" width="13.42578125" style="272" customWidth="1"/>
    <col min="15" max="16" width="10.5703125" style="272" customWidth="1"/>
    <col min="17" max="17" width="8.7109375" style="272"/>
    <col min="18" max="18" width="13.28515625" style="272" customWidth="1"/>
    <col min="19" max="19" width="15.28515625" style="272" customWidth="1"/>
    <col min="20" max="20" width="16.42578125" style="272" customWidth="1"/>
    <col min="21" max="16384" width="8.7109375" style="272"/>
  </cols>
  <sheetData>
    <row r="1" spans="1:20" ht="70.5" customHeight="1" x14ac:dyDescent="0.25">
      <c r="A1" s="510" t="s">
        <v>339</v>
      </c>
      <c r="B1" s="510"/>
      <c r="C1" s="510"/>
      <c r="D1" s="510"/>
      <c r="E1" s="510"/>
      <c r="F1" s="510"/>
      <c r="G1" s="510"/>
      <c r="H1" s="510"/>
      <c r="I1" s="510"/>
      <c r="J1" s="510"/>
      <c r="K1" s="510"/>
      <c r="L1" s="510"/>
      <c r="M1" s="510"/>
      <c r="R1" s="506" t="s">
        <v>444</v>
      </c>
      <c r="S1" s="506"/>
      <c r="T1" s="506"/>
    </row>
    <row r="2" spans="1:20" ht="15" customHeight="1" x14ac:dyDescent="0.25">
      <c r="A2" s="404" t="s">
        <v>433</v>
      </c>
      <c r="B2" s="404"/>
      <c r="C2" s="404"/>
      <c r="D2" s="404"/>
      <c r="E2" s="404"/>
      <c r="F2" s="404"/>
      <c r="G2" s="404"/>
      <c r="H2" s="404"/>
      <c r="I2" s="404"/>
      <c r="J2" s="404"/>
      <c r="K2" s="404"/>
      <c r="L2" s="404"/>
    </row>
    <row r="3" spans="1:20" ht="15" customHeight="1" x14ac:dyDescent="0.25">
      <c r="A3" s="404"/>
      <c r="B3" s="404"/>
      <c r="C3" s="404"/>
      <c r="D3" s="404"/>
      <c r="E3" s="404"/>
      <c r="F3" s="404"/>
      <c r="G3" s="404"/>
      <c r="H3" s="404"/>
      <c r="I3" s="404"/>
      <c r="J3" s="404"/>
      <c r="K3" s="404"/>
      <c r="L3" s="404"/>
    </row>
    <row r="4" spans="1:20" s="421" customFormat="1" ht="78.75" x14ac:dyDescent="0.25">
      <c r="A4" s="418" t="s">
        <v>54</v>
      </c>
      <c r="B4" s="419"/>
      <c r="C4" s="419"/>
      <c r="D4" s="147" t="s">
        <v>365</v>
      </c>
      <c r="E4" s="147" t="s">
        <v>338</v>
      </c>
      <c r="F4" s="420"/>
      <c r="G4" s="420"/>
      <c r="H4" s="420"/>
    </row>
    <row r="5" spans="1:20" s="276" customFormat="1" ht="36" customHeight="1" x14ac:dyDescent="0.25">
      <c r="A5" s="544" t="s">
        <v>55</v>
      </c>
      <c r="B5" s="544"/>
      <c r="C5" s="545"/>
      <c r="D5" s="148">
        <f>ROUND((D17+S31),0)</f>
        <v>107889</v>
      </c>
      <c r="E5" s="148">
        <f>ROUND((E17+T31),0)</f>
        <v>197495</v>
      </c>
      <c r="F5" s="254"/>
      <c r="G5" s="277"/>
      <c r="H5" s="277"/>
    </row>
    <row r="6" spans="1:20" s="276" customFormat="1" ht="36" customHeight="1" x14ac:dyDescent="0.25">
      <c r="A6" s="544" t="s">
        <v>245</v>
      </c>
      <c r="B6" s="544"/>
      <c r="C6" s="545"/>
      <c r="D6" s="149">
        <f>ROUND(J17,0)</f>
        <v>48267</v>
      </c>
      <c r="E6" s="149">
        <f>ROUND(K17,0)</f>
        <v>52655</v>
      </c>
      <c r="F6" s="277"/>
      <c r="G6" s="277"/>
      <c r="H6" s="277"/>
    </row>
    <row r="7" spans="1:20" s="276" customFormat="1" ht="15.75" x14ac:dyDescent="0.25">
      <c r="A7" s="252"/>
      <c r="B7" s="95"/>
      <c r="C7" s="81"/>
      <c r="D7" s="81"/>
      <c r="E7" s="77"/>
      <c r="F7" s="78"/>
      <c r="G7" s="277"/>
      <c r="H7" s="277"/>
      <c r="I7" s="277"/>
    </row>
    <row r="8" spans="1:20" ht="15.75" x14ac:dyDescent="0.25">
      <c r="A8" s="530" t="s">
        <v>464</v>
      </c>
      <c r="B8" s="530"/>
      <c r="C8" s="530"/>
      <c r="D8" s="530"/>
      <c r="E8" s="530"/>
      <c r="F8" s="530"/>
      <c r="G8" s="530"/>
      <c r="H8" s="530"/>
      <c r="I8" s="530"/>
      <c r="J8" s="530"/>
    </row>
    <row r="9" spans="1:20" ht="15.75" customHeight="1" x14ac:dyDescent="0.25">
      <c r="A9" s="546" t="s">
        <v>56</v>
      </c>
      <c r="B9" s="546"/>
      <c r="C9" s="546"/>
      <c r="D9" s="546"/>
      <c r="E9" s="546"/>
      <c r="F9" s="546"/>
      <c r="G9" s="546"/>
      <c r="H9" s="422"/>
    </row>
    <row r="10" spans="1:20" s="246" customFormat="1" ht="31.5" x14ac:dyDescent="0.25">
      <c r="A10" s="184" t="s">
        <v>57</v>
      </c>
      <c r="B10" s="184" t="s">
        <v>362</v>
      </c>
      <c r="C10" s="184" t="s">
        <v>520</v>
      </c>
      <c r="D10" s="184" t="s">
        <v>363</v>
      </c>
      <c r="E10" s="150"/>
      <c r="F10" s="150"/>
      <c r="G10" s="150"/>
      <c r="H10" s="423"/>
    </row>
    <row r="11" spans="1:20" s="246" customFormat="1" ht="15.75" x14ac:dyDescent="0.25">
      <c r="A11" s="185">
        <v>93453</v>
      </c>
      <c r="B11" s="185">
        <f>A11/12</f>
        <v>7787.75</v>
      </c>
      <c r="C11" s="186">
        <v>5</v>
      </c>
      <c r="D11" s="185">
        <f>ROUND(B11*C11/100,0)</f>
        <v>389</v>
      </c>
      <c r="E11" s="150"/>
      <c r="F11" s="150"/>
      <c r="G11" s="150"/>
      <c r="H11" s="423"/>
    </row>
    <row r="12" spans="1:20" s="246" customFormat="1" ht="15.75" x14ac:dyDescent="0.25">
      <c r="B12" s="2"/>
      <c r="C12" s="186">
        <v>20</v>
      </c>
      <c r="D12" s="185">
        <f>ROUND(B11*C12/100,0)</f>
        <v>1558</v>
      </c>
      <c r="F12" s="2"/>
      <c r="G12" s="2"/>
      <c r="H12" s="150"/>
      <c r="I12" s="423"/>
    </row>
    <row r="13" spans="1:20" s="246" customFormat="1" ht="15.75" x14ac:dyDescent="0.25">
      <c r="A13" s="2" t="s">
        <v>521</v>
      </c>
      <c r="B13" s="2"/>
      <c r="C13" s="2"/>
      <c r="D13" s="2"/>
      <c r="E13" s="2"/>
      <c r="F13" s="2"/>
      <c r="G13" s="150"/>
      <c r="H13" s="423"/>
    </row>
    <row r="14" spans="1:20" s="246" customFormat="1" ht="15.75" x14ac:dyDescent="0.25">
      <c r="A14" s="2"/>
      <c r="B14" s="2"/>
      <c r="C14" s="2"/>
      <c r="D14" s="2"/>
      <c r="E14" s="2"/>
      <c r="F14" s="2"/>
      <c r="G14" s="150"/>
      <c r="H14" s="423"/>
    </row>
    <row r="15" spans="1:20" s="246" customFormat="1" ht="15.75" x14ac:dyDescent="0.25">
      <c r="A15" s="188" t="s">
        <v>241</v>
      </c>
      <c r="B15" s="2"/>
      <c r="C15" s="2"/>
      <c r="D15" s="2"/>
      <c r="G15" s="188" t="s">
        <v>242</v>
      </c>
      <c r="H15" s="423"/>
    </row>
    <row r="16" spans="1:20" s="246" customFormat="1" ht="94.5" x14ac:dyDescent="0.25">
      <c r="A16" s="182" t="s">
        <v>363</v>
      </c>
      <c r="B16" s="182" t="s">
        <v>364</v>
      </c>
      <c r="C16" s="182" t="s">
        <v>522</v>
      </c>
      <c r="D16" s="187" t="s">
        <v>365</v>
      </c>
      <c r="E16" s="187" t="s">
        <v>338</v>
      </c>
      <c r="F16" s="79"/>
      <c r="G16" s="182" t="s">
        <v>58</v>
      </c>
      <c r="H16" s="182" t="s">
        <v>364</v>
      </c>
      <c r="I16" s="182" t="s">
        <v>342</v>
      </c>
      <c r="J16" s="187" t="s">
        <v>365</v>
      </c>
      <c r="K16" s="187" t="s">
        <v>338</v>
      </c>
    </row>
    <row r="17" spans="1:20" s="246" customFormat="1" ht="15.75" x14ac:dyDescent="0.25">
      <c r="A17" s="183">
        <f>D11</f>
        <v>389</v>
      </c>
      <c r="B17" s="183">
        <f>A17*11</f>
        <v>4279</v>
      </c>
      <c r="C17" s="3">
        <v>4.7</v>
      </c>
      <c r="D17" s="53">
        <f>B17*C17</f>
        <v>20111.3</v>
      </c>
      <c r="E17" s="53">
        <f>A17*12*C17</f>
        <v>21939.600000000002</v>
      </c>
      <c r="F17" s="2"/>
      <c r="G17" s="183">
        <f>D11</f>
        <v>389</v>
      </c>
      <c r="H17" s="183">
        <f>G17*11</f>
        <v>4279</v>
      </c>
      <c r="I17" s="3">
        <v>11.28</v>
      </c>
      <c r="J17" s="53">
        <f>ROUND(H17*I17,0)</f>
        <v>48267</v>
      </c>
      <c r="K17" s="108">
        <f>G17*12*I17</f>
        <v>52655.039999999994</v>
      </c>
    </row>
    <row r="18" spans="1:20" s="246" customFormat="1" ht="15.75" x14ac:dyDescent="0.25">
      <c r="A18" s="150"/>
      <c r="B18" s="150"/>
      <c r="C18" s="150" t="s">
        <v>361</v>
      </c>
      <c r="D18" s="150"/>
      <c r="E18" s="150"/>
      <c r="F18" s="150"/>
      <c r="G18" s="150"/>
      <c r="H18" s="150"/>
      <c r="I18" s="150" t="s">
        <v>361</v>
      </c>
    </row>
    <row r="19" spans="1:20" ht="15.75" x14ac:dyDescent="0.25">
      <c r="A19" s="1"/>
      <c r="B19" s="1"/>
      <c r="C19" s="1"/>
      <c r="D19" s="1"/>
      <c r="E19" s="1"/>
      <c r="F19" s="1"/>
      <c r="G19" s="1"/>
    </row>
    <row r="20" spans="1:20" ht="19.5" customHeight="1" x14ac:dyDescent="0.25">
      <c r="A20" s="547" t="s">
        <v>434</v>
      </c>
      <c r="B20" s="547"/>
      <c r="C20" s="547"/>
      <c r="D20" s="547"/>
      <c r="E20" s="547"/>
      <c r="F20" s="547"/>
      <c r="G20" s="547"/>
      <c r="H20" s="547"/>
      <c r="I20" s="547"/>
      <c r="J20" s="547"/>
    </row>
    <row r="21" spans="1:20" ht="15.75" x14ac:dyDescent="0.25">
      <c r="A21" s="1" t="s">
        <v>120</v>
      </c>
      <c r="B21" s="1"/>
      <c r="C21" s="1"/>
      <c r="D21" s="1"/>
      <c r="E21" s="1"/>
      <c r="F21" s="1"/>
      <c r="G21" s="1"/>
      <c r="H21" s="1"/>
    </row>
    <row r="22" spans="1:20" x14ac:dyDescent="0.25">
      <c r="A22" s="60" t="s">
        <v>115</v>
      </c>
      <c r="B22" s="55"/>
      <c r="C22" s="55"/>
      <c r="D22" s="55"/>
      <c r="E22" s="551" t="s">
        <v>184</v>
      </c>
      <c r="F22" s="551"/>
      <c r="G22" s="551"/>
      <c r="H22" s="239"/>
      <c r="I22" s="55"/>
      <c r="J22" s="55"/>
      <c r="K22" s="55"/>
      <c r="L22" s="55"/>
      <c r="M22" s="55"/>
      <c r="N22" s="55"/>
      <c r="O22" s="55"/>
      <c r="P22" s="55"/>
      <c r="Q22" s="55"/>
      <c r="R22" s="54"/>
      <c r="S22" s="54"/>
    </row>
    <row r="23" spans="1:20" ht="90" customHeight="1" x14ac:dyDescent="0.25">
      <c r="A23" s="424"/>
      <c r="B23" s="424"/>
      <c r="C23" s="424"/>
      <c r="D23" s="424"/>
      <c r="E23" s="424"/>
      <c r="F23" s="425" t="s">
        <v>150</v>
      </c>
      <c r="G23" s="425" t="s">
        <v>151</v>
      </c>
      <c r="H23" s="425" t="s">
        <v>152</v>
      </c>
      <c r="I23" s="518" t="s">
        <v>153</v>
      </c>
      <c r="J23" s="426"/>
      <c r="K23" s="424"/>
      <c r="L23" s="424"/>
      <c r="M23" s="424"/>
      <c r="N23" s="518" t="s">
        <v>154</v>
      </c>
      <c r="O23" s="518" t="s">
        <v>155</v>
      </c>
      <c r="P23" s="518" t="s">
        <v>156</v>
      </c>
      <c r="Q23" s="424"/>
      <c r="R23" s="355"/>
      <c r="S23" s="355"/>
    </row>
    <row r="24" spans="1:20" x14ac:dyDescent="0.25">
      <c r="A24" s="424"/>
      <c r="B24" s="424"/>
      <c r="C24" s="424"/>
      <c r="D24" s="424"/>
      <c r="E24" s="308" t="s">
        <v>157</v>
      </c>
      <c r="F24" s="309">
        <v>1862</v>
      </c>
      <c r="G24" s="309">
        <v>1117</v>
      </c>
      <c r="H24" s="309">
        <v>745</v>
      </c>
      <c r="I24" s="519"/>
      <c r="J24" s="424"/>
      <c r="K24" s="424"/>
      <c r="L24" s="424"/>
      <c r="M24" s="424"/>
      <c r="N24" s="519"/>
      <c r="O24" s="519"/>
      <c r="P24" s="519"/>
      <c r="Q24" s="424"/>
      <c r="R24" s="355"/>
      <c r="S24" s="355"/>
    </row>
    <row r="25" spans="1:20" x14ac:dyDescent="0.25">
      <c r="A25" s="424"/>
      <c r="B25" s="424"/>
      <c r="C25" s="424"/>
      <c r="D25" s="424"/>
      <c r="E25" s="308" t="s">
        <v>158</v>
      </c>
      <c r="F25" s="309">
        <f>ROUND(F24/9600,4)</f>
        <v>0.19400000000000001</v>
      </c>
      <c r="G25" s="309">
        <f t="shared" ref="G25" si="0">ROUND(G24/9600,4)</f>
        <v>0.1164</v>
      </c>
      <c r="H25" s="309">
        <f>ROUND(H24/9600,4)</f>
        <v>7.7600000000000002E-2</v>
      </c>
      <c r="I25" s="309">
        <v>0.2359</v>
      </c>
      <c r="J25" s="424"/>
      <c r="K25" s="424"/>
      <c r="L25" s="424"/>
      <c r="M25" s="308" t="s">
        <v>159</v>
      </c>
      <c r="N25" s="309">
        <v>0.31330000000000002</v>
      </c>
      <c r="O25" s="309">
        <v>2.5100000000000001E-2</v>
      </c>
      <c r="P25" s="309">
        <v>4.0099999999999997E-2</v>
      </c>
      <c r="Q25" s="424"/>
      <c r="R25" s="355"/>
      <c r="S25" s="355"/>
    </row>
    <row r="26" spans="1:20" x14ac:dyDescent="0.25">
      <c r="A26" s="424"/>
      <c r="B26" s="424"/>
      <c r="C26" s="424"/>
      <c r="D26" s="424"/>
      <c r="E26" s="424"/>
      <c r="F26" s="424"/>
      <c r="G26" s="424"/>
      <c r="H26" s="424"/>
      <c r="I26" s="424"/>
      <c r="J26" s="424"/>
      <c r="K26" s="424"/>
      <c r="L26" s="424"/>
      <c r="M26" s="424"/>
      <c r="N26" s="424"/>
      <c r="O26" s="424"/>
      <c r="P26" s="424"/>
      <c r="Q26" s="424"/>
      <c r="R26" s="355"/>
      <c r="S26" s="355"/>
    </row>
    <row r="27" spans="1:20" ht="15" customHeight="1" x14ac:dyDescent="0.25">
      <c r="A27" s="516" t="s">
        <v>160</v>
      </c>
      <c r="B27" s="516" t="s">
        <v>116</v>
      </c>
      <c r="C27" s="516" t="s">
        <v>161</v>
      </c>
      <c r="D27" s="516"/>
      <c r="E27" s="516"/>
      <c r="F27" s="516"/>
      <c r="G27" s="516"/>
      <c r="H27" s="516"/>
      <c r="I27" s="516"/>
      <c r="J27" s="516"/>
      <c r="K27" s="516"/>
      <c r="L27" s="516"/>
      <c r="M27" s="516"/>
      <c r="N27" s="516"/>
      <c r="O27" s="516"/>
      <c r="P27" s="516"/>
      <c r="Q27" s="516" t="s">
        <v>119</v>
      </c>
      <c r="R27" s="427"/>
      <c r="S27" s="427"/>
      <c r="T27" s="428"/>
    </row>
    <row r="28" spans="1:20" ht="75" customHeight="1" x14ac:dyDescent="0.25">
      <c r="A28" s="516"/>
      <c r="B28" s="516"/>
      <c r="C28" s="516" t="s">
        <v>162</v>
      </c>
      <c r="D28" s="516"/>
      <c r="E28" s="516"/>
      <c r="F28" s="516" t="s">
        <v>163</v>
      </c>
      <c r="G28" s="516"/>
      <c r="H28" s="516"/>
      <c r="I28" s="301" t="s">
        <v>164</v>
      </c>
      <c r="J28" s="516" t="s">
        <v>165</v>
      </c>
      <c r="K28" s="516"/>
      <c r="L28" s="516"/>
      <c r="M28" s="516" t="s">
        <v>166</v>
      </c>
      <c r="N28" s="516" t="s">
        <v>167</v>
      </c>
      <c r="O28" s="516" t="s">
        <v>168</v>
      </c>
      <c r="P28" s="516" t="s">
        <v>169</v>
      </c>
      <c r="Q28" s="513"/>
      <c r="R28" s="549" t="s">
        <v>366</v>
      </c>
      <c r="S28" s="548" t="s">
        <v>367</v>
      </c>
      <c r="T28" s="548" t="s">
        <v>337</v>
      </c>
    </row>
    <row r="29" spans="1:20" ht="60" customHeight="1" x14ac:dyDescent="0.25">
      <c r="A29" s="516"/>
      <c r="B29" s="516"/>
      <c r="C29" s="301" t="s">
        <v>170</v>
      </c>
      <c r="D29" s="301" t="s">
        <v>171</v>
      </c>
      <c r="E29" s="301" t="s">
        <v>172</v>
      </c>
      <c r="F29" s="301" t="s">
        <v>170</v>
      </c>
      <c r="G29" s="301" t="s">
        <v>171</v>
      </c>
      <c r="H29" s="301" t="s">
        <v>173</v>
      </c>
      <c r="I29" s="301" t="s">
        <v>174</v>
      </c>
      <c r="J29" s="301" t="s">
        <v>175</v>
      </c>
      <c r="K29" s="302" t="s">
        <v>117</v>
      </c>
      <c r="L29" s="301" t="s">
        <v>118</v>
      </c>
      <c r="M29" s="516"/>
      <c r="N29" s="516"/>
      <c r="O29" s="516"/>
      <c r="P29" s="516"/>
      <c r="Q29" s="513"/>
      <c r="R29" s="550"/>
      <c r="S29" s="548"/>
      <c r="T29" s="548"/>
    </row>
    <row r="30" spans="1:20" x14ac:dyDescent="0.25">
      <c r="A30" s="303">
        <v>1</v>
      </c>
      <c r="B30" s="303">
        <v>2</v>
      </c>
      <c r="C30" s="303">
        <v>3</v>
      </c>
      <c r="D30" s="303">
        <v>4</v>
      </c>
      <c r="E30" s="303">
        <v>5</v>
      </c>
      <c r="F30" s="303">
        <v>6</v>
      </c>
      <c r="G30" s="303">
        <v>7</v>
      </c>
      <c r="H30" s="303">
        <v>8</v>
      </c>
      <c r="I30" s="303">
        <v>9</v>
      </c>
      <c r="J30" s="303" t="s">
        <v>176</v>
      </c>
      <c r="K30" s="303">
        <v>11</v>
      </c>
      <c r="L30" s="303">
        <v>12</v>
      </c>
      <c r="M30" s="303">
        <v>13</v>
      </c>
      <c r="N30" s="303">
        <v>14</v>
      </c>
      <c r="O30" s="303">
        <v>15</v>
      </c>
      <c r="P30" s="303">
        <v>16</v>
      </c>
      <c r="Q30" s="303">
        <v>17</v>
      </c>
      <c r="R30" s="255">
        <v>18</v>
      </c>
      <c r="S30" s="429">
        <v>19</v>
      </c>
      <c r="T30" s="430">
        <v>20</v>
      </c>
    </row>
    <row r="31" spans="1:20" ht="69" customHeight="1" x14ac:dyDescent="0.25">
      <c r="A31" s="56" t="s">
        <v>177</v>
      </c>
      <c r="B31" s="42" t="s">
        <v>185</v>
      </c>
      <c r="C31" s="43">
        <v>30</v>
      </c>
      <c r="D31" s="43">
        <v>0</v>
      </c>
      <c r="E31" s="43">
        <v>0</v>
      </c>
      <c r="F31" s="44">
        <f>ROUND((C31*$F$25),2)</f>
        <v>5.82</v>
      </c>
      <c r="G31" s="44">
        <f>ROUND((D31*$F$25),2)</f>
        <v>0</v>
      </c>
      <c r="H31" s="44">
        <f>ROUND((E31*$F$25),2)</f>
        <v>0</v>
      </c>
      <c r="I31" s="44">
        <f>ROUND(((G31+F31+H31)*$I$25),2)</f>
        <v>1.37</v>
      </c>
      <c r="J31" s="304">
        <f>K31+L31</f>
        <v>0</v>
      </c>
      <c r="K31" s="304">
        <v>0</v>
      </c>
      <c r="L31" s="304">
        <v>0</v>
      </c>
      <c r="M31" s="44"/>
      <c r="N31" s="44">
        <f>ROUND((F31+G31+H31)*$N$25,2)</f>
        <v>1.82</v>
      </c>
      <c r="O31" s="44">
        <f>ROUND((F31+G31+H31)*$O$25,2)</f>
        <v>0.15</v>
      </c>
      <c r="P31" s="44">
        <f>ROUND((F31+G31+H31)*$P$25,2)</f>
        <v>0.23</v>
      </c>
      <c r="Q31" s="431">
        <f>ROUND((F31+G31+H31+I31+J31+M31+N31+O31+P31),2)</f>
        <v>9.39</v>
      </c>
      <c r="R31" s="432">
        <f>D12</f>
        <v>1558</v>
      </c>
      <c r="S31" s="433">
        <f>(Q31*R31)*6</f>
        <v>87777.72</v>
      </c>
      <c r="T31" s="433">
        <f>ROUND((Q31*R31)*12,0)</f>
        <v>175555</v>
      </c>
    </row>
    <row r="34" spans="2:4" x14ac:dyDescent="0.25">
      <c r="B34" s="195"/>
      <c r="C34" s="195"/>
      <c r="D34" s="434"/>
    </row>
  </sheetData>
  <mergeCells count="27">
    <mergeCell ref="P23:P24"/>
    <mergeCell ref="C27:L27"/>
    <mergeCell ref="M27:P27"/>
    <mergeCell ref="Q27:Q29"/>
    <mergeCell ref="C28:E28"/>
    <mergeCell ref="F28:H28"/>
    <mergeCell ref="J28:L28"/>
    <mergeCell ref="P28:P29"/>
    <mergeCell ref="M28:M29"/>
    <mergeCell ref="N28:N29"/>
    <mergeCell ref="O28:O29"/>
    <mergeCell ref="R1:T1"/>
    <mergeCell ref="A5:C5"/>
    <mergeCell ref="A6:C6"/>
    <mergeCell ref="A1:M1"/>
    <mergeCell ref="B27:B29"/>
    <mergeCell ref="O23:O24"/>
    <mergeCell ref="A27:A29"/>
    <mergeCell ref="N23:N24"/>
    <mergeCell ref="A9:G9"/>
    <mergeCell ref="A20:J20"/>
    <mergeCell ref="A8:J8"/>
    <mergeCell ref="T28:T29"/>
    <mergeCell ref="S28:S29"/>
    <mergeCell ref="R28:R29"/>
    <mergeCell ref="E22:G22"/>
    <mergeCell ref="I23:I24"/>
  </mergeCells>
  <pageMargins left="0.7" right="0.7" top="0.75" bottom="0.75" header="0.3" footer="0.3"/>
  <pageSetup paperSize="9" scale="40"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9"/>
  <sheetViews>
    <sheetView zoomScale="90" zoomScaleNormal="90" workbookViewId="0">
      <selection activeCell="D28" sqref="D28"/>
    </sheetView>
  </sheetViews>
  <sheetFormatPr defaultColWidth="8.7109375" defaultRowHeight="15" x14ac:dyDescent="0.25"/>
  <cols>
    <col min="1" max="1" width="25.7109375" style="83" customWidth="1"/>
    <col min="2" max="2" width="27" style="83" customWidth="1"/>
    <col min="3" max="3" width="21.7109375" style="83" customWidth="1"/>
    <col min="4" max="4" width="28.5703125" style="83" customWidth="1"/>
    <col min="5" max="8" width="8.7109375" style="83"/>
    <col min="9" max="9" width="16.42578125" style="83" customWidth="1"/>
    <col min="10" max="10" width="11.5703125" style="83" customWidth="1"/>
    <col min="11" max="11" width="12.7109375" style="83" customWidth="1"/>
    <col min="12" max="12" width="13" style="83" customWidth="1"/>
    <col min="13" max="16384" width="8.7109375" style="83"/>
  </cols>
  <sheetData>
    <row r="1" spans="1:14" ht="69.75" customHeight="1" x14ac:dyDescent="0.3">
      <c r="A1" s="557" t="s">
        <v>339</v>
      </c>
      <c r="B1" s="557"/>
      <c r="C1" s="557"/>
      <c r="D1" s="557"/>
      <c r="E1" s="557"/>
      <c r="F1" s="557"/>
      <c r="G1" s="557"/>
      <c r="H1" s="557"/>
      <c r="I1" s="557"/>
      <c r="J1" s="559" t="s">
        <v>445</v>
      </c>
      <c r="K1" s="559"/>
      <c r="L1" s="559"/>
      <c r="M1" s="143"/>
      <c r="N1" s="143"/>
    </row>
    <row r="2" spans="1:14" ht="15.75" x14ac:dyDescent="0.25">
      <c r="A2" s="552" t="s">
        <v>265</v>
      </c>
      <c r="B2" s="552"/>
      <c r="C2" s="552"/>
      <c r="D2" s="552"/>
      <c r="E2" s="552"/>
      <c r="F2" s="552"/>
      <c r="G2" s="552"/>
      <c r="H2" s="552"/>
      <c r="I2" s="552"/>
      <c r="J2" s="552"/>
      <c r="K2" s="552"/>
      <c r="L2" s="552"/>
    </row>
    <row r="3" spans="1:14" ht="34.5" customHeight="1" x14ac:dyDescent="0.25">
      <c r="A3" s="558" t="s">
        <v>428</v>
      </c>
      <c r="B3" s="558"/>
      <c r="C3" s="558"/>
      <c r="D3" s="558"/>
      <c r="E3" s="558"/>
      <c r="F3" s="558"/>
      <c r="G3" s="558"/>
      <c r="H3" s="558"/>
      <c r="I3" s="558"/>
      <c r="J3" s="142"/>
      <c r="K3" s="142"/>
      <c r="L3" s="142"/>
    </row>
    <row r="4" spans="1:14" x14ac:dyDescent="0.25">
      <c r="A4" s="90"/>
      <c r="B4" s="90"/>
      <c r="C4" s="90"/>
      <c r="D4" s="90"/>
      <c r="E4" s="90"/>
      <c r="F4" s="90"/>
      <c r="G4" s="90"/>
      <c r="H4" s="90"/>
      <c r="I4" s="90"/>
      <c r="J4" s="90"/>
      <c r="K4" s="90"/>
      <c r="L4" s="90"/>
    </row>
    <row r="5" spans="1:14" s="89" customFormat="1" x14ac:dyDescent="0.25">
      <c r="A5" s="68" t="s">
        <v>261</v>
      </c>
      <c r="B5" s="68"/>
      <c r="C5" s="68"/>
      <c r="D5" s="68"/>
      <c r="E5" s="68"/>
      <c r="F5" s="68"/>
      <c r="G5" s="68"/>
    </row>
    <row r="6" spans="1:14" x14ac:dyDescent="0.25">
      <c r="A6" s="45"/>
    </row>
    <row r="7" spans="1:14" ht="28.5" x14ac:dyDescent="0.25">
      <c r="A7" s="61" t="s">
        <v>179</v>
      </c>
      <c r="B7" s="62" t="s">
        <v>114</v>
      </c>
      <c r="C7" s="63" t="s">
        <v>256</v>
      </c>
      <c r="D7" s="63" t="s">
        <v>257</v>
      </c>
      <c r="E7" s="553" t="s">
        <v>236</v>
      </c>
      <c r="F7" s="553"/>
      <c r="G7" s="553"/>
      <c r="H7" s="553"/>
      <c r="I7" s="554"/>
    </row>
    <row r="8" spans="1:14" ht="89.25" customHeight="1" x14ac:dyDescent="0.25">
      <c r="A8" s="85" t="s">
        <v>258</v>
      </c>
      <c r="B8" s="86" t="s">
        <v>187</v>
      </c>
      <c r="C8" s="87">
        <v>9000</v>
      </c>
      <c r="D8" s="87">
        <v>10890</v>
      </c>
      <c r="E8" s="555" t="s">
        <v>385</v>
      </c>
      <c r="F8" s="555"/>
      <c r="G8" s="555"/>
      <c r="H8" s="555"/>
      <c r="I8" s="556"/>
    </row>
    <row r="9" spans="1:14" x14ac:dyDescent="0.25">
      <c r="C9" s="88"/>
    </row>
  </sheetData>
  <mergeCells count="6">
    <mergeCell ref="A2:L2"/>
    <mergeCell ref="E7:I7"/>
    <mergeCell ref="E8:I8"/>
    <mergeCell ref="A1:I1"/>
    <mergeCell ref="A3:I3"/>
    <mergeCell ref="J1:L1"/>
  </mergeCells>
  <pageMargins left="0.7" right="0.7" top="0.75" bottom="0.75" header="0.3" footer="0.3"/>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14</vt:i4>
      </vt:variant>
      <vt:variant>
        <vt:lpstr>Diapazoni ar nosaukumiem</vt:lpstr>
      </vt:variant>
      <vt:variant>
        <vt:i4>5</vt:i4>
      </vt:variant>
    </vt:vector>
  </HeadingPairs>
  <TitlesOfParts>
    <vt:vector size="19" baseType="lpstr">
      <vt:lpstr>KOPSAVILKUMS</vt:lpstr>
      <vt:lpstr>1.1.</vt:lpstr>
      <vt:lpstr>1.2.</vt:lpstr>
      <vt:lpstr>1.3.</vt:lpstr>
      <vt:lpstr>1.4.</vt:lpstr>
      <vt:lpstr>1.5.1</vt:lpstr>
      <vt:lpstr>1.5.2.</vt:lpstr>
      <vt:lpstr>2.</vt:lpstr>
      <vt:lpstr>3.1.1.</vt:lpstr>
      <vt:lpstr>3.1.2.</vt:lpstr>
      <vt:lpstr>3.1.3.</vt:lpstr>
      <vt:lpstr>3.1.4.</vt:lpstr>
      <vt:lpstr>3.2.</vt:lpstr>
      <vt:lpstr>4.1.</vt:lpstr>
      <vt:lpstr>'1.3.'!Drukas_apgabals</vt:lpstr>
      <vt:lpstr>'1.5.2.'!Drukas_apgabals</vt:lpstr>
      <vt:lpstr>'3.1.1.'!Drukas_apgabals</vt:lpstr>
      <vt:lpstr>'3.1.2.'!Drukas_apgabals</vt:lpstr>
      <vt:lpstr>'3.1.3.'!Drukas_apgabals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Ieva Melišus</cp:lastModifiedBy>
  <cp:lastPrinted>2021-01-12T10:25:26Z</cp:lastPrinted>
  <dcterms:created xsi:type="dcterms:W3CDTF">2020-11-30T12:34:21Z</dcterms:created>
  <dcterms:modified xsi:type="dcterms:W3CDTF">2021-01-12T10:26:02Z</dcterms:modified>
</cp:coreProperties>
</file>