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dc-skol-01.lm.local\LMHomeFolders\AirinaD\airinad\Desktop\Lindas_nodala\iemaksas 2 dalibvalstis\2020\RINA\uz saskanosanu\saskanosana\Uz MK\"/>
    </mc:Choice>
  </mc:AlternateContent>
  <xr:revisionPtr revIDLastSave="0" documentId="8_{41A41B73-1A8E-44AC-BAAE-647180301541}" xr6:coauthVersionLast="36" xr6:coauthVersionMax="36" xr10:uidLastSave="{00000000-0000-0000-0000-000000000000}"/>
  <bookViews>
    <workbookView xWindow="0" yWindow="0" windowWidth="28800" windowHeight="12225" activeTab="3" xr2:uid="{00000000-000D-0000-FFFF-FFFF00000000}"/>
  </bookViews>
  <sheets>
    <sheet name="Cover" sheetId="2" r:id="rId1"/>
    <sheet name="Costs overview" sheetId="14" r:id="rId2"/>
    <sheet name="Scenario 1 - Costs" sheetId="3" r:id="rId3"/>
    <sheet name="Scenario 2 - Costs" sheetId="11" r:id="rId4"/>
    <sheet name="Scenario 3 - Costs" sheetId="12" r:id="rId5"/>
    <sheet name="Scenario 4 - Costs" sheetId="13" r:id="rId6"/>
    <sheet name="Assumptions" sheetId="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2" i="8" l="1"/>
  <c r="E21" i="3" l="1"/>
  <c r="E60" i="12" l="1"/>
  <c r="E56" i="12"/>
  <c r="E52" i="12"/>
  <c r="E48" i="12"/>
  <c r="E44" i="12"/>
  <c r="E42" i="12"/>
  <c r="E40" i="12"/>
  <c r="E38" i="12"/>
  <c r="E36" i="12"/>
  <c r="E34" i="12"/>
  <c r="E32" i="12"/>
  <c r="E21" i="12"/>
  <c r="E20" i="12"/>
  <c r="E19" i="12"/>
  <c r="E11" i="12"/>
  <c r="E9" i="12"/>
  <c r="E73" i="3"/>
  <c r="E71" i="3"/>
  <c r="E58" i="3"/>
  <c r="E54" i="3"/>
  <c r="E50" i="3"/>
  <c r="E46" i="3"/>
  <c r="E42" i="3"/>
  <c r="E40" i="3"/>
  <c r="E38" i="3"/>
  <c r="E36" i="3"/>
  <c r="E34" i="3"/>
  <c r="E32" i="3"/>
  <c r="E30" i="3"/>
  <c r="E19" i="3"/>
  <c r="E18" i="3"/>
  <c r="E17" i="3"/>
  <c r="E13" i="3"/>
  <c r="E9" i="3"/>
  <c r="D6" i="14" l="1"/>
  <c r="E92" i="8" l="1"/>
  <c r="E90" i="8" s="1"/>
  <c r="F6" i="2" l="1"/>
  <c r="E15" i="12"/>
  <c r="E15" i="13"/>
  <c r="E15" i="11"/>
  <c r="E11" i="13"/>
  <c r="E48" i="3" l="1"/>
  <c r="E50" i="12"/>
  <c r="E66" i="13"/>
  <c r="E11" i="11"/>
  <c r="E150" i="8"/>
  <c r="E81" i="13"/>
  <c r="E80" i="13"/>
  <c r="E79" i="13"/>
  <c r="E78" i="13"/>
  <c r="E77" i="13"/>
  <c r="E76" i="13"/>
  <c r="E65" i="12"/>
  <c r="E64" i="12"/>
  <c r="E63" i="12"/>
  <c r="E62" i="12"/>
  <c r="E61" i="12"/>
  <c r="E63" i="3"/>
  <c r="E62" i="3"/>
  <c r="E61" i="3"/>
  <c r="E60" i="3"/>
  <c r="E59" i="3"/>
  <c r="E91" i="13"/>
  <c r="E89" i="13"/>
  <c r="E68" i="13"/>
  <c r="E22" i="13"/>
  <c r="E21" i="13"/>
  <c r="E13" i="13"/>
  <c r="E9" i="13"/>
  <c r="E75" i="3" l="1"/>
  <c r="E77" i="12"/>
  <c r="E72" i="13"/>
  <c r="E70" i="13" s="1"/>
  <c r="E56" i="13"/>
  <c r="E48" i="13"/>
  <c r="E38" i="13"/>
  <c r="E25" i="13"/>
  <c r="E75" i="12"/>
  <c r="E26" i="11"/>
  <c r="E64" i="13"/>
  <c r="E62" i="13" s="1"/>
  <c r="E54" i="13"/>
  <c r="E46" i="13"/>
  <c r="E30" i="13"/>
  <c r="E24" i="13"/>
  <c r="E73" i="12"/>
  <c r="E58" i="11"/>
  <c r="E9" i="11"/>
  <c r="E84" i="13"/>
  <c r="E60" i="13"/>
  <c r="E52" i="13"/>
  <c r="E42" i="13"/>
  <c r="E29" i="13"/>
  <c r="E17" i="13"/>
  <c r="E7" i="13" s="1"/>
  <c r="E28" i="11"/>
  <c r="E83" i="13"/>
  <c r="E58" i="13"/>
  <c r="E50" i="13"/>
  <c r="E40" i="13"/>
  <c r="E28" i="13"/>
  <c r="E13" i="12"/>
  <c r="E13" i="11"/>
  <c r="E27" i="11"/>
  <c r="E82" i="11"/>
  <c r="E77" i="11"/>
  <c r="E70" i="11"/>
  <c r="E68" i="11" s="1"/>
  <c r="E56" i="11"/>
  <c r="E48" i="11"/>
  <c r="E38" i="11"/>
  <c r="E20" i="11"/>
  <c r="E87" i="11"/>
  <c r="E64" i="11"/>
  <c r="E44" i="11"/>
  <c r="E78" i="11"/>
  <c r="E62" i="11"/>
  <c r="E36" i="11"/>
  <c r="E89" i="11"/>
  <c r="E81" i="11"/>
  <c r="E76" i="11"/>
  <c r="E66" i="11"/>
  <c r="E54" i="11"/>
  <c r="E46" i="11"/>
  <c r="E40" i="11"/>
  <c r="E19" i="11"/>
  <c r="E79" i="11"/>
  <c r="E75" i="11"/>
  <c r="E52" i="11"/>
  <c r="E23" i="11"/>
  <c r="E74" i="11"/>
  <c r="E50" i="11"/>
  <c r="E22" i="11"/>
  <c r="E68" i="12"/>
  <c r="E67" i="12"/>
  <c r="E54" i="12"/>
  <c r="E24" i="12"/>
  <c r="E23" i="12"/>
  <c r="E126" i="8"/>
  <c r="E66" i="3"/>
  <c r="E65" i="3"/>
  <c r="E52" i="3"/>
  <c r="E22" i="3"/>
  <c r="E11" i="3"/>
  <c r="E19" i="13" l="1"/>
  <c r="E24" i="11"/>
  <c r="E7" i="12"/>
  <c r="E46" i="12"/>
  <c r="E36" i="13"/>
  <c r="E93" i="13"/>
  <c r="E87" i="13" s="1"/>
  <c r="E85" i="13"/>
  <c r="E74" i="13" s="1"/>
  <c r="E44" i="13"/>
  <c r="E26" i="13"/>
  <c r="E17" i="12"/>
  <c r="E30" i="12"/>
  <c r="E42" i="11"/>
  <c r="E7" i="11"/>
  <c r="E83" i="11"/>
  <c r="E72" i="11" s="1"/>
  <c r="E67" i="3"/>
  <c r="E56" i="3" s="1"/>
  <c r="E69" i="12"/>
  <c r="E58" i="12" s="1"/>
  <c r="E71" i="12"/>
  <c r="E69" i="3"/>
  <c r="E91" i="11"/>
  <c r="E85" i="11" s="1"/>
  <c r="E17" i="11"/>
  <c r="E7" i="3"/>
  <c r="E60" i="11"/>
  <c r="E34" i="11"/>
  <c r="E15" i="3"/>
  <c r="E44" i="3"/>
  <c r="E28" i="3"/>
  <c r="E4" i="13" l="1"/>
  <c r="F24" i="14" s="1"/>
  <c r="E4" i="12"/>
  <c r="D24" i="14" s="1"/>
  <c r="E26" i="12"/>
  <c r="D26" i="14" s="1"/>
  <c r="E4" i="11"/>
  <c r="F14" i="14" s="1"/>
  <c r="E32" i="13"/>
  <c r="F26" i="14" s="1"/>
  <c r="F28" i="14" s="1"/>
  <c r="E24" i="3"/>
  <c r="D16" i="14" s="1"/>
  <c r="E30" i="11"/>
  <c r="F16" i="14" s="1"/>
  <c r="E4" i="3"/>
  <c r="D14" i="14" s="1"/>
  <c r="D28" i="14" l="1"/>
  <c r="F18" i="14"/>
  <c r="D18" i="14"/>
  <c r="D30" i="14" l="1"/>
  <c r="D20" i="14"/>
  <c r="F30" i="14"/>
</calcChain>
</file>

<file path=xl/sharedStrings.xml><?xml version="1.0" encoding="utf-8"?>
<sst xmlns="http://schemas.openxmlformats.org/spreadsheetml/2006/main" count="824" uniqueCount="325">
  <si>
    <t>RINA HANDOVER</t>
  </si>
  <si>
    <t>Key assumptions</t>
  </si>
  <si>
    <t>Cost model</t>
  </si>
  <si>
    <t>Equally shared</t>
  </si>
  <si>
    <r>
      <t xml:space="preserve">SUMMARY OF </t>
    </r>
    <r>
      <rPr>
        <b/>
        <sz val="26"/>
        <color rgb="FFC6E0B4"/>
        <rFont val="Calibri (Body)"/>
      </rPr>
      <t>COSTS PER COUNTRY</t>
    </r>
  </si>
  <si>
    <r>
      <rPr>
        <b/>
        <sz val="18"/>
        <color theme="1"/>
        <rFont val="Calibri"/>
        <family val="2"/>
        <scheme val="minor"/>
      </rPr>
      <t>Scenario 1</t>
    </r>
    <r>
      <rPr>
        <sz val="18"/>
        <color theme="1"/>
        <rFont val="Calibri"/>
        <family val="2"/>
        <scheme val="minor"/>
      </rPr>
      <t xml:space="preserve">
</t>
    </r>
    <r>
      <rPr>
        <i/>
        <sz val="18"/>
        <color theme="1"/>
        <rFont val="Calibri"/>
        <family val="2"/>
        <scheme val="minor"/>
      </rPr>
      <t>Fully decentralised</t>
    </r>
  </si>
  <si>
    <t>One-off costs</t>
  </si>
  <si>
    <t>Recurring yearly costs</t>
  </si>
  <si>
    <t>Total cost (5 years)</t>
  </si>
  <si>
    <t>Costs relative to baseline</t>
  </si>
  <si>
    <r>
      <t xml:space="preserve">BASELINE SCENARIO
</t>
    </r>
    <r>
      <rPr>
        <i/>
        <sz val="12"/>
        <color theme="1"/>
        <rFont val="Calibri (Body)"/>
      </rPr>
      <t>This is the scenario against which other scenarios are compared</t>
    </r>
  </si>
  <si>
    <r>
      <rPr>
        <b/>
        <sz val="18"/>
        <color theme="1"/>
        <rFont val="Calibri"/>
        <family val="2"/>
        <scheme val="minor"/>
      </rPr>
      <t>Scenario 3</t>
    </r>
    <r>
      <rPr>
        <sz val="18"/>
        <color theme="1"/>
        <rFont val="Calibri"/>
        <family val="2"/>
        <scheme val="minor"/>
      </rPr>
      <t xml:space="preserve">
</t>
    </r>
    <r>
      <rPr>
        <i/>
        <sz val="18"/>
        <color theme="1"/>
        <rFont val="Calibri"/>
        <family val="2"/>
        <scheme val="minor"/>
      </rPr>
      <t>Decentralised with centralised sourcing</t>
    </r>
  </si>
  <si>
    <r>
      <rPr>
        <b/>
        <sz val="18"/>
        <color theme="1"/>
        <rFont val="Calibri"/>
        <family val="2"/>
        <scheme val="minor"/>
      </rPr>
      <t>Scenario 4</t>
    </r>
    <r>
      <rPr>
        <sz val="18"/>
        <color theme="1"/>
        <rFont val="Calibri"/>
        <family val="2"/>
        <scheme val="minor"/>
      </rPr>
      <t xml:space="preserve">
</t>
    </r>
    <r>
      <rPr>
        <i/>
        <sz val="18"/>
        <color theme="1"/>
        <rFont val="Calibri"/>
        <family val="2"/>
        <scheme val="minor"/>
      </rPr>
      <t>Community</t>
    </r>
  </si>
  <si>
    <t>Scenario 1 - The fully decentralised scenario</t>
  </si>
  <si>
    <t>One off costs (per country)</t>
  </si>
  <si>
    <t>Activity (Services)</t>
  </si>
  <si>
    <t>Cost pool</t>
  </si>
  <si>
    <t>Formula</t>
  </si>
  <si>
    <t>Average cost per country</t>
  </si>
  <si>
    <t>Supporting services</t>
  </si>
  <si>
    <t>Intellectual property transfers</t>
  </si>
  <si>
    <t>Legal officer</t>
  </si>
  <si>
    <t>Internal labour</t>
  </si>
  <si>
    <t>Man-days legal officer * Avg cost internal staff</t>
  </si>
  <si>
    <t>Procurement - tendering procedure</t>
  </si>
  <si>
    <t>Procurement practitioners, financial officer, legal experts</t>
  </si>
  <si>
    <t>Avg. cost for a procurement procedure in MS - DG GROW source</t>
  </si>
  <si>
    <t>Budget request (securing funds for RINA)</t>
  </si>
  <si>
    <t>Financial officer</t>
  </si>
  <si>
    <t>Man-days financial officer * Avg cost internal staff</t>
  </si>
  <si>
    <t>Infrastructure and platform services</t>
  </si>
  <si>
    <t>Infrastructure management - other environments</t>
  </si>
  <si>
    <t>Online training platform setup</t>
  </si>
  <si>
    <t>External labour</t>
  </si>
  <si>
    <t>Man-days Moodle platform setup * Avg rate</t>
  </si>
  <si>
    <t>Development and testing environments setup</t>
  </si>
  <si>
    <t>Man-days set up development and testing environments * Avg rate</t>
  </si>
  <si>
    <t>Source code platform setup, e.g. GitHub</t>
  </si>
  <si>
    <t>Man-days set up platform for the sharing of codebase * Avg rate Cat. 2</t>
  </si>
  <si>
    <t>Software licenses (one-off)</t>
  </si>
  <si>
    <t>Enterprise architect</t>
  </si>
  <si>
    <t>Software - Licensing</t>
  </si>
  <si>
    <t>No. of licenses * price/license</t>
  </si>
  <si>
    <t>Power designer</t>
  </si>
  <si>
    <t>Recurring yearly costs (per country)</t>
  </si>
  <si>
    <t>Product development services</t>
  </si>
  <si>
    <t>Business &amp; functional analysis</t>
  </si>
  <si>
    <t>Business analyst</t>
  </si>
  <si>
    <t>Baseline FTEs Business &amp; functional analysis * Avg rate Cat. 3 * 220</t>
  </si>
  <si>
    <t>Solution architecture &amp; technical design</t>
  </si>
  <si>
    <t>Solution architect, system architect</t>
  </si>
  <si>
    <t>Baseline FTEs Solution architecture * Avg rate Cat. 3 * 220</t>
  </si>
  <si>
    <t>Software development</t>
  </si>
  <si>
    <t>External labour - JAVA developer, database developer, database administrator</t>
  </si>
  <si>
    <t>Baseline FTEs Software Development * Avg rate Cat. 2 * 220</t>
  </si>
  <si>
    <t>Testing &amp; Quality Assurance</t>
  </si>
  <si>
    <t>External labour - Quality assurance specialist</t>
  </si>
  <si>
    <t>Baseline FTEs Testing &amp; Quality Assurance * Avg rate Cat. 1 * 220</t>
  </si>
  <si>
    <t>Project management</t>
  </si>
  <si>
    <t>External labour - IT project manager</t>
  </si>
  <si>
    <t>Baseline FTEs Project management * Avg rate Cat. 3 * 220</t>
  </si>
  <si>
    <t>Change management</t>
  </si>
  <si>
    <t>Change manager</t>
  </si>
  <si>
    <t>Baseline FTEs Change Management * Avg rate Cat. 2 * 220</t>
  </si>
  <si>
    <t>Conformance testing coordination</t>
  </si>
  <si>
    <t>Conformance test coordinator</t>
  </si>
  <si>
    <t>Baseline FTEs Conformance testing * Avg rate Cat. 2 * 220</t>
  </si>
  <si>
    <t>Operations and support services</t>
  </si>
  <si>
    <t>Release and deployment management</t>
  </si>
  <si>
    <t>Release manager</t>
  </si>
  <si>
    <t>Baseline FTEs Release management * Avg rate Cat. 1 * 220</t>
  </si>
  <si>
    <t>Service desk (3rd level and 4th level)</t>
  </si>
  <si>
    <t>Incident manager, problem manager, system administrator</t>
  </si>
  <si>
    <t>Education and training</t>
  </si>
  <si>
    <t>RINA trainer and moodle administrator</t>
  </si>
  <si>
    <t>Baseline FTEs Training * Avg rate Cat. 1 * 220</t>
  </si>
  <si>
    <t>Security and compliance services</t>
  </si>
  <si>
    <t>Cyber Security &amp; Incident Response - monitoring and response to security incidents</t>
  </si>
  <si>
    <t>Cybersecurity expert</t>
  </si>
  <si>
    <t>Baseline FTEs Security expert * Avg rate Cat 3 * 220</t>
  </si>
  <si>
    <t>Cloud administrator</t>
  </si>
  <si>
    <t>Baseline FTEs DevOps/Cloud administrator * Avg rate Cat 3 * 220</t>
  </si>
  <si>
    <t>Cloud services - Development environments</t>
  </si>
  <si>
    <t>Cloud Service Providers</t>
  </si>
  <si>
    <t>Average yearly cost for development environment</t>
  </si>
  <si>
    <t>Cloud services - Testing environments</t>
  </si>
  <si>
    <t>Average yearly cost for testing environment</t>
  </si>
  <si>
    <t>Cloud services - Conformance testing environments</t>
  </si>
  <si>
    <t>Average yearly cost for conformance testing environment</t>
  </si>
  <si>
    <t>Cloud services - Training environments</t>
  </si>
  <si>
    <t>Average yearly cost for training environment</t>
  </si>
  <si>
    <t>Cloud services - Hosting Moodle - Open source learning platform</t>
  </si>
  <si>
    <t>Average yearly cost for moodle</t>
  </si>
  <si>
    <t>Software licenses (yearly costs)</t>
  </si>
  <si>
    <t>Atlassian</t>
  </si>
  <si>
    <t>Online teleconferencing tool, e.g. Webex</t>
  </si>
  <si>
    <t>Telecom</t>
  </si>
  <si>
    <t>Microsoft Office</t>
  </si>
  <si>
    <t>Supporting (shared) services</t>
  </si>
  <si>
    <t>Finance and budget management</t>
  </si>
  <si>
    <t>Baseline FTEs Financial officer * Avg cost internal staff * 220</t>
  </si>
  <si>
    <t>Contract management - monitor and follow up on the execution of contracts</t>
  </si>
  <si>
    <t>Contract manager</t>
  </si>
  <si>
    <t>Baseline FTEs Contract manager * Avg cost internal staff * 220</t>
  </si>
  <si>
    <t>Property and facility services</t>
  </si>
  <si>
    <t>Other expenses</t>
  </si>
  <si>
    <t>Buildings and equipment</t>
  </si>
  <si>
    <t>Total FTEs * % avg rate for facilities and equipment</t>
  </si>
  <si>
    <t>Scenario 2 - The centralised scenario</t>
  </si>
  <si>
    <t>Man-days legal officer * Avg cost internal staff * % share</t>
  </si>
  <si>
    <t>Collaboration agreements between Member States</t>
  </si>
  <si>
    <t>Avg. cost for a procurement * complexity factor * % share</t>
  </si>
  <si>
    <t>Man-days Moodle platform setup * Avg rate * % share</t>
  </si>
  <si>
    <t>Man-days set up environments * Avg rate* % share</t>
  </si>
  <si>
    <t>No. of licenses * price/license * % share</t>
  </si>
  <si>
    <t>Open source community building</t>
  </si>
  <si>
    <t>Architecture, functional and code base scope definition</t>
  </si>
  <si>
    <t>Man-days code base scope * Avg rate Cat. 3  * % share</t>
  </si>
  <si>
    <t>Establishment of development governance, e.g. code of conduct, guidelines</t>
  </si>
  <si>
    <t>Man-days for establishment of governance * Avg rate Cat. 3 * % share</t>
  </si>
  <si>
    <t>Man-days set up platform codebase * Avg rate Cat. 2 * % share</t>
  </si>
  <si>
    <t>Strategy and planning</t>
  </si>
  <si>
    <t>Program management and governance</t>
  </si>
  <si>
    <t>Programme manager</t>
  </si>
  <si>
    <t>Baseline FTEs Programme manager * Avg rate Cat. 3 * 220  * % share</t>
  </si>
  <si>
    <t>Communication and coordination between Member States</t>
  </si>
  <si>
    <t>Communication and stakeholder manager</t>
  </si>
  <si>
    <t>Baseline FTEs communication manager* Avg rate Cat. 2 * 220</t>
  </si>
  <si>
    <t>Conferences</t>
  </si>
  <si>
    <t>Ad-hoc conferences on RINA</t>
  </si>
  <si>
    <t>Travel expenses</t>
  </si>
  <si>
    <t>No. of countries * Nr. of conferences * Travel cost/person</t>
  </si>
  <si>
    <t>Baseline FTEs Business &amp; functional analysis * Avg rate Cat. 3 * 220 * % share</t>
  </si>
  <si>
    <t>Baseline FTEs Solution architecture * Avg rate Cat. 3 * 220 * % share</t>
  </si>
  <si>
    <t>Baseline FTEs Software Development * Avg rate Cat. 2 * 220 * % share</t>
  </si>
  <si>
    <t>Baseline FTEs Testing &amp; Quality Assurance * Avg rate Cat. 1 * 220 * % share</t>
  </si>
  <si>
    <t>Baseline FTEs Project management * Avg rate Cat. 3 * 220 * % share</t>
  </si>
  <si>
    <t>Baseline FTEs Change Management * Avg rate Cat. 2 * 220 * % share</t>
  </si>
  <si>
    <t>Baseline FTEs Conformance testing * Avg rate Cat. 2 * 220 * % share</t>
  </si>
  <si>
    <t>Community moderation</t>
  </si>
  <si>
    <t>Community moderator</t>
  </si>
  <si>
    <t>Baseline FTEs community moderator * Avg rate Cat. 2 * 220 * % share</t>
  </si>
  <si>
    <t>Baseline FTEs Release management * Avg rate Cat. 1 * 220 * % share</t>
  </si>
  <si>
    <t>Baseline FTEs  Operations and support * Avg rate Cat. 1 * 220 * % share</t>
  </si>
  <si>
    <t>Baseline FTEs Training * Avg rate Cat. 1 * 220 * % share</t>
  </si>
  <si>
    <t>Baseline FTEs Security expert * Avg rate Cat 3 * 220 * % share</t>
  </si>
  <si>
    <t>Baseline FTEs DevOps/Cloud administrator * Avg rate Cat 3 * 220 * % share</t>
  </si>
  <si>
    <t>Average yearly cost for development environment * % share</t>
  </si>
  <si>
    <t>Average yearly cost for testing environment * % share</t>
  </si>
  <si>
    <t>Average yearly cost for conformance testing environment * % share</t>
  </si>
  <si>
    <t>Average yearly cost for training environment * % share</t>
  </si>
  <si>
    <t>Average yearly cost for moodle * % share</t>
  </si>
  <si>
    <t>Baseline FTEs Financial officer * Avg cost internal staff * 220 * % share</t>
  </si>
  <si>
    <t>Baseline FTEs Contract manager * Avg cost internal staff * 220 * % share</t>
  </si>
  <si>
    <t>Total FTEs * % avg rate for facilities and equipment * % share</t>
  </si>
  <si>
    <t>Scenario 3 - The decentralised scenario with centralised sourcing of resources</t>
  </si>
  <si>
    <t>Intellectual property transfers and collaboration agreements</t>
  </si>
  <si>
    <t>Avg. cost for a procurement procedure * complexity factor joint proc.  * % share</t>
  </si>
  <si>
    <t>Man-days financial officer * Avg cost internal staff * % share</t>
  </si>
  <si>
    <t>Baseline FTEs Contract manager * Avg cost internal staff * 220  * % share</t>
  </si>
  <si>
    <t>Scenario 4 - The community scenario</t>
  </si>
  <si>
    <t>Open source community legal analysis, e.g. licensing, data protection, policies, IP</t>
  </si>
  <si>
    <t>Man-days architect to define code base scope * Avg rate Cat. 3 * % share</t>
  </si>
  <si>
    <t>Establishment of OS governance, e.g. code of conduct, guidelines, moderation</t>
  </si>
  <si>
    <t>Man-days for establishment of OS governance * Avg rate Cat. 3 * % share</t>
  </si>
  <si>
    <t>Open source platform setup, e.g. GitHub</t>
  </si>
  <si>
    <t>Man-days set up platform for the sharing of codebase * Avg rate Cat. 2 * % share</t>
  </si>
  <si>
    <t>Baseline FTEs Programme manager * Avg rate Cat. 3 * 220 * % share</t>
  </si>
  <si>
    <t>Baseline FTEs communication manager* Avg rate Cat. 2 * 220 * % share</t>
  </si>
  <si>
    <t>No. of countries * Nr. of conferences * Travel cost/person * % share</t>
  </si>
  <si>
    <t>Open source community moderation</t>
  </si>
  <si>
    <t>Total FTEs * % avg rate for facilities and equipment  * %share</t>
  </si>
  <si>
    <t>Assumptions and estimations for cost calculations</t>
  </si>
  <si>
    <t>Average cost for staff</t>
  </si>
  <si>
    <t>Average cost for cloud infrastructure</t>
  </si>
  <si>
    <t>Cloud service provider (average yearly cost for development environment)</t>
  </si>
  <si>
    <t>Cloud service provider (average yearly cost for testing environment)</t>
  </si>
  <si>
    <t>Cloud service provider (average yearly cost for conformance testing environment)</t>
  </si>
  <si>
    <t>Cloud service provider (average yearly cost for training environment)</t>
  </si>
  <si>
    <t>Cloud service provider (average yearly cost for moodle)</t>
  </si>
  <si>
    <t>Estimated FTEs to carry out the RINA activities</t>
  </si>
  <si>
    <t>Baseline FTEs Business &amp; functional analysis</t>
  </si>
  <si>
    <t>Baseline FTEs Solution architecture &amp; technical design</t>
  </si>
  <si>
    <t>Baseline FTEs Software Development</t>
  </si>
  <si>
    <t>Baseline FTEs Testing &amp; Quality Assurance</t>
  </si>
  <si>
    <t>Baseline FTEs Programme manager</t>
  </si>
  <si>
    <t>Baseline FTEs Project management</t>
  </si>
  <si>
    <t>Baseline FTEs Change Management</t>
  </si>
  <si>
    <t>Baseline FTEs Conformance testing</t>
  </si>
  <si>
    <t>Baseline FTEs Release management</t>
  </si>
  <si>
    <t>Baseline FTEs Training</t>
  </si>
  <si>
    <t>Baseline FTEs System administrator</t>
  </si>
  <si>
    <t>Baseline FTEs Contract manager</t>
  </si>
  <si>
    <t>Baseline FTEs Communication and stakeholder management</t>
  </si>
  <si>
    <t>Baseline FTEs Security expert</t>
  </si>
  <si>
    <t>Baseline FTEs Financial officer</t>
  </si>
  <si>
    <t>Baseline FTEs Community moderator</t>
  </si>
  <si>
    <t>Estimated man-days for one-off activities</t>
  </si>
  <si>
    <t>Man-days Moodle platform setup</t>
  </si>
  <si>
    <t>Man-days legal officer for IP transfers</t>
  </si>
  <si>
    <t>Man-days legal officer for collaboration agreements</t>
  </si>
  <si>
    <t>Man-days legal officer open source analysis</t>
  </si>
  <si>
    <t>Man-days financial officer to secure funds</t>
  </si>
  <si>
    <t>Man-days set up development and testing environments</t>
  </si>
  <si>
    <t>Man-days architect to define code base scope for RINA centralised/open source community</t>
  </si>
  <si>
    <t>Man-days for establishment of open source governance</t>
  </si>
  <si>
    <t>Man-days set up platform, e.g. github, for the sharing of codebase</t>
  </si>
  <si>
    <t>Licenses</t>
  </si>
  <si>
    <t>Licenses Enterprise Architect (per user)</t>
  </si>
  <si>
    <t>Licenses Atlassian (per 100 users/year)</t>
  </si>
  <si>
    <t>Licenses Power Designer (per user)</t>
  </si>
  <si>
    <t>Licenses Webex (per 5 users/year)</t>
  </si>
  <si>
    <t>Licenses Microsoft Office 365 E5 (per users/year)</t>
  </si>
  <si>
    <t>Number of licenses Enterprise Architect</t>
  </si>
  <si>
    <t>Number of licenses Power Designer</t>
  </si>
  <si>
    <t>Travels and conferences</t>
  </si>
  <si>
    <t>Travel cost per person</t>
  </si>
  <si>
    <t>Number of conferences per year</t>
  </si>
  <si>
    <t>Other assumptions</t>
  </si>
  <si>
    <t>Number of countries taking over RINA</t>
  </si>
  <si>
    <t>Working days in a year</t>
  </si>
  <si>
    <t>Average costs of tendering procedures</t>
  </si>
  <si>
    <t xml:space="preserve">Based on estimations published by DG GROW - http://ec.europa.eu/DocsRoom/documents/15552/ </t>
  </si>
  <si>
    <t>Complexity factor for joint procurement</t>
  </si>
  <si>
    <t>Adding 50% additional costs resulting from the complexity of a joint procurement procedure</t>
  </si>
  <si>
    <t>% of avg rate for facilities and property management</t>
  </si>
  <si>
    <t>% of country share of the costs for centralised activities (repartition of costs)</t>
  </si>
  <si>
    <t>Total FTEs</t>
  </si>
  <si>
    <t>Number of RINA instances operated in the contry (for the sizing of the SD)</t>
  </si>
  <si>
    <t>Total number of RINA instances (currently served by the EC SD)</t>
  </si>
  <si>
    <t>Baseline FTEs Operations and support - 3rd and 4th level service desk (EC Service Desk)</t>
  </si>
  <si>
    <t>Baseline FTEs Operations and support - 3rd and 4th level service desk (Contry Service Desk)</t>
  </si>
  <si>
    <t>These are the service desk estimated FTEs in the country based on the number of operated instances</t>
  </si>
  <si>
    <t>Service Desk FTEs sizing (for decentralised scenarios)</t>
  </si>
  <si>
    <t>Forecased FTEs  by n. of Institutions * Avg rate Cat. 1 * 220</t>
  </si>
  <si>
    <t>We assume that the SD L3/L4 will be sized based on the number of RINA instances operated in the country.</t>
  </si>
  <si>
    <t>This is the total number of installations currently served by the EC SD requiring 6 FTEs</t>
  </si>
  <si>
    <t>Type</t>
  </si>
  <si>
    <t>Notes</t>
  </si>
  <si>
    <t>Assumption</t>
  </si>
  <si>
    <t>Historical data</t>
  </si>
  <si>
    <t>Repartition of costs
(for centralised scenarios)</t>
  </si>
  <si>
    <t>Number of Member States 
joining centralised scenario</t>
  </si>
  <si>
    <r>
      <t xml:space="preserve">Repartition of costs
</t>
    </r>
    <r>
      <rPr>
        <i/>
        <sz val="12"/>
        <color theme="1"/>
        <rFont val="Calibri"/>
        <family val="2"/>
        <scheme val="minor"/>
      </rPr>
      <t>(for centralised scenarios)</t>
    </r>
  </si>
  <si>
    <t>Equally shared between countries</t>
  </si>
  <si>
    <r>
      <rPr>
        <b/>
        <sz val="18"/>
        <color theme="1"/>
        <rFont val="Calibri"/>
        <family val="2"/>
        <scheme val="minor"/>
      </rPr>
      <t>Scenario 2</t>
    </r>
    <r>
      <rPr>
        <sz val="18"/>
        <color theme="1"/>
        <rFont val="Calibri"/>
        <family val="2"/>
        <scheme val="minor"/>
      </rPr>
      <t xml:space="preserve">
</t>
    </r>
    <r>
      <rPr>
        <i/>
        <sz val="18"/>
        <color theme="1"/>
        <rFont val="Calibri"/>
        <family val="2"/>
        <scheme val="minor"/>
      </rPr>
      <t>Centralised (MSs)</t>
    </r>
    <r>
      <rPr>
        <sz val="18"/>
        <color theme="1"/>
        <rFont val="Calibri"/>
        <family val="2"/>
        <scheme val="minor"/>
      </rPr>
      <t xml:space="preserve"> with joint procurement</t>
    </r>
  </si>
  <si>
    <t>Average cost for internal staff</t>
  </si>
  <si>
    <t>Average costs for external staff - senior category</t>
  </si>
  <si>
    <t>Average costs for external staff - normal category</t>
  </si>
  <si>
    <t>Average costs for external staff - junior category</t>
  </si>
  <si>
    <t>Average costs for the running of testing environments in the cloud based on historical consumption</t>
  </si>
  <si>
    <t>Average costs for the running of development environments in the cloud based on historical consumption</t>
  </si>
  <si>
    <t>Average costs for the running of conformance testing environments in the cloud based on historical consumption</t>
  </si>
  <si>
    <t>Average costs for the running of training environments in the cloud based on historical consumption</t>
  </si>
  <si>
    <t>Average costs for the running of the moodle environment in the cloud based on historical consumption</t>
  </si>
  <si>
    <t>Estimated number of FTEs for business and functional analysis based on historical data</t>
  </si>
  <si>
    <t>Estimated number of FTEs for solution architecture and technical design based on historical data</t>
  </si>
  <si>
    <t>Estimated number of FTEs for software development based on historical data</t>
  </si>
  <si>
    <t>Estimated number of FTEs for testing and QA based on historical data</t>
  </si>
  <si>
    <t>Estimated number of FTEs for project management based on historical data</t>
  </si>
  <si>
    <t>Estimated number of FTEs for change management based on historical data</t>
  </si>
  <si>
    <t>Estimated number of FTEs for cloud administration based on historical data</t>
  </si>
  <si>
    <t>Estimated number of FTEs for conformance testing based on historical data</t>
  </si>
  <si>
    <t>Estimated number of FTEs for release management based on historical data</t>
  </si>
  <si>
    <t>Estimated number of FTEs for training based on historical data</t>
  </si>
  <si>
    <t>Estimated number of FTEs for system administrators based on historical data</t>
  </si>
  <si>
    <t>Estimated number of FTEs for communication and stakeholder management for centralised/community scenarios</t>
  </si>
  <si>
    <t>Estimated number of FTEs for programme managers for centralised/community scenario.</t>
  </si>
  <si>
    <t>Estimated number of FTEs for security experts</t>
  </si>
  <si>
    <t>Estimated number of FTEs for a financial officer to manage the the finances around the contracts with IT vendors</t>
  </si>
  <si>
    <t>Estimated number of FTEs for the management of contracts with IT vendors</t>
  </si>
  <si>
    <t>Estimated number of FTEs for the management of the open source community in the community scenario</t>
  </si>
  <si>
    <t>Estimated number of man-days required to set up the open source platform</t>
  </si>
  <si>
    <t>Estimated number of man-days for the operational set up of the open source governance in the community scenario</t>
  </si>
  <si>
    <t>Estimated number of man-days for the drafting of the architecture of the RINA layers to be managed centrally</t>
  </si>
  <si>
    <t>Estimated number of man-days for the initial set up of cloud environments</t>
  </si>
  <si>
    <t>Estimated number of man-days required for a financial officer to secure the funds at the national level</t>
  </si>
  <si>
    <t>Estimated number of man-days for a legal officer to evaluate the implications of setting up an open source community</t>
  </si>
  <si>
    <t>Estimated number of man-days per country for the drafting of collaboration agreements</t>
  </si>
  <si>
    <t>Estimated number of man-days per country for the transfer of IP rights</t>
  </si>
  <si>
    <t>Estimated number of man-days for the setup of the online training platform Moodle</t>
  </si>
  <si>
    <t>Costs for floating licenses per user of Sparx Enterprise Architect ultimate edition</t>
  </si>
  <si>
    <t>Costs for yearly fees for Atlassian tools, e.g. JIRA, per user</t>
  </si>
  <si>
    <t>Costs for floating licenses per user of Power Designer</t>
  </si>
  <si>
    <t>Costs for yearly fees for Microsoft Office 365 per user</t>
  </si>
  <si>
    <t>Costs for yearly fees for five WebEx users</t>
  </si>
  <si>
    <t>Estimated number of Sparx Enterprise Architect licenses</t>
  </si>
  <si>
    <t>Estimated number of PowerDesigner licenses</t>
  </si>
  <si>
    <t>Estimated travelling costs per person in case of community/centralised scenarios</t>
  </si>
  <si>
    <t xml:space="preserve">Estimated number of ad-hoc RINA conferences in case of community/centralised scenarios </t>
  </si>
  <si>
    <t>Number of countries joining a possible RINA centralised governance model</t>
  </si>
  <si>
    <t>Number of working days in a year</t>
  </si>
  <si>
    <t>Average costs per person for facilities and equipment, e.g. PC, expressed as percentange of the daily rate</t>
  </si>
  <si>
    <t>We assume that countries equally share the costs for centralised activities. To be finetuned after legal analysis</t>
  </si>
  <si>
    <t>Total number of overall FTEs for the maintenance and evolution of RINA after the handover</t>
  </si>
  <si>
    <t>Average costs for staff in case of a centralised/community scenario - average fees of the country where the CPB or leading contracting authority resides</t>
  </si>
  <si>
    <t>Average cost external staff / manday (Category 1) for centralised/community scenarios</t>
  </si>
  <si>
    <t>Average cost external staff / manday (Category 2) for centralised/community scenarios</t>
  </si>
  <si>
    <t>Average cost external staff / manday (Category 3) for centralised/community scenarios</t>
  </si>
  <si>
    <t>Average cost internal staff / manday for centralised/community scenarios</t>
  </si>
  <si>
    <t>Average cost external staff / manday (Category 1) for decentralised scenario</t>
  </si>
  <si>
    <t>Average cost external staff / manday (Category 2) for decentralised scenario</t>
  </si>
  <si>
    <t>Average cost external staff / manday (Category 3) for decentralised scenario</t>
  </si>
  <si>
    <t>Average cost internal staff / manday for decentralised scenario</t>
  </si>
  <si>
    <t>Average costs for staff in case of a decentralised scenario - average fees based on national market conditions</t>
  </si>
  <si>
    <t>Average costs for external staff - junior category. National fees used to compute the costs for decentralised scenario</t>
  </si>
  <si>
    <t>Average costs for external staff - normal category. National fees used to compute the costs for decentralised scenario</t>
  </si>
  <si>
    <t>Average costs for external staff - senior category. National fees used to compute the costs for decentralised scenario</t>
  </si>
  <si>
    <t>Average cost for internal staff. National fees used to compute the costs for decentralised scenario</t>
  </si>
  <si>
    <t>Man-days Moodle platform setup * Avg rate Cat. 2</t>
  </si>
  <si>
    <t>Man-days set up dev and testing environments * Avg rate Cat. 2</t>
  </si>
  <si>
    <t>Estimated number of FTEs for SD L3 and L4 based on historical data. The FTEs are recomputed based on the n. of RINA instances.</t>
  </si>
  <si>
    <t>Input required from countries</t>
  </si>
  <si>
    <t>How to update this worksheet?</t>
  </si>
  <si>
    <t>Notation</t>
  </si>
  <si>
    <t>Annumptions mainly resulting from historical data or desk research</t>
  </si>
  <si>
    <t>Assumptions based on estimations done by the European Commission</t>
  </si>
  <si>
    <r>
      <t xml:space="preserve">Countries </t>
    </r>
    <r>
      <rPr>
        <b/>
        <sz val="12"/>
        <color rgb="FF3A3838"/>
        <rFont val="Calibri"/>
        <family val="2"/>
        <scheme val="minor"/>
      </rPr>
      <t>should not</t>
    </r>
    <r>
      <rPr>
        <sz val="12"/>
        <color rgb="FF3A3838"/>
        <rFont val="Calibri"/>
        <family val="2"/>
        <scheme val="minor"/>
      </rPr>
      <t xml:space="preserve"> update the assumptions marked in </t>
    </r>
    <r>
      <rPr>
        <b/>
        <sz val="12"/>
        <color theme="9"/>
        <rFont val="Calibri (Body)"/>
      </rPr>
      <t>green</t>
    </r>
    <r>
      <rPr>
        <sz val="12"/>
        <color rgb="FF3A3838"/>
        <rFont val="Calibri"/>
        <family val="2"/>
        <scheme val="minor"/>
      </rPr>
      <t>.</t>
    </r>
  </si>
  <si>
    <r>
      <t xml:space="preserve">Countries </t>
    </r>
    <r>
      <rPr>
        <b/>
        <sz val="12"/>
        <color rgb="FF3A3838"/>
        <rFont val="Calibri"/>
        <family val="2"/>
        <scheme val="minor"/>
      </rPr>
      <t>should review</t>
    </r>
    <r>
      <rPr>
        <sz val="12"/>
        <color rgb="FF3A3838"/>
        <rFont val="Calibri"/>
        <family val="2"/>
        <scheme val="minor"/>
      </rPr>
      <t xml:space="preserve"> the estimations marked in </t>
    </r>
    <r>
      <rPr>
        <b/>
        <sz val="12"/>
        <color rgb="FFFFC910"/>
        <rFont val="Calibri (Body)"/>
      </rPr>
      <t>orange</t>
    </r>
    <r>
      <rPr>
        <sz val="12"/>
        <color rgb="FF3A3838"/>
        <rFont val="Calibri"/>
        <family val="2"/>
        <scheme val="minor"/>
      </rPr>
      <t xml:space="preserve"> and inform the European Commission if they deem any change must be made.</t>
    </r>
  </si>
  <si>
    <t>Assumptions based on country specific conditions</t>
  </si>
  <si>
    <r>
      <t xml:space="preserve">Countries should change the assumptions marked in </t>
    </r>
    <r>
      <rPr>
        <b/>
        <sz val="12"/>
        <color rgb="FFFF0000"/>
        <rFont val="Calibri (Body)"/>
      </rPr>
      <t>red</t>
    </r>
    <r>
      <rPr>
        <sz val="12"/>
        <color rgb="FF3A3838"/>
        <rFont val="Calibri"/>
        <family val="2"/>
        <scheme val="minor"/>
      </rPr>
      <t xml:space="preserve"> to reflect their national realities.</t>
    </r>
  </si>
  <si>
    <r>
      <t xml:space="preserve">What is this deliverable?
</t>
    </r>
    <r>
      <rPr>
        <sz val="12"/>
        <color theme="0"/>
        <rFont val="Calibri (Body)"/>
      </rPr>
      <t xml:space="preserve">This deliverable outlines a model to compute the one-off and recurring yearly costs for each country taking over RINA. The final objective of the cost model is to allow a comparison of the costs for each candidate scenarios which may be pursued by Member States for the takeover of RINA, namely:
➢ Scenario 1: </t>
    </r>
    <r>
      <rPr>
        <u/>
        <sz val="12"/>
        <color theme="0"/>
        <rFont val="Calibri (Body)"/>
      </rPr>
      <t>The fully decentralised scenario</t>
    </r>
    <r>
      <rPr>
        <sz val="12"/>
        <color theme="0"/>
        <rFont val="Calibri (Body)"/>
      </rPr>
      <t xml:space="preserve">
➢ Scenario 2: </t>
    </r>
    <r>
      <rPr>
        <u/>
        <sz val="12"/>
        <color theme="0"/>
        <rFont val="Calibri (Body)"/>
      </rPr>
      <t>The centralised scenario</t>
    </r>
    <r>
      <rPr>
        <sz val="12"/>
        <color theme="0"/>
        <rFont val="Calibri (Body)"/>
      </rPr>
      <t xml:space="preserve">
➢ Scenario 3: </t>
    </r>
    <r>
      <rPr>
        <u/>
        <sz val="12"/>
        <color theme="0"/>
        <rFont val="Calibri (Body)"/>
      </rPr>
      <t>The decentralised scenario with centralised sourcing of resources</t>
    </r>
    <r>
      <rPr>
        <sz val="12"/>
        <color theme="0"/>
        <rFont val="Calibri (Body)"/>
      </rPr>
      <t xml:space="preserve">
➢ Scenario 4: </t>
    </r>
    <r>
      <rPr>
        <u/>
        <sz val="12"/>
        <color theme="0"/>
        <rFont val="Calibri (Body)"/>
      </rPr>
      <t>The community scenario</t>
    </r>
    <r>
      <rPr>
        <sz val="12"/>
        <color theme="0"/>
        <rFont val="Calibri (Body)"/>
      </rPr>
      <t xml:space="preserve">
</t>
    </r>
    <r>
      <rPr>
        <b/>
        <sz val="16"/>
        <color rgb="FFC6E0B4"/>
        <rFont val="Calibri (Body)"/>
      </rPr>
      <t xml:space="preserve">
How is this deliverable structured?
</t>
    </r>
    <r>
      <rPr>
        <sz val="12"/>
        <color theme="0"/>
        <rFont val="Calibri (Body)"/>
      </rPr>
      <t xml:space="preserve">The model is composed of six worksheets:
➢ Cost overview: overview of the costs per scenario and relative comparison between them
➢ Scenario 1 - Costs: estimation of the costs per country for the fully decentralised scenario
➢ Scenario 2 - Costs: estimation of the costs per country for the centralised scenario
➢ Scenario 3 - Costs: estimation of the costs per country for decentralised scenario with centralised sourcing of resources
➢ Scenario 4 - Costs: estimation of the costs per country for the community scenario
➢ Assumptions: set of assumptions used to compute the costs per scenario
</t>
    </r>
    <r>
      <rPr>
        <b/>
        <sz val="16"/>
        <color rgb="FFC6E0B4"/>
        <rFont val="Calibri (Body)"/>
      </rPr>
      <t xml:space="preserve">
</t>
    </r>
  </si>
  <si>
    <r>
      <t xml:space="preserve">Note about costs and assumptions
</t>
    </r>
    <r>
      <rPr>
        <sz val="12"/>
        <color theme="0"/>
        <rFont val="Calibri (Body)"/>
      </rPr>
      <t xml:space="preserve">➢ The model takes into account only the </t>
    </r>
    <r>
      <rPr>
        <u/>
        <sz val="12"/>
        <color theme="0"/>
        <rFont val="Calibri (Body)"/>
      </rPr>
      <t>additional costs per country</t>
    </r>
    <r>
      <rPr>
        <sz val="12"/>
        <color theme="0"/>
        <rFont val="Calibri (Body)"/>
      </rPr>
      <t xml:space="preserve"> for the evolution and maintenance of RINA after the handover. Existing costs at the national level, e.g. production roll-out, level 1 and 2 service desk, are not taken into account into the model
➢ The model is not meant to provide a precise estimation of the costs per each country. It will rather serve as a basis for the comparison between scenarios in relative terms. To obtain precise estimations of the costs, each country need to fine-tune the model and its assumptions (see next point).
➢ The model is based on a set of assumptions which could differ from country to country depending on the national context. For instance, the daily costs for external staff will highly depend on the national market conditions. Therefore, if a country wants to compute more precise estimations, the underlying assumptions must be adapted, including - but not limited to - average cost of internal and external staff, infrastructure costs, travel costs and costs for equipment and facilities. </t>
    </r>
    <r>
      <rPr>
        <b/>
        <sz val="16"/>
        <color rgb="FFC6E0B4"/>
        <rFont val="Calibri (Body)"/>
      </rPr>
      <t xml:space="preserve">
</t>
    </r>
  </si>
  <si>
    <t>Baseline FTEs DevOps</t>
  </si>
  <si>
    <r>
      <t xml:space="preserve">Last update: </t>
    </r>
    <r>
      <rPr>
        <b/>
        <sz val="12"/>
        <color rgb="FF3A3838"/>
        <rFont val="Calibri"/>
        <family val="2"/>
        <scheme val="minor"/>
      </rPr>
      <t>28/07/2020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</si>
</sst>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quot;€&quot;"/>
    <numFmt numFmtId="166" formatCode="#,##0.0"/>
  </numFmts>
  <fonts count="36">
    <font>
      <sz val="12"/>
      <color theme="1"/>
      <name val="Calibri"/>
      <family val="2"/>
      <scheme val="minor"/>
    </font>
    <font>
      <b/>
      <sz val="12"/>
      <color theme="1"/>
      <name val="Calibri"/>
      <family val="2"/>
      <scheme val="minor"/>
    </font>
    <font>
      <sz val="12"/>
      <color theme="1"/>
      <name val="Calibri"/>
      <family val="2"/>
      <scheme val="minor"/>
    </font>
    <font>
      <b/>
      <sz val="14"/>
      <color theme="1" tint="4.9989318521683403E-2"/>
      <name val="Calibri"/>
      <family val="2"/>
      <scheme val="minor"/>
    </font>
    <font>
      <sz val="11"/>
      <color theme="0"/>
      <name val="Calibri"/>
      <family val="2"/>
      <scheme val="minor"/>
    </font>
    <font>
      <b/>
      <sz val="11"/>
      <color theme="0"/>
      <name val="Calibri"/>
      <family val="2"/>
      <scheme val="minor"/>
    </font>
    <font>
      <b/>
      <sz val="11"/>
      <color theme="1" tint="4.9989318521683403E-2"/>
      <name val="Calibri"/>
      <family val="2"/>
      <scheme val="minor"/>
    </font>
    <font>
      <b/>
      <sz val="18"/>
      <color theme="0"/>
      <name val="Calibri"/>
      <family val="2"/>
      <scheme val="minor"/>
    </font>
    <font>
      <i/>
      <sz val="10"/>
      <color theme="2" tint="-0.499984740745262"/>
      <name val="Calibri"/>
      <family val="2"/>
      <scheme val="minor"/>
    </font>
    <font>
      <sz val="12"/>
      <color theme="0" tint="-0.499984740745262"/>
      <name val="Calibri"/>
      <family val="2"/>
      <scheme val="minor"/>
    </font>
    <font>
      <b/>
      <sz val="18"/>
      <color theme="1"/>
      <name val="Calibri"/>
      <family val="2"/>
      <scheme val="minor"/>
    </font>
    <font>
      <sz val="18"/>
      <color theme="1"/>
      <name val="Calibri"/>
      <family val="2"/>
      <scheme val="minor"/>
    </font>
    <font>
      <b/>
      <sz val="26"/>
      <color theme="0"/>
      <name val="Calibri"/>
      <family val="2"/>
      <scheme val="minor"/>
    </font>
    <font>
      <sz val="8"/>
      <name val="Calibri"/>
      <family val="2"/>
      <scheme val="minor"/>
    </font>
    <font>
      <b/>
      <sz val="11"/>
      <color rgb="FF3A3838"/>
      <name val="Calibri"/>
      <family val="2"/>
      <scheme val="minor"/>
    </font>
    <font>
      <b/>
      <sz val="16"/>
      <color theme="0"/>
      <name val="Calibri"/>
      <family val="2"/>
      <scheme val="minor"/>
    </font>
    <font>
      <i/>
      <sz val="18"/>
      <color theme="1"/>
      <name val="Calibri"/>
      <family val="2"/>
      <scheme val="minor"/>
    </font>
    <font>
      <sz val="20"/>
      <color theme="1"/>
      <name val="Calibri"/>
      <family val="2"/>
      <scheme val="minor"/>
    </font>
    <font>
      <b/>
      <sz val="20"/>
      <color theme="1"/>
      <name val="Calibri"/>
      <family val="2"/>
      <scheme val="minor"/>
    </font>
    <font>
      <b/>
      <i/>
      <sz val="16"/>
      <color theme="1"/>
      <name val="Calibri (Body)"/>
    </font>
    <font>
      <b/>
      <sz val="14"/>
      <color theme="1"/>
      <name val="Calibri"/>
      <family val="2"/>
      <scheme val="minor"/>
    </font>
    <font>
      <sz val="22"/>
      <color theme="1"/>
      <name val="Calibri"/>
      <family val="2"/>
      <scheme val="minor"/>
    </font>
    <font>
      <b/>
      <sz val="22"/>
      <color theme="1"/>
      <name val="Calibri"/>
      <family val="2"/>
      <scheme val="minor"/>
    </font>
    <font>
      <b/>
      <sz val="26"/>
      <color rgb="FFC6E0B4"/>
      <name val="Calibri (Body)"/>
    </font>
    <font>
      <b/>
      <sz val="16"/>
      <color rgb="FFC6E0B4"/>
      <name val="Calibri (Body)"/>
    </font>
    <font>
      <sz val="12"/>
      <color rgb="FF3A3838"/>
      <name val="Calibri"/>
      <family val="2"/>
      <scheme val="minor"/>
    </font>
    <font>
      <b/>
      <sz val="12"/>
      <color rgb="FF3A3838"/>
      <name val="Calibri"/>
      <family val="2"/>
      <scheme val="minor"/>
    </font>
    <font>
      <sz val="12"/>
      <color theme="0"/>
      <name val="Calibri (Body)"/>
    </font>
    <font>
      <u/>
      <sz val="12"/>
      <color theme="0"/>
      <name val="Calibri (Body)"/>
    </font>
    <font>
      <i/>
      <sz val="12"/>
      <color theme="1"/>
      <name val="Calibri (Body)"/>
    </font>
    <font>
      <b/>
      <sz val="26"/>
      <color theme="1"/>
      <name val="Calibri"/>
      <family val="2"/>
      <scheme val="minor"/>
    </font>
    <font>
      <i/>
      <sz val="12"/>
      <color theme="1"/>
      <name val="Calibri"/>
      <family val="2"/>
      <scheme val="minor"/>
    </font>
    <font>
      <b/>
      <sz val="12"/>
      <color theme="0"/>
      <name val="Calibri"/>
      <family val="2"/>
      <scheme val="minor"/>
    </font>
    <font>
      <b/>
      <sz val="12"/>
      <color theme="9"/>
      <name val="Calibri (Body)"/>
    </font>
    <font>
      <b/>
      <sz val="12"/>
      <color rgb="FFFFC910"/>
      <name val="Calibri (Body)"/>
    </font>
    <font>
      <b/>
      <sz val="12"/>
      <color rgb="FFFF0000"/>
      <name val="Calibri (Body)"/>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2" tint="-0.749992370372631"/>
        <bgColor indexed="64"/>
      </patternFill>
    </fill>
    <fill>
      <patternFill patternType="solid">
        <fgColor rgb="FF3A3838"/>
        <bgColor indexed="64"/>
      </patternFill>
    </fill>
    <fill>
      <patternFill patternType="solid">
        <fgColor rgb="FFC6E0B4"/>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C000"/>
        <bgColor indexed="64"/>
      </patternFill>
    </fill>
    <fill>
      <patternFill patternType="solid">
        <fgColor rgb="FFFFC910"/>
        <bgColor indexed="64"/>
      </patternFill>
    </fill>
  </fills>
  <borders count="16">
    <border>
      <left/>
      <right/>
      <top/>
      <bottom/>
      <diagonal/>
    </border>
    <border>
      <left/>
      <right/>
      <top/>
      <bottom style="thin">
        <color theme="4" tint="0.79995117038483843"/>
      </bottom>
      <diagonal/>
    </border>
    <border>
      <left/>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79998168889431442"/>
      </left>
      <right/>
      <top style="thin">
        <color theme="3" tint="0.79998168889431442"/>
      </top>
      <bottom style="thin">
        <color theme="3" tint="0.79998168889431442"/>
      </bottom>
      <diagonal/>
    </border>
    <border>
      <left/>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91">
    <xf numFmtId="0" fontId="0" fillId="0" borderId="0" xfId="0"/>
    <xf numFmtId="0" fontId="0" fillId="2" borderId="0" xfId="0" applyFill="1"/>
    <xf numFmtId="0" fontId="4" fillId="2" borderId="0" xfId="0" applyFont="1" applyFill="1" applyAlignment="1">
      <alignment horizontal="left" indent="1"/>
    </xf>
    <xf numFmtId="0" fontId="0" fillId="2" borderId="0" xfId="0" applyFill="1" applyAlignment="1">
      <alignment horizontal="center"/>
    </xf>
    <xf numFmtId="0" fontId="6" fillId="3" borderId="0" xfId="0" applyFont="1" applyFill="1" applyBorder="1" applyAlignment="1">
      <alignment horizontal="left" indent="1"/>
    </xf>
    <xf numFmtId="0" fontId="5" fillId="2" borderId="0" xfId="0" applyFont="1" applyFill="1" applyBorder="1" applyAlignment="1">
      <alignment horizontal="left" indent="1"/>
    </xf>
    <xf numFmtId="165" fontId="0" fillId="2" borderId="3" xfId="1" applyNumberFormat="1" applyFont="1" applyFill="1" applyBorder="1" applyAlignment="1">
      <alignment horizontal="center" vertical="center"/>
    </xf>
    <xf numFmtId="0" fontId="0" fillId="2" borderId="1" xfId="0" applyFont="1" applyFill="1" applyBorder="1" applyAlignment="1">
      <alignment horizontal="left" vertical="top" wrapText="1" indent="1"/>
    </xf>
    <xf numFmtId="0" fontId="0" fillId="3" borderId="0" xfId="0" applyFill="1" applyAlignment="1">
      <alignment horizontal="center"/>
    </xf>
    <xf numFmtId="165" fontId="0" fillId="2" borderId="4" xfId="0" applyNumberFormat="1" applyFill="1" applyBorder="1"/>
    <xf numFmtId="0" fontId="3" fillId="3" borderId="0" xfId="0" applyFont="1" applyFill="1" applyAlignment="1">
      <alignment horizontal="left" vertical="center"/>
    </xf>
    <xf numFmtId="165" fontId="1" fillId="3" borderId="0" xfId="0" applyNumberFormat="1" applyFont="1" applyFill="1" applyAlignment="1">
      <alignment horizontal="right" vertical="center"/>
    </xf>
    <xf numFmtId="0" fontId="8" fillId="2" borderId="4" xfId="0" applyFont="1" applyFill="1" applyBorder="1" applyAlignment="1">
      <alignment horizontal="center"/>
    </xf>
    <xf numFmtId="0" fontId="9" fillId="2" borderId="0" xfId="0" applyFont="1" applyFill="1" applyAlignment="1">
      <alignment horizontal="left"/>
    </xf>
    <xf numFmtId="0" fontId="8" fillId="2" borderId="4" xfId="0" applyFont="1" applyFill="1" applyBorder="1" applyAlignment="1">
      <alignment horizontal="left"/>
    </xf>
    <xf numFmtId="0" fontId="0" fillId="2" borderId="1" xfId="0" applyFill="1" applyBorder="1" applyAlignment="1">
      <alignment horizontal="left" vertical="top" wrapText="1" indent="1"/>
    </xf>
    <xf numFmtId="0" fontId="1" fillId="5" borderId="5" xfId="0" applyFont="1" applyFill="1" applyBorder="1" applyAlignment="1">
      <alignment horizontal="center" vertical="center"/>
    </xf>
    <xf numFmtId="0" fontId="1" fillId="4" borderId="1" xfId="0" applyFont="1" applyFill="1" applyBorder="1" applyAlignment="1">
      <alignment horizontal="left" vertical="center" wrapText="1"/>
    </xf>
    <xf numFmtId="0" fontId="8" fillId="4" borderId="4" xfId="0" applyFont="1" applyFill="1" applyBorder="1" applyAlignment="1">
      <alignment horizontal="left" vertical="center"/>
    </xf>
    <xf numFmtId="0" fontId="0" fillId="4" borderId="2" xfId="0" applyFill="1" applyBorder="1" applyAlignment="1">
      <alignment horizontal="left" vertical="center"/>
    </xf>
    <xf numFmtId="165" fontId="0" fillId="4" borderId="4" xfId="0" applyNumberFormat="1" applyFill="1" applyBorder="1" applyAlignment="1">
      <alignment horizontal="left" vertical="center"/>
    </xf>
    <xf numFmtId="0" fontId="0" fillId="2" borderId="0" xfId="0" applyFill="1" applyAlignment="1">
      <alignment horizontal="left" vertical="center"/>
    </xf>
    <xf numFmtId="0" fontId="11" fillId="2" borderId="0" xfId="0" applyFont="1" applyFill="1"/>
    <xf numFmtId="165" fontId="7" fillId="6" borderId="5" xfId="0" applyNumberFormat="1" applyFont="1" applyFill="1" applyBorder="1" applyAlignment="1">
      <alignment vertical="center"/>
    </xf>
    <xf numFmtId="9" fontId="0" fillId="2" borderId="0" xfId="2" applyFont="1" applyFill="1" applyBorder="1" applyAlignment="1">
      <alignment horizontal="center" vertical="center"/>
    </xf>
    <xf numFmtId="165" fontId="0" fillId="2" borderId="0" xfId="1" applyNumberFormat="1" applyFont="1" applyFill="1" applyBorder="1" applyAlignment="1">
      <alignment horizontal="center" vertical="center"/>
    </xf>
    <xf numFmtId="166" fontId="0" fillId="2" borderId="0" xfId="1" applyNumberFormat="1" applyFont="1" applyFill="1" applyBorder="1" applyAlignment="1">
      <alignment horizontal="center" vertical="center"/>
    </xf>
    <xf numFmtId="10" fontId="0" fillId="2" borderId="0" xfId="2" applyNumberFormat="1" applyFont="1" applyFill="1" applyBorder="1" applyAlignment="1">
      <alignment horizontal="center" vertical="center"/>
    </xf>
    <xf numFmtId="0" fontId="7" fillId="2" borderId="0" xfId="0" applyFont="1" applyFill="1" applyAlignment="1">
      <alignment horizontal="center" vertical="center"/>
    </xf>
    <xf numFmtId="0" fontId="0" fillId="7" borderId="0" xfId="0" applyFill="1"/>
    <xf numFmtId="0" fontId="11" fillId="8" borderId="0" xfId="0" applyFont="1" applyFill="1" applyAlignment="1">
      <alignment horizontal="center" vertical="center" wrapText="1"/>
    </xf>
    <xf numFmtId="0" fontId="11" fillId="2" borderId="0" xfId="0" applyFont="1" applyFill="1" applyAlignment="1">
      <alignment horizontal="center" vertical="center" wrapText="1"/>
    </xf>
    <xf numFmtId="0" fontId="15" fillId="2" borderId="0" xfId="0" applyFont="1" applyFill="1" applyAlignment="1">
      <alignment horizontal="left" vertical="center"/>
    </xf>
    <xf numFmtId="0" fontId="15" fillId="7" borderId="9" xfId="0" applyFont="1" applyFill="1" applyBorder="1" applyAlignment="1">
      <alignment horizontal="left" vertical="center"/>
    </xf>
    <xf numFmtId="165" fontId="18" fillId="2" borderId="9" xfId="0" applyNumberFormat="1" applyFont="1" applyFill="1" applyBorder="1" applyAlignment="1">
      <alignment horizontal="center" vertical="center"/>
    </xf>
    <xf numFmtId="165" fontId="17" fillId="2" borderId="9" xfId="0" applyNumberFormat="1" applyFont="1" applyFill="1" applyBorder="1" applyAlignment="1">
      <alignment horizontal="center" vertical="center"/>
    </xf>
    <xf numFmtId="4" fontId="20" fillId="3" borderId="9" xfId="0" applyNumberFormat="1" applyFont="1" applyFill="1" applyBorder="1" applyAlignment="1">
      <alignment horizontal="center" vertical="center"/>
    </xf>
    <xf numFmtId="0" fontId="21" fillId="2" borderId="0" xfId="0" applyFont="1" applyFill="1"/>
    <xf numFmtId="0" fontId="22" fillId="2" borderId="0" xfId="0" applyFont="1" applyFill="1"/>
    <xf numFmtId="0" fontId="0" fillId="7" borderId="0" xfId="0" applyFill="1" applyAlignment="1">
      <alignment vertical="top"/>
    </xf>
    <xf numFmtId="0" fontId="25" fillId="2" borderId="0" xfId="0" applyFont="1" applyFill="1"/>
    <xf numFmtId="165" fontId="19" fillId="3" borderId="9" xfId="0" applyNumberFormat="1"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5" xfId="0" applyFont="1" applyFill="1" applyBorder="1" applyAlignment="1">
      <alignment horizontal="center" vertical="center"/>
    </xf>
    <xf numFmtId="0" fontId="10" fillId="2" borderId="5" xfId="0" applyFont="1" applyFill="1" applyBorder="1" applyAlignment="1">
      <alignment horizontal="center" vertical="center"/>
    </xf>
    <xf numFmtId="0" fontId="30" fillId="2" borderId="0" xfId="0" applyFont="1" applyFill="1"/>
    <xf numFmtId="0" fontId="7" fillId="7" borderId="0" xfId="0" applyFont="1" applyFill="1" applyAlignment="1">
      <alignment horizontal="center" vertical="center"/>
    </xf>
    <xf numFmtId="165" fontId="25" fillId="9" borderId="3" xfId="1" applyNumberFormat="1" applyFont="1" applyFill="1" applyBorder="1" applyAlignment="1">
      <alignment horizontal="center" vertical="center"/>
    </xf>
    <xf numFmtId="165" fontId="9" fillId="2" borderId="3" xfId="1" applyNumberFormat="1" applyFont="1" applyFill="1" applyBorder="1" applyAlignment="1">
      <alignment horizontal="left" vertical="center"/>
    </xf>
    <xf numFmtId="0" fontId="15" fillId="7" borderId="9" xfId="0" applyFont="1" applyFill="1" applyBorder="1" applyAlignment="1">
      <alignment horizontal="left" vertical="center" wrapText="1"/>
    </xf>
    <xf numFmtId="0" fontId="1" fillId="2" borderId="0" xfId="0" applyFont="1" applyFill="1" applyAlignment="1">
      <alignment horizontal="center"/>
    </xf>
    <xf numFmtId="165" fontId="1" fillId="2" borderId="3" xfId="1" applyNumberFormat="1" applyFont="1" applyFill="1" applyBorder="1" applyAlignment="1">
      <alignment horizontal="center" vertical="center"/>
    </xf>
    <xf numFmtId="165" fontId="26" fillId="9" borderId="3" xfId="1" applyNumberFormat="1" applyFont="1" applyFill="1" applyBorder="1" applyAlignment="1">
      <alignment horizontal="center" vertical="center"/>
    </xf>
    <xf numFmtId="166" fontId="26" fillId="9" borderId="3" xfId="1" applyNumberFormat="1" applyFont="1" applyFill="1" applyBorder="1" applyAlignment="1">
      <alignment horizontal="center" vertical="center"/>
    </xf>
    <xf numFmtId="166" fontId="1" fillId="2" borderId="3" xfId="1" applyNumberFormat="1" applyFont="1" applyFill="1" applyBorder="1" applyAlignment="1">
      <alignment horizontal="center" vertical="center"/>
    </xf>
    <xf numFmtId="9" fontId="26" fillId="9" borderId="3" xfId="2" applyFont="1" applyFill="1" applyBorder="1" applyAlignment="1">
      <alignment horizontal="center" vertical="center"/>
    </xf>
    <xf numFmtId="10" fontId="1" fillId="2" borderId="3" xfId="2" applyNumberFormat="1" applyFont="1" applyFill="1" applyBorder="1" applyAlignment="1">
      <alignment horizontal="center" vertical="center"/>
    </xf>
    <xf numFmtId="0" fontId="0" fillId="10" borderId="0" xfId="0" applyFill="1"/>
    <xf numFmtId="0" fontId="0" fillId="11" borderId="0" xfId="0" applyFill="1"/>
    <xf numFmtId="0" fontId="0" fillId="12" borderId="0" xfId="0" applyFill="1"/>
    <xf numFmtId="0" fontId="26" fillId="8" borderId="0" xfId="0" applyFont="1" applyFill="1" applyAlignment="1">
      <alignment vertical="center"/>
    </xf>
    <xf numFmtId="0" fontId="32" fillId="2" borderId="0" xfId="0" applyFont="1" applyFill="1" applyAlignment="1">
      <alignment vertical="center"/>
    </xf>
    <xf numFmtId="0" fontId="6" fillId="3" borderId="0" xfId="0" applyFont="1" applyFill="1" applyBorder="1" applyAlignment="1">
      <alignment horizontal="left" vertical="center"/>
    </xf>
    <xf numFmtId="0" fontId="0" fillId="13" borderId="0" xfId="0" applyFill="1"/>
    <xf numFmtId="0" fontId="15" fillId="7" borderId="5" xfId="0" applyFont="1" applyFill="1" applyBorder="1" applyAlignment="1">
      <alignment horizontal="center" vertical="center"/>
    </xf>
    <xf numFmtId="0" fontId="24" fillId="7" borderId="0" xfId="0" applyFont="1" applyFill="1" applyAlignment="1">
      <alignment horizontal="left" vertical="top" wrapText="1"/>
    </xf>
    <xf numFmtId="0" fontId="0" fillId="7" borderId="0" xfId="0" applyFill="1" applyAlignment="1">
      <alignment horizontal="center"/>
    </xf>
    <xf numFmtId="0" fontId="12" fillId="6" borderId="0" xfId="0" applyFont="1" applyFill="1" applyAlignment="1">
      <alignment horizontal="center" vertical="center"/>
    </xf>
    <xf numFmtId="0" fontId="10" fillId="8" borderId="0" xfId="0" applyFont="1" applyFill="1" applyAlignment="1">
      <alignment horizontal="center"/>
    </xf>
    <xf numFmtId="3" fontId="18" fillId="2" borderId="10" xfId="0" applyNumberFormat="1" applyFont="1" applyFill="1" applyBorder="1" applyAlignment="1">
      <alignment horizontal="center" vertical="center"/>
    </xf>
    <xf numFmtId="3" fontId="18" fillId="2" borderId="11" xfId="0" applyNumberFormat="1" applyFont="1" applyFill="1" applyBorder="1" applyAlignment="1">
      <alignment horizontal="center" vertical="center"/>
    </xf>
    <xf numFmtId="3" fontId="18" fillId="2" borderId="12" xfId="0" applyNumberFormat="1" applyFont="1" applyFill="1" applyBorder="1" applyAlignment="1">
      <alignment horizontal="center" vertical="center"/>
    </xf>
    <xf numFmtId="165" fontId="18" fillId="2" borderId="10" xfId="0" applyNumberFormat="1" applyFont="1" applyFill="1" applyBorder="1" applyAlignment="1">
      <alignment horizontal="center" vertical="center"/>
    </xf>
    <xf numFmtId="165" fontId="18" fillId="2" borderId="11" xfId="0" applyNumberFormat="1" applyFont="1" applyFill="1" applyBorder="1" applyAlignment="1">
      <alignment horizontal="center" vertical="center"/>
    </xf>
    <xf numFmtId="165" fontId="18" fillId="2" borderId="12" xfId="0" applyNumberFormat="1"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7" xfId="0" applyFont="1" applyFill="1" applyBorder="1" applyAlignment="1">
      <alignment horizontal="center" vertical="center"/>
    </xf>
    <xf numFmtId="0" fontId="10" fillId="8" borderId="8" xfId="0" applyFont="1" applyFill="1" applyBorder="1" applyAlignment="1">
      <alignment horizontal="center" vertical="center"/>
    </xf>
    <xf numFmtId="0" fontId="12" fillId="7" borderId="0" xfId="0" applyFont="1" applyFill="1" applyAlignment="1">
      <alignment horizontal="center" vertical="center"/>
    </xf>
    <xf numFmtId="0" fontId="14" fillId="8" borderId="0" xfId="0" applyFont="1" applyFill="1" applyAlignment="1">
      <alignment horizontal="left" vertical="center"/>
    </xf>
    <xf numFmtId="0" fontId="6" fillId="3" borderId="0" xfId="0" applyFont="1" applyFill="1" applyBorder="1" applyAlignment="1">
      <alignment horizontal="left"/>
    </xf>
    <xf numFmtId="0" fontId="26" fillId="8" borderId="0" xfId="0" applyFont="1" applyFill="1" applyAlignment="1">
      <alignment horizontal="left" vertical="center"/>
    </xf>
    <xf numFmtId="0" fontId="7" fillId="7" borderId="0" xfId="0" applyFont="1" applyFill="1" applyAlignment="1">
      <alignment horizontal="left" vertical="center"/>
    </xf>
    <xf numFmtId="0" fontId="14" fillId="8" borderId="0" xfId="0" applyFont="1" applyFill="1" applyAlignment="1">
      <alignment horizontal="center" vertical="center"/>
    </xf>
    <xf numFmtId="0" fontId="25" fillId="2" borderId="13"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5" xfId="0" applyFont="1" applyFill="1" applyBorder="1" applyAlignment="1">
      <alignment horizontal="left" vertical="center"/>
    </xf>
    <xf numFmtId="0" fontId="7" fillId="7" borderId="0" xfId="0" applyFont="1" applyFill="1" applyAlignment="1">
      <alignment horizontal="center" vertical="center"/>
    </xf>
  </cellXfs>
  <cellStyles count="3">
    <cellStyle name="Parasts" xfId="0" builtinId="0"/>
    <cellStyle name="Procenti" xfId="2" builtinId="5"/>
    <cellStyle name="Valūta" xfId="1" builtinId="4"/>
  </cellStyles>
  <dxfs count="0"/>
  <tableStyles count="0" defaultTableStyle="TableStyleMedium2" defaultPivotStyle="PivotStyleLight16"/>
  <colors>
    <mruColors>
      <color rgb="FFFFC910"/>
      <color rgb="FF3A3838"/>
      <color rgb="FFC6E0B4"/>
      <color rgb="FF014EA3"/>
      <color rgb="FF4CC5E0"/>
      <color rgb="FF15F8B2"/>
      <color rgb="FFFF9E38"/>
      <color rgb="FF54E0FF"/>
      <color rgb="FF52DAFA"/>
      <color rgb="FFFFC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A3838"/>
  </sheetPr>
  <dimension ref="B1:G13"/>
  <sheetViews>
    <sheetView zoomScaleNormal="100" workbookViewId="0">
      <selection activeCell="C4" sqref="C4"/>
    </sheetView>
  </sheetViews>
  <sheetFormatPr defaultColWidth="10.875" defaultRowHeight="15.75"/>
  <cols>
    <col min="1" max="1" width="1" style="1" customWidth="1"/>
    <col min="2" max="2" width="2.5" style="1" customWidth="1"/>
    <col min="3" max="3" width="51" style="1" customWidth="1"/>
    <col min="4" max="4" width="4.625" style="1" customWidth="1"/>
    <col min="5" max="5" width="13.5" style="1" customWidth="1"/>
    <col min="6" max="7" width="25.375" style="1" customWidth="1"/>
    <col min="8" max="16384" width="10.875" style="1"/>
  </cols>
  <sheetData>
    <row r="1" spans="2:7" ht="5.0999999999999996" customHeight="1"/>
    <row r="2" spans="2:7" ht="14.1" customHeight="1" thickBot="1">
      <c r="B2" s="66"/>
      <c r="C2" s="66"/>
      <c r="D2" s="66"/>
      <c r="E2" s="66"/>
      <c r="F2" s="66"/>
      <c r="G2" s="66"/>
    </row>
    <row r="3" spans="2:7" ht="9.9499999999999993" customHeight="1" thickBot="1"/>
    <row r="4" spans="2:7" ht="35.25" thickTop="1" thickBot="1">
      <c r="C4" s="45" t="s">
        <v>0</v>
      </c>
      <c r="F4" s="64" t="s">
        <v>1</v>
      </c>
      <c r="G4" s="64"/>
    </row>
    <row r="5" spans="2:7" ht="45" customHeight="1" thickTop="1" thickBot="1">
      <c r="C5" s="37" t="s">
        <v>2</v>
      </c>
      <c r="F5" s="42" t="s">
        <v>242</v>
      </c>
      <c r="G5" s="42" t="s">
        <v>243</v>
      </c>
    </row>
    <row r="6" spans="2:7" ht="27" customHeight="1" thickTop="1" thickBot="1">
      <c r="C6" s="38"/>
      <c r="F6" s="44">
        <f>Assumptions!E140</f>
        <v>15</v>
      </c>
      <c r="G6" s="44" t="s">
        <v>3</v>
      </c>
    </row>
    <row r="7" spans="2:7" ht="8.1" customHeight="1" thickTop="1" thickBot="1">
      <c r="C7" s="38"/>
      <c r="F7" s="42"/>
      <c r="G7" s="43"/>
    </row>
    <row r="8" spans="2:7" ht="44.1" customHeight="1" thickTop="1">
      <c r="C8" s="38"/>
    </row>
    <row r="9" spans="2:7" ht="28.5">
      <c r="C9" s="38"/>
    </row>
    <row r="10" spans="2:7" ht="54.95" customHeight="1">
      <c r="F10" s="40"/>
      <c r="G10" s="40" t="s">
        <v>324</v>
      </c>
    </row>
    <row r="11" spans="2:7" ht="6.95" customHeight="1"/>
    <row r="12" spans="2:7" ht="329.1" customHeight="1">
      <c r="B12" s="39"/>
      <c r="C12" s="65" t="s">
        <v>321</v>
      </c>
      <c r="D12" s="65"/>
      <c r="E12" s="65"/>
      <c r="F12" s="65"/>
      <c r="G12" s="65"/>
    </row>
    <row r="13" spans="2:7" ht="183.95" customHeight="1">
      <c r="B13" s="29"/>
      <c r="C13" s="65" t="s">
        <v>322</v>
      </c>
      <c r="D13" s="65"/>
      <c r="E13" s="65"/>
      <c r="F13" s="65"/>
      <c r="G13" s="65"/>
    </row>
  </sheetData>
  <mergeCells count="4">
    <mergeCell ref="F4:G4"/>
    <mergeCell ref="C12:G12"/>
    <mergeCell ref="B2:G2"/>
    <mergeCell ref="C13:G13"/>
  </mergeCells>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B1:F30"/>
  <sheetViews>
    <sheetView workbookViewId="0"/>
  </sheetViews>
  <sheetFormatPr defaultColWidth="10.875" defaultRowHeight="15.75"/>
  <cols>
    <col min="1" max="1" width="1.5" style="1" customWidth="1"/>
    <col min="2" max="2" width="33.875" style="1" customWidth="1"/>
    <col min="3" max="3" width="1.375" style="1" customWidth="1"/>
    <col min="4" max="4" width="62.5" style="1" customWidth="1"/>
    <col min="5" max="5" width="2.375" style="1" customWidth="1"/>
    <col min="6" max="6" width="62.5" style="1" customWidth="1"/>
    <col min="7" max="16384" width="10.875" style="1"/>
  </cols>
  <sheetData>
    <row r="1" spans="2:6" ht="5.0999999999999996" customHeight="1"/>
    <row r="2" spans="2:6" ht="69.95" customHeight="1">
      <c r="B2" s="67" t="s">
        <v>4</v>
      </c>
      <c r="C2" s="67"/>
      <c r="D2" s="67"/>
      <c r="E2" s="67"/>
      <c r="F2" s="67"/>
    </row>
    <row r="3" spans="2:6" ht="11.1" customHeight="1"/>
    <row r="4" spans="2:6" ht="23.25">
      <c r="B4" s="68" t="s">
        <v>1</v>
      </c>
      <c r="C4" s="68"/>
      <c r="D4" s="68"/>
      <c r="E4" s="68"/>
      <c r="F4" s="68"/>
    </row>
    <row r="5" spans="2:6" ht="11.1" customHeight="1"/>
    <row r="6" spans="2:6" ht="42">
      <c r="B6" s="49" t="s">
        <v>242</v>
      </c>
      <c r="D6" s="69">
        <f>Assumptions!E140</f>
        <v>15</v>
      </c>
      <c r="E6" s="70"/>
      <c r="F6" s="71"/>
    </row>
    <row r="7" spans="2:6" ht="8.1" customHeight="1"/>
    <row r="8" spans="2:6" ht="42">
      <c r="B8" s="49" t="s">
        <v>241</v>
      </c>
      <c r="D8" s="72" t="s">
        <v>244</v>
      </c>
      <c r="E8" s="73"/>
      <c r="F8" s="74"/>
    </row>
    <row r="9" spans="2:6" ht="11.1" customHeight="1"/>
    <row r="10" spans="2:6" ht="9" customHeight="1">
      <c r="B10" s="67"/>
      <c r="C10" s="67"/>
      <c r="D10" s="67"/>
      <c r="E10" s="67"/>
      <c r="F10" s="67"/>
    </row>
    <row r="11" spans="2:6" ht="11.1" customHeight="1"/>
    <row r="12" spans="2:6" ht="46.5">
      <c r="D12" s="30" t="s">
        <v>5</v>
      </c>
      <c r="F12" s="30" t="s">
        <v>245</v>
      </c>
    </row>
    <row r="13" spans="2:6" ht="6.95" customHeight="1">
      <c r="D13" s="31"/>
    </row>
    <row r="14" spans="2:6" ht="33.950000000000003" customHeight="1">
      <c r="B14" s="33" t="s">
        <v>6</v>
      </c>
      <c r="C14" s="32"/>
      <c r="D14" s="35">
        <f>'Scenario 1 - Costs'!E4</f>
        <v>119960</v>
      </c>
      <c r="F14" s="35">
        <f>'Scenario 2 - Costs'!E4</f>
        <v>28397.333333333332</v>
      </c>
    </row>
    <row r="15" spans="2:6" ht="6.95" customHeight="1">
      <c r="D15" s="31"/>
      <c r="F15" s="31"/>
    </row>
    <row r="16" spans="2:6" ht="33.950000000000003" customHeight="1">
      <c r="B16" s="33" t="s">
        <v>7</v>
      </c>
      <c r="C16" s="32"/>
      <c r="D16" s="35">
        <f>'Scenario 1 - Costs'!E24</f>
        <v>3176099</v>
      </c>
      <c r="F16" s="35">
        <f>'Scenario 2 - Costs'!E30</f>
        <v>242806.60000000003</v>
      </c>
    </row>
    <row r="17" spans="2:6" ht="6.95" customHeight="1">
      <c r="D17" s="31"/>
      <c r="F17" s="31"/>
    </row>
    <row r="18" spans="2:6" ht="33.950000000000003" customHeight="1">
      <c r="B18" s="33" t="s">
        <v>8</v>
      </c>
      <c r="C18" s="32"/>
      <c r="D18" s="34">
        <f>D14+5*D16</f>
        <v>16000455</v>
      </c>
      <c r="F18" s="34">
        <f>F14+5*F16</f>
        <v>1242430.3333333335</v>
      </c>
    </row>
    <row r="19" spans="2:6" ht="6.95" customHeight="1">
      <c r="D19" s="31"/>
      <c r="F19" s="31"/>
    </row>
    <row r="20" spans="2:6" ht="33.950000000000003" customHeight="1">
      <c r="B20" s="33" t="s">
        <v>9</v>
      </c>
      <c r="C20" s="32"/>
      <c r="D20" s="36" t="str">
        <f>_xlfn.CONCAT(ROUND(D18/F$18, 2), " times more expensive than baseline scenario")</f>
        <v>12,88 times more expensive than baseline scenario</v>
      </c>
      <c r="F20" s="41" t="s">
        <v>10</v>
      </c>
    </row>
    <row r="21" spans="2:6" ht="11.1" customHeight="1"/>
    <row r="22" spans="2:6" ht="46.5">
      <c r="D22" s="30" t="s">
        <v>11</v>
      </c>
      <c r="F22" s="30" t="s">
        <v>12</v>
      </c>
    </row>
    <row r="23" spans="2:6" ht="6.95" customHeight="1">
      <c r="D23" s="31"/>
    </row>
    <row r="24" spans="2:6" ht="33.950000000000003" customHeight="1">
      <c r="B24" s="33" t="s">
        <v>6</v>
      </c>
      <c r="C24" s="32"/>
      <c r="D24" s="35">
        <f>'Scenario 3 - Costs'!E4</f>
        <v>106760</v>
      </c>
      <c r="F24" s="35">
        <f>'Scenario 4 - Costs'!E4</f>
        <v>111997.33333333333</v>
      </c>
    </row>
    <row r="25" spans="2:6" ht="6.95" customHeight="1">
      <c r="D25" s="31"/>
      <c r="F25" s="31"/>
    </row>
    <row r="26" spans="2:6" ht="33.950000000000003" customHeight="1">
      <c r="B26" s="33" t="s">
        <v>7</v>
      </c>
      <c r="C26" s="32"/>
      <c r="D26" s="35">
        <f>'Scenario 3 - Costs'!E26</f>
        <v>3052899</v>
      </c>
      <c r="F26" s="35">
        <f>'Scenario 4 - Costs'!E32</f>
        <v>998006.6</v>
      </c>
    </row>
    <row r="27" spans="2:6" ht="6.95" customHeight="1">
      <c r="D27" s="31"/>
      <c r="F27" s="31"/>
    </row>
    <row r="28" spans="2:6" ht="33.950000000000003" customHeight="1">
      <c r="B28" s="33" t="s">
        <v>8</v>
      </c>
      <c r="C28" s="32"/>
      <c r="D28" s="34">
        <f>D24+5*D26</f>
        <v>15371255</v>
      </c>
      <c r="F28" s="34">
        <f>F24+5*F26</f>
        <v>5102030.333333333</v>
      </c>
    </row>
    <row r="29" spans="2:6" ht="6.95" customHeight="1">
      <c r="D29" s="31"/>
      <c r="F29" s="31"/>
    </row>
    <row r="30" spans="2:6" ht="33.950000000000003" customHeight="1">
      <c r="B30" s="33" t="s">
        <v>9</v>
      </c>
      <c r="C30" s="32"/>
      <c r="D30" s="36" t="str">
        <f>_xlfn.CONCAT(ROUND(D28/F$18, 2), " times more expensive than baseline scenario")</f>
        <v>12,37 times more expensive than baseline scenario</v>
      </c>
      <c r="F30" s="36" t="str">
        <f>_xlfn.CONCAT(ROUND(F28/F$18, 2), " times more expensive than baseline scenario")</f>
        <v>4,11 times more expensive than baseline scenario</v>
      </c>
    </row>
  </sheetData>
  <mergeCells count="5">
    <mergeCell ref="B2:F2"/>
    <mergeCell ref="B10:F10"/>
    <mergeCell ref="B4:F4"/>
    <mergeCell ref="D6:F6"/>
    <mergeCell ref="D8:F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6E0B4"/>
  </sheetPr>
  <dimension ref="B1:E75"/>
  <sheetViews>
    <sheetView zoomScaleNormal="100" workbookViewId="0"/>
  </sheetViews>
  <sheetFormatPr defaultColWidth="10.875" defaultRowHeight="15.75"/>
  <cols>
    <col min="1" max="1" width="1.375" style="1" customWidth="1"/>
    <col min="2" max="2" width="72.625" style="1" bestFit="1" customWidth="1"/>
    <col min="3" max="3" width="27.625" style="1" bestFit="1" customWidth="1"/>
    <col min="4" max="4" width="46.875" style="3" bestFit="1" customWidth="1"/>
    <col min="5" max="5" width="35.125" style="1" customWidth="1"/>
    <col min="6" max="16384" width="10.875" style="1"/>
  </cols>
  <sheetData>
    <row r="1" spans="2:5" ht="5.0999999999999996" customHeight="1">
      <c r="D1" s="1"/>
    </row>
    <row r="2" spans="2:5" ht="69.95" customHeight="1">
      <c r="B2" s="67" t="s">
        <v>13</v>
      </c>
      <c r="C2" s="67"/>
      <c r="D2" s="67"/>
      <c r="E2" s="67"/>
    </row>
    <row r="3" spans="2:5" ht="5.0999999999999996" customHeight="1" thickBot="1"/>
    <row r="4" spans="2:5" s="22" customFormat="1" ht="47.1" customHeight="1" thickTop="1" thickBot="1">
      <c r="B4" s="78" t="s">
        <v>14</v>
      </c>
      <c r="C4" s="79"/>
      <c r="D4" s="80"/>
      <c r="E4" s="23">
        <f>SUM(E7,E15)</f>
        <v>119960</v>
      </c>
    </row>
    <row r="5" spans="2:5" ht="5.0999999999999996" customHeight="1" thickTop="1" thickBot="1"/>
    <row r="6" spans="2:5" ht="26.1" customHeight="1" thickTop="1" thickBot="1">
      <c r="B6" s="16" t="s">
        <v>15</v>
      </c>
      <c r="C6" s="16" t="s">
        <v>16</v>
      </c>
      <c r="D6" s="16" t="s">
        <v>17</v>
      </c>
      <c r="E6" s="16" t="s">
        <v>18</v>
      </c>
    </row>
    <row r="7" spans="2:5" ht="33.950000000000003" customHeight="1" thickTop="1">
      <c r="B7" s="10" t="s">
        <v>19</v>
      </c>
      <c r="C7" s="10"/>
      <c r="D7" s="8"/>
      <c r="E7" s="11">
        <f>SUM(E8:E13)</f>
        <v>46000</v>
      </c>
    </row>
    <row r="8" spans="2:5" s="21" customFormat="1" ht="21" customHeight="1">
      <c r="B8" s="17" t="s">
        <v>20</v>
      </c>
      <c r="C8" s="17"/>
      <c r="D8" s="19"/>
      <c r="E8" s="17"/>
    </row>
    <row r="9" spans="2:5">
      <c r="B9" s="15" t="s">
        <v>21</v>
      </c>
      <c r="C9" s="14" t="s">
        <v>22</v>
      </c>
      <c r="D9" s="12" t="s">
        <v>23</v>
      </c>
      <c r="E9" s="9">
        <f>Assumptions!E100 * Assumptions!E36</f>
        <v>12000</v>
      </c>
    </row>
    <row r="10" spans="2:5" s="21" customFormat="1" ht="21" customHeight="1">
      <c r="B10" s="17" t="s">
        <v>24</v>
      </c>
      <c r="C10" s="17"/>
      <c r="D10" s="19"/>
      <c r="E10" s="17"/>
    </row>
    <row r="11" spans="2:5">
      <c r="B11" s="15" t="s">
        <v>25</v>
      </c>
      <c r="C11" s="14" t="s">
        <v>22</v>
      </c>
      <c r="D11" s="12" t="s">
        <v>26</v>
      </c>
      <c r="E11" s="9">
        <f>Assumptions!E144</f>
        <v>28000</v>
      </c>
    </row>
    <row r="12" spans="2:5" s="21" customFormat="1" ht="21" customHeight="1">
      <c r="B12" s="17" t="s">
        <v>27</v>
      </c>
      <c r="C12" s="17"/>
      <c r="D12" s="19"/>
      <c r="E12" s="17"/>
    </row>
    <row r="13" spans="2:5">
      <c r="B13" s="15" t="s">
        <v>28</v>
      </c>
      <c r="C13" s="14" t="s">
        <v>22</v>
      </c>
      <c r="D13" s="12" t="s">
        <v>29</v>
      </c>
      <c r="E13" s="9">
        <f>Assumptions!E106*Assumptions!E36</f>
        <v>6000</v>
      </c>
    </row>
    <row r="14" spans="2:5" ht="5.0999999999999996" customHeight="1"/>
    <row r="15" spans="2:5" ht="33.950000000000003" customHeight="1">
      <c r="B15" s="10" t="s">
        <v>30</v>
      </c>
      <c r="C15" s="10"/>
      <c r="D15" s="8"/>
      <c r="E15" s="11">
        <f>SUM(E16:E22)</f>
        <v>73960</v>
      </c>
    </row>
    <row r="16" spans="2:5" s="21" customFormat="1" ht="21" customHeight="1">
      <c r="B16" s="17" t="s">
        <v>31</v>
      </c>
      <c r="C16" s="17"/>
      <c r="D16" s="19"/>
      <c r="E16" s="17"/>
    </row>
    <row r="17" spans="2:5">
      <c r="B17" s="7" t="s">
        <v>32</v>
      </c>
      <c r="C17" s="14" t="s">
        <v>33</v>
      </c>
      <c r="D17" s="12" t="s">
        <v>309</v>
      </c>
      <c r="E17" s="9">
        <f>Assumptions!E98 * Assumptions!E32</f>
        <v>30000</v>
      </c>
    </row>
    <row r="18" spans="2:5">
      <c r="B18" s="7" t="s">
        <v>35</v>
      </c>
      <c r="C18" s="14" t="s">
        <v>33</v>
      </c>
      <c r="D18" s="12" t="s">
        <v>310</v>
      </c>
      <c r="E18" s="9">
        <f>Assumptions!E108 * Assumptions!E32</f>
        <v>20000</v>
      </c>
    </row>
    <row r="19" spans="2:5">
      <c r="B19" s="7" t="s">
        <v>37</v>
      </c>
      <c r="C19" s="14" t="s">
        <v>33</v>
      </c>
      <c r="D19" s="12" t="s">
        <v>38</v>
      </c>
      <c r="E19" s="9">
        <f>Assumptions!E114*Assumptions!E32</f>
        <v>10000</v>
      </c>
    </row>
    <row r="20" spans="2:5" s="21" customFormat="1" ht="21" customHeight="1">
      <c r="B20" s="17" t="s">
        <v>39</v>
      </c>
      <c r="C20" s="18"/>
      <c r="D20" s="19"/>
      <c r="E20" s="20"/>
    </row>
    <row r="21" spans="2:5">
      <c r="B21" s="7" t="s">
        <v>40</v>
      </c>
      <c r="C21" s="14" t="s">
        <v>41</v>
      </c>
      <c r="D21" s="12" t="s">
        <v>42</v>
      </c>
      <c r="E21" s="9">
        <f>Assumptions!E128 * Assumptions!E118</f>
        <v>1960</v>
      </c>
    </row>
    <row r="22" spans="2:5">
      <c r="B22" s="7" t="s">
        <v>43</v>
      </c>
      <c r="C22" s="14" t="s">
        <v>41</v>
      </c>
      <c r="D22" s="12" t="s">
        <v>42</v>
      </c>
      <c r="E22" s="9">
        <f>Assumptions!E130 * Assumptions!E122</f>
        <v>12000</v>
      </c>
    </row>
    <row r="23" spans="2:5" ht="5.0999999999999996" customHeight="1" thickBot="1"/>
    <row r="24" spans="2:5" s="22" customFormat="1" ht="47.1" customHeight="1" thickTop="1" thickBot="1">
      <c r="B24" s="75" t="s">
        <v>44</v>
      </c>
      <c r="C24" s="76"/>
      <c r="D24" s="77"/>
      <c r="E24" s="23">
        <f>SUM(E28,E44,E52,E56,E69)</f>
        <v>3176099</v>
      </c>
    </row>
    <row r="25" spans="2:5" ht="3.95" customHeight="1" thickTop="1" thickBot="1"/>
    <row r="26" spans="2:5" ht="23.1" customHeight="1" thickTop="1" thickBot="1">
      <c r="B26" s="16" t="s">
        <v>15</v>
      </c>
      <c r="C26" s="16" t="s">
        <v>16</v>
      </c>
      <c r="D26" s="16" t="s">
        <v>17</v>
      </c>
      <c r="E26" s="16" t="s">
        <v>18</v>
      </c>
    </row>
    <row r="27" spans="2:5" ht="5.0999999999999996" customHeight="1" thickTop="1"/>
    <row r="28" spans="2:5" ht="33.950000000000003" customHeight="1">
      <c r="B28" s="10" t="s">
        <v>45</v>
      </c>
      <c r="C28" s="10"/>
      <c r="D28" s="8"/>
      <c r="E28" s="11">
        <f>SUM(E30:E42)</f>
        <v>1848000</v>
      </c>
    </row>
    <row r="29" spans="2:5" s="21" customFormat="1" ht="21" customHeight="1">
      <c r="B29" s="17" t="s">
        <v>46</v>
      </c>
      <c r="C29" s="17"/>
      <c r="D29" s="19"/>
      <c r="E29" s="17"/>
    </row>
    <row r="30" spans="2:5">
      <c r="B30" s="7" t="s">
        <v>47</v>
      </c>
      <c r="C30" s="14" t="s">
        <v>33</v>
      </c>
      <c r="D30" s="12" t="s">
        <v>48</v>
      </c>
      <c r="E30" s="9">
        <f>Assumptions!E52 *Assumptions!E34 * Assumptions!E142</f>
        <v>132000</v>
      </c>
    </row>
    <row r="31" spans="2:5" s="21" customFormat="1" ht="21" customHeight="1">
      <c r="B31" s="17" t="s">
        <v>49</v>
      </c>
      <c r="C31" s="18"/>
      <c r="D31" s="19"/>
      <c r="E31" s="20"/>
    </row>
    <row r="32" spans="2:5">
      <c r="B32" s="7" t="s">
        <v>50</v>
      </c>
      <c r="C32" s="14" t="s">
        <v>33</v>
      </c>
      <c r="D32" s="12" t="s">
        <v>51</v>
      </c>
      <c r="E32" s="9">
        <f>Assumptions!E54 * Assumptions!E34 * Assumptions!E142</f>
        <v>132000</v>
      </c>
    </row>
    <row r="33" spans="2:5" s="21" customFormat="1" ht="21" customHeight="1">
      <c r="B33" s="17" t="s">
        <v>52</v>
      </c>
      <c r="C33" s="18"/>
      <c r="D33" s="19"/>
      <c r="E33" s="20"/>
    </row>
    <row r="34" spans="2:5">
      <c r="B34" s="7" t="s">
        <v>53</v>
      </c>
      <c r="C34" s="14" t="s">
        <v>33</v>
      </c>
      <c r="D34" s="12" t="s">
        <v>54</v>
      </c>
      <c r="E34" s="9">
        <f>Assumptions!E56 * Assumptions!E32 * Assumptions!E142</f>
        <v>990000</v>
      </c>
    </row>
    <row r="35" spans="2:5" s="21" customFormat="1" ht="21" customHeight="1">
      <c r="B35" s="17" t="s">
        <v>55</v>
      </c>
      <c r="C35" s="18"/>
      <c r="D35" s="19"/>
      <c r="E35" s="20"/>
    </row>
    <row r="36" spans="2:5">
      <c r="B36" s="7" t="s">
        <v>56</v>
      </c>
      <c r="C36" s="14" t="s">
        <v>33</v>
      </c>
      <c r="D36" s="12" t="s">
        <v>57</v>
      </c>
      <c r="E36" s="9">
        <f>Assumptions!E58 * Assumptions!E30 * Assumptions!E142</f>
        <v>352000</v>
      </c>
    </row>
    <row r="37" spans="2:5" s="21" customFormat="1" ht="21" customHeight="1">
      <c r="B37" s="17" t="s">
        <v>58</v>
      </c>
      <c r="C37" s="18"/>
      <c r="D37" s="19"/>
      <c r="E37" s="20"/>
    </row>
    <row r="38" spans="2:5">
      <c r="B38" s="7" t="s">
        <v>59</v>
      </c>
      <c r="C38" s="14" t="s">
        <v>33</v>
      </c>
      <c r="D38" s="12" t="s">
        <v>60</v>
      </c>
      <c r="E38" s="9">
        <f>Assumptions!E62 * Assumptions!E34 * Assumptions!E142</f>
        <v>132000</v>
      </c>
    </row>
    <row r="39" spans="2:5" s="21" customFormat="1" ht="21" customHeight="1">
      <c r="B39" s="17" t="s">
        <v>61</v>
      </c>
      <c r="C39" s="18"/>
      <c r="D39" s="19"/>
      <c r="E39" s="20"/>
    </row>
    <row r="40" spans="2:5">
      <c r="B40" s="7" t="s">
        <v>62</v>
      </c>
      <c r="C40" s="14" t="s">
        <v>33</v>
      </c>
      <c r="D40" s="12" t="s">
        <v>63</v>
      </c>
      <c r="E40" s="9">
        <f>Assumptions!E64 * Assumptions!E32 * Assumptions!E142</f>
        <v>55000</v>
      </c>
    </row>
    <row r="41" spans="2:5" s="21" customFormat="1" ht="21" customHeight="1">
      <c r="B41" s="17" t="s">
        <v>64</v>
      </c>
      <c r="C41" s="18"/>
      <c r="D41" s="19"/>
      <c r="E41" s="20"/>
    </row>
    <row r="42" spans="2:5">
      <c r="B42" s="7" t="s">
        <v>65</v>
      </c>
      <c r="C42" s="14" t="s">
        <v>33</v>
      </c>
      <c r="D42" s="12" t="s">
        <v>66</v>
      </c>
      <c r="E42" s="9">
        <f>Assumptions!E68 * Assumptions!E32 * Assumptions!E142</f>
        <v>55000</v>
      </c>
    </row>
    <row r="43" spans="2:5" ht="6" customHeight="1"/>
    <row r="44" spans="2:5" ht="33.950000000000003" customHeight="1">
      <c r="B44" s="10" t="s">
        <v>67</v>
      </c>
      <c r="C44" s="10"/>
      <c r="D44" s="8"/>
      <c r="E44" s="11">
        <f>SUM(E46:E50)</f>
        <v>440000</v>
      </c>
    </row>
    <row r="45" spans="2:5" s="21" customFormat="1" ht="21" customHeight="1">
      <c r="B45" s="17" t="s">
        <v>68</v>
      </c>
      <c r="C45" s="17"/>
      <c r="D45" s="19"/>
      <c r="E45" s="17"/>
    </row>
    <row r="46" spans="2:5">
      <c r="B46" s="7" t="s">
        <v>69</v>
      </c>
      <c r="C46" s="14" t="s">
        <v>33</v>
      </c>
      <c r="D46" s="12" t="s">
        <v>70</v>
      </c>
      <c r="E46" s="9">
        <f>Assumptions!E70 * Assumptions!E30 * Assumptions!E142</f>
        <v>44000</v>
      </c>
    </row>
    <row r="47" spans="2:5" s="21" customFormat="1" ht="21" customHeight="1">
      <c r="B47" s="17" t="s">
        <v>71</v>
      </c>
      <c r="C47" s="18"/>
      <c r="D47" s="19"/>
      <c r="E47" s="20"/>
    </row>
    <row r="48" spans="2:5">
      <c r="B48" s="7" t="s">
        <v>72</v>
      </c>
      <c r="C48" s="14" t="s">
        <v>33</v>
      </c>
      <c r="D48" s="12" t="s">
        <v>234</v>
      </c>
      <c r="E48" s="9">
        <f>Assumptions!E90 * Assumptions!E30 * Assumptions!E142</f>
        <v>264000</v>
      </c>
    </row>
    <row r="49" spans="2:5" s="21" customFormat="1" ht="21" customHeight="1">
      <c r="B49" s="17" t="s">
        <v>73</v>
      </c>
      <c r="C49" s="18"/>
      <c r="D49" s="19"/>
      <c r="E49" s="20"/>
    </row>
    <row r="50" spans="2:5">
      <c r="B50" s="7" t="s">
        <v>74</v>
      </c>
      <c r="C50" s="14" t="s">
        <v>33</v>
      </c>
      <c r="D50" s="12" t="s">
        <v>75</v>
      </c>
      <c r="E50" s="9">
        <f>Assumptions!E72 * Assumptions!E30 * Assumptions!E142</f>
        <v>132000</v>
      </c>
    </row>
    <row r="51" spans="2:5" ht="6" customHeight="1"/>
    <row r="52" spans="2:5" ht="33.950000000000003" customHeight="1">
      <c r="B52" s="10" t="s">
        <v>76</v>
      </c>
      <c r="C52" s="10"/>
      <c r="D52" s="8"/>
      <c r="E52" s="11">
        <f xml:space="preserve"> SUM(E54)</f>
        <v>66000</v>
      </c>
    </row>
    <row r="53" spans="2:5" s="21" customFormat="1" ht="21" customHeight="1">
      <c r="B53" s="17" t="s">
        <v>77</v>
      </c>
      <c r="C53" s="18"/>
      <c r="D53" s="19"/>
      <c r="E53" s="20"/>
    </row>
    <row r="54" spans="2:5">
      <c r="B54" s="7" t="s">
        <v>78</v>
      </c>
      <c r="C54" s="14" t="s">
        <v>33</v>
      </c>
      <c r="D54" s="12" t="s">
        <v>79</v>
      </c>
      <c r="E54" s="9">
        <f>Assumptions!E78 * Assumptions!E34 *Assumptions!E142</f>
        <v>66000</v>
      </c>
    </row>
    <row r="55" spans="2:5" ht="6" customHeight="1"/>
    <row r="56" spans="2:5" ht="33.950000000000003" customHeight="1">
      <c r="B56" s="10" t="s">
        <v>30</v>
      </c>
      <c r="C56" s="10"/>
      <c r="D56" s="8"/>
      <c r="E56" s="11">
        <f>SUM(E58:E67)</f>
        <v>315879</v>
      </c>
    </row>
    <row r="57" spans="2:5" s="21" customFormat="1" ht="21" customHeight="1">
      <c r="B57" s="17" t="s">
        <v>31</v>
      </c>
      <c r="C57" s="18"/>
      <c r="D57" s="19"/>
      <c r="E57" s="20"/>
    </row>
    <row r="58" spans="2:5">
      <c r="B58" s="7" t="s">
        <v>80</v>
      </c>
      <c r="C58" s="14" t="s">
        <v>33</v>
      </c>
      <c r="D58" s="12" t="s">
        <v>81</v>
      </c>
      <c r="E58" s="9">
        <f>Assumptions!E66 *Assumptions!E34 * Assumptions!E142</f>
        <v>132000</v>
      </c>
    </row>
    <row r="59" spans="2:5">
      <c r="B59" s="7" t="s">
        <v>82</v>
      </c>
      <c r="C59" s="14" t="s">
        <v>83</v>
      </c>
      <c r="D59" s="12" t="s">
        <v>84</v>
      </c>
      <c r="E59" s="9">
        <f>Assumptions!E40</f>
        <v>34000</v>
      </c>
    </row>
    <row r="60" spans="2:5">
      <c r="B60" s="7" t="s">
        <v>85</v>
      </c>
      <c r="C60" s="14" t="s">
        <v>83</v>
      </c>
      <c r="D60" s="12" t="s">
        <v>86</v>
      </c>
      <c r="E60" s="9">
        <f>Assumptions!E42</f>
        <v>60000</v>
      </c>
    </row>
    <row r="61" spans="2:5">
      <c r="B61" s="7" t="s">
        <v>87</v>
      </c>
      <c r="C61" s="14" t="s">
        <v>83</v>
      </c>
      <c r="D61" s="12" t="s">
        <v>88</v>
      </c>
      <c r="E61" s="9">
        <f>Assumptions!E44</f>
        <v>36000</v>
      </c>
    </row>
    <row r="62" spans="2:5">
      <c r="B62" s="7" t="s">
        <v>89</v>
      </c>
      <c r="C62" s="14" t="s">
        <v>83</v>
      </c>
      <c r="D62" s="12" t="s">
        <v>90</v>
      </c>
      <c r="E62" s="9">
        <f>Assumptions!E46</f>
        <v>8000</v>
      </c>
    </row>
    <row r="63" spans="2:5">
      <c r="B63" s="7" t="s">
        <v>91</v>
      </c>
      <c r="C63" s="14" t="s">
        <v>83</v>
      </c>
      <c r="D63" s="12" t="s">
        <v>92</v>
      </c>
      <c r="E63" s="9">
        <f>Assumptions!E48</f>
        <v>30000</v>
      </c>
    </row>
    <row r="64" spans="2:5" s="21" customFormat="1" ht="21" customHeight="1">
      <c r="B64" s="17" t="s">
        <v>93</v>
      </c>
      <c r="C64" s="18"/>
      <c r="D64" s="19"/>
      <c r="E64" s="20"/>
    </row>
    <row r="65" spans="2:5">
      <c r="B65" s="7" t="s">
        <v>94</v>
      </c>
      <c r="C65" s="14" t="s">
        <v>41</v>
      </c>
      <c r="D65" s="12" t="s">
        <v>42</v>
      </c>
      <c r="E65" s="9">
        <f>Assumptions!E120</f>
        <v>3000</v>
      </c>
    </row>
    <row r="66" spans="2:5">
      <c r="B66" s="7" t="s">
        <v>95</v>
      </c>
      <c r="C66" s="14" t="s">
        <v>96</v>
      </c>
      <c r="D66" s="12" t="s">
        <v>42</v>
      </c>
      <c r="E66" s="9">
        <f>Assumptions!E124</f>
        <v>1539</v>
      </c>
    </row>
    <row r="67" spans="2:5">
      <c r="B67" s="7" t="s">
        <v>97</v>
      </c>
      <c r="C67" s="14" t="s">
        <v>41</v>
      </c>
      <c r="D67" s="12" t="s">
        <v>42</v>
      </c>
      <c r="E67" s="9">
        <f>Assumptions!E152 * Assumptions!E126</f>
        <v>11340</v>
      </c>
    </row>
    <row r="68" spans="2:5" ht="6" customHeight="1"/>
    <row r="69" spans="2:5" ht="33.950000000000003" customHeight="1">
      <c r="B69" s="10" t="s">
        <v>98</v>
      </c>
      <c r="C69" s="10"/>
      <c r="D69" s="8"/>
      <c r="E69" s="11">
        <f>SUM(E70:E75)</f>
        <v>506220</v>
      </c>
    </row>
    <row r="70" spans="2:5" s="21" customFormat="1" ht="21" customHeight="1">
      <c r="B70" s="17" t="s">
        <v>99</v>
      </c>
      <c r="C70" s="17"/>
      <c r="D70" s="19"/>
      <c r="E70" s="17"/>
    </row>
    <row r="71" spans="2:5">
      <c r="B71" s="7" t="s">
        <v>28</v>
      </c>
      <c r="C71" s="14" t="s">
        <v>22</v>
      </c>
      <c r="D71" s="12" t="s">
        <v>100</v>
      </c>
      <c r="E71" s="9">
        <f>Assumptions!E80 * Assumptions!E36 * Assumptions!E142</f>
        <v>66000</v>
      </c>
    </row>
    <row r="72" spans="2:5" s="21" customFormat="1" ht="21" customHeight="1">
      <c r="B72" s="17" t="s">
        <v>101</v>
      </c>
      <c r="C72" s="18"/>
      <c r="D72" s="19"/>
      <c r="E72" s="20"/>
    </row>
    <row r="73" spans="2:5">
      <c r="B73" s="7" t="s">
        <v>102</v>
      </c>
      <c r="C73" s="14" t="s">
        <v>22</v>
      </c>
      <c r="D73" s="12" t="s">
        <v>103</v>
      </c>
      <c r="E73" s="9">
        <f>Assumptions!E82 * Assumptions!E36 * Assumptions!E142</f>
        <v>66000</v>
      </c>
    </row>
    <row r="74" spans="2:5" s="21" customFormat="1" ht="21" customHeight="1">
      <c r="B74" s="17" t="s">
        <v>104</v>
      </c>
      <c r="C74" s="18" t="s">
        <v>105</v>
      </c>
      <c r="D74" s="19"/>
      <c r="E74" s="20"/>
    </row>
    <row r="75" spans="2:5">
      <c r="B75" s="7" t="s">
        <v>106</v>
      </c>
      <c r="C75" s="14" t="s">
        <v>105</v>
      </c>
      <c r="D75" s="12" t="s">
        <v>107</v>
      </c>
      <c r="E75" s="9">
        <f>Assumptions!E152 * AVERAGE(Assumptions!E30:E36) * Assumptions!E148 * Assumptions!E142</f>
        <v>374220</v>
      </c>
    </row>
  </sheetData>
  <mergeCells count="3">
    <mergeCell ref="B2:E2"/>
    <mergeCell ref="B24:D24"/>
    <mergeCell ref="B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6E0B4"/>
  </sheetPr>
  <dimension ref="B1:F91"/>
  <sheetViews>
    <sheetView tabSelected="1" topLeftCell="A19" zoomScaleNormal="100" workbookViewId="0"/>
  </sheetViews>
  <sheetFormatPr defaultColWidth="10.875" defaultRowHeight="15.75"/>
  <cols>
    <col min="1" max="1" width="1.375" style="1" customWidth="1"/>
    <col min="2" max="2" width="72.625" style="1" bestFit="1" customWidth="1"/>
    <col min="3" max="3" width="16.625" style="1" customWidth="1"/>
    <col min="4" max="4" width="55.875" style="3" customWidth="1"/>
    <col min="5" max="5" width="24.375" style="1" customWidth="1"/>
    <col min="6" max="6" width="59.875" style="1" customWidth="1"/>
    <col min="7" max="16384" width="10.875" style="1"/>
  </cols>
  <sheetData>
    <row r="1" spans="2:6" ht="5.0999999999999996" customHeight="1">
      <c r="D1" s="1"/>
    </row>
    <row r="2" spans="2:6" ht="69.95" customHeight="1">
      <c r="B2" s="67" t="s">
        <v>108</v>
      </c>
      <c r="C2" s="67"/>
      <c r="D2" s="67"/>
      <c r="E2" s="67"/>
    </row>
    <row r="3" spans="2:6" ht="5.0999999999999996" customHeight="1" thickBot="1"/>
    <row r="4" spans="2:6" s="22" customFormat="1" ht="47.1" customHeight="1" thickTop="1" thickBot="1">
      <c r="B4" s="75" t="s">
        <v>14</v>
      </c>
      <c r="C4" s="76"/>
      <c r="D4" s="77"/>
      <c r="E4" s="23">
        <f>SUM(E7,E17,E24)</f>
        <v>28397.333333333332</v>
      </c>
    </row>
    <row r="5" spans="2:6" ht="5.0999999999999996" customHeight="1" thickTop="1" thickBot="1"/>
    <row r="6" spans="2:6" ht="26.1" customHeight="1" thickTop="1" thickBot="1">
      <c r="B6" s="16" t="s">
        <v>15</v>
      </c>
      <c r="C6" s="16" t="s">
        <v>16</v>
      </c>
      <c r="D6" s="16" t="s">
        <v>17</v>
      </c>
      <c r="E6" s="16" t="s">
        <v>18</v>
      </c>
    </row>
    <row r="7" spans="2:6" ht="33.950000000000003" customHeight="1" thickTop="1">
      <c r="B7" s="10" t="s">
        <v>19</v>
      </c>
      <c r="C7" s="10"/>
      <c r="D7" s="8"/>
      <c r="E7" s="11">
        <f>SUM(E8:E15)</f>
        <v>21600</v>
      </c>
    </row>
    <row r="8" spans="2:6" s="21" customFormat="1" ht="21" customHeight="1">
      <c r="B8" s="17" t="s">
        <v>20</v>
      </c>
      <c r="C8" s="17"/>
      <c r="D8" s="19"/>
      <c r="E8" s="17"/>
    </row>
    <row r="9" spans="2:6">
      <c r="B9" s="15" t="s">
        <v>21</v>
      </c>
      <c r="C9" s="14" t="s">
        <v>22</v>
      </c>
      <c r="D9" s="12" t="s">
        <v>109</v>
      </c>
      <c r="E9" s="9">
        <f>Assumptions!E100 * Assumptions!E26 * Assumptions!E150</f>
        <v>800</v>
      </c>
      <c r="F9" s="13"/>
    </row>
    <row r="10" spans="2:6" s="21" customFormat="1" ht="21" customHeight="1">
      <c r="B10" s="17" t="s">
        <v>110</v>
      </c>
      <c r="C10" s="17"/>
      <c r="D10" s="19"/>
      <c r="E10" s="17"/>
    </row>
    <row r="11" spans="2:6">
      <c r="B11" s="15" t="s">
        <v>21</v>
      </c>
      <c r="C11" s="14" t="s">
        <v>22</v>
      </c>
      <c r="D11" s="12" t="s">
        <v>23</v>
      </c>
      <c r="E11" s="9">
        <f>Assumptions!E102 * Assumptions!E26</f>
        <v>12000</v>
      </c>
      <c r="F11" s="13"/>
    </row>
    <row r="12" spans="2:6" s="21" customFormat="1" ht="21" customHeight="1">
      <c r="B12" s="17" t="s">
        <v>24</v>
      </c>
      <c r="C12" s="17"/>
      <c r="D12" s="19"/>
      <c r="E12" s="17"/>
    </row>
    <row r="13" spans="2:6">
      <c r="B13" s="15" t="s">
        <v>25</v>
      </c>
      <c r="C13" s="14" t="s">
        <v>22</v>
      </c>
      <c r="D13" s="12" t="s">
        <v>111</v>
      </c>
      <c r="E13" s="9">
        <f>Assumptions!E144 * Assumptions!E146 * Assumptions!E150</f>
        <v>2800</v>
      </c>
    </row>
    <row r="14" spans="2:6" s="21" customFormat="1" ht="21" customHeight="1">
      <c r="B14" s="17" t="s">
        <v>27</v>
      </c>
      <c r="C14" s="17"/>
      <c r="D14" s="19"/>
      <c r="E14" s="17"/>
    </row>
    <row r="15" spans="2:6">
      <c r="B15" s="15" t="s">
        <v>28</v>
      </c>
      <c r="C15" s="14" t="s">
        <v>22</v>
      </c>
      <c r="D15" s="12" t="s">
        <v>29</v>
      </c>
      <c r="E15" s="9">
        <f>Assumptions!E106*Assumptions!E26</f>
        <v>6000</v>
      </c>
    </row>
    <row r="16" spans="2:6" ht="5.0999999999999996" customHeight="1"/>
    <row r="17" spans="2:5" ht="33.950000000000003" customHeight="1">
      <c r="B17" s="10" t="s">
        <v>30</v>
      </c>
      <c r="C17" s="10"/>
      <c r="D17" s="8"/>
      <c r="E17" s="11">
        <f>SUM(E18:E23)</f>
        <v>4264</v>
      </c>
    </row>
    <row r="18" spans="2:5" s="21" customFormat="1" ht="21" customHeight="1">
      <c r="B18" s="17" t="s">
        <v>31</v>
      </c>
      <c r="C18" s="17"/>
      <c r="D18" s="19"/>
      <c r="E18" s="17"/>
    </row>
    <row r="19" spans="2:5">
      <c r="B19" s="7" t="s">
        <v>32</v>
      </c>
      <c r="C19" s="14" t="s">
        <v>33</v>
      </c>
      <c r="D19" s="12" t="s">
        <v>112</v>
      </c>
      <c r="E19" s="9">
        <f>Assumptions!E98 * Assumptions!E22 * Assumptions!E150</f>
        <v>2000</v>
      </c>
    </row>
    <row r="20" spans="2:5">
      <c r="B20" s="7" t="s">
        <v>35</v>
      </c>
      <c r="C20" s="14" t="s">
        <v>33</v>
      </c>
      <c r="D20" s="12" t="s">
        <v>113</v>
      </c>
      <c r="E20" s="9">
        <f>Assumptions!E108 * Assumptions!E22  * Assumptions!E150</f>
        <v>1333.3333333333333</v>
      </c>
    </row>
    <row r="21" spans="2:5" s="21" customFormat="1" ht="21" customHeight="1">
      <c r="B21" s="17" t="s">
        <v>39</v>
      </c>
      <c r="C21" s="18"/>
      <c r="D21" s="19"/>
      <c r="E21" s="20"/>
    </row>
    <row r="22" spans="2:5">
      <c r="B22" s="7" t="s">
        <v>40</v>
      </c>
      <c r="C22" s="14" t="s">
        <v>41</v>
      </c>
      <c r="D22" s="12" t="s">
        <v>114</v>
      </c>
      <c r="E22" s="9">
        <f>Assumptions!E128 * Assumptions!E118  * Assumptions!E150</f>
        <v>130.66666666666666</v>
      </c>
    </row>
    <row r="23" spans="2:5">
      <c r="B23" s="7" t="s">
        <v>43</v>
      </c>
      <c r="C23" s="14" t="s">
        <v>41</v>
      </c>
      <c r="D23" s="12" t="s">
        <v>114</v>
      </c>
      <c r="E23" s="9">
        <f>Assumptions!E130 * Assumptions!E122  * Assumptions!E150</f>
        <v>800</v>
      </c>
    </row>
    <row r="24" spans="2:5" ht="33.950000000000003" customHeight="1">
      <c r="B24" s="10" t="s">
        <v>45</v>
      </c>
      <c r="C24" s="10"/>
      <c r="D24" s="8"/>
      <c r="E24" s="11">
        <f>SUM(E26:E28)</f>
        <v>2533.3333333333335</v>
      </c>
    </row>
    <row r="25" spans="2:5" s="21" customFormat="1" ht="21" customHeight="1">
      <c r="B25" s="17" t="s">
        <v>115</v>
      </c>
      <c r="C25" s="17"/>
      <c r="D25" s="19"/>
      <c r="E25" s="17"/>
    </row>
    <row r="26" spans="2:5">
      <c r="B26" s="7" t="s">
        <v>116</v>
      </c>
      <c r="C26" s="14" t="s">
        <v>33</v>
      </c>
      <c r="D26" s="12" t="s">
        <v>117</v>
      </c>
      <c r="E26" s="9">
        <f>Assumptions!E108 * Assumptions!E22* Assumptions!E150</f>
        <v>1333.3333333333333</v>
      </c>
    </row>
    <row r="27" spans="2:5">
      <c r="B27" s="7" t="s">
        <v>118</v>
      </c>
      <c r="C27" s="14" t="s">
        <v>33</v>
      </c>
      <c r="D27" s="12" t="s">
        <v>119</v>
      </c>
      <c r="E27" s="9">
        <f>Assumptions!E110*Assumptions!E22* Assumptions!E150</f>
        <v>666.66666666666663</v>
      </c>
    </row>
    <row r="28" spans="2:5">
      <c r="B28" s="7" t="s">
        <v>37</v>
      </c>
      <c r="C28" s="14" t="s">
        <v>33</v>
      </c>
      <c r="D28" s="12" t="s">
        <v>120</v>
      </c>
      <c r="E28" s="9">
        <f>Assumptions!E112*Assumptions!E20* Assumptions!E150</f>
        <v>533.33333333333337</v>
      </c>
    </row>
    <row r="29" spans="2:5" ht="5.0999999999999996" customHeight="1" thickBot="1"/>
    <row r="30" spans="2:5" s="22" customFormat="1" ht="47.1" customHeight="1" thickTop="1" thickBot="1">
      <c r="B30" s="75" t="s">
        <v>44</v>
      </c>
      <c r="C30" s="76"/>
      <c r="D30" s="77"/>
      <c r="E30" s="23">
        <f>SUM(E34,E42,E60,E68,E72,E85)</f>
        <v>242806.60000000003</v>
      </c>
    </row>
    <row r="31" spans="2:5" ht="3.95" customHeight="1" thickTop="1" thickBot="1"/>
    <row r="32" spans="2:5" ht="23.1" customHeight="1" thickTop="1" thickBot="1">
      <c r="B32" s="16" t="s">
        <v>15</v>
      </c>
      <c r="C32" s="16" t="s">
        <v>16</v>
      </c>
      <c r="D32" s="16" t="s">
        <v>17</v>
      </c>
      <c r="E32" s="16" t="s">
        <v>18</v>
      </c>
    </row>
    <row r="33" spans="2:5" ht="5.0999999999999996" customHeight="1" thickTop="1"/>
    <row r="34" spans="2:5" ht="33.950000000000003" customHeight="1">
      <c r="B34" s="10" t="s">
        <v>121</v>
      </c>
      <c r="C34" s="10"/>
      <c r="D34" s="8"/>
      <c r="E34" s="11">
        <f>SUM(E35:E40)</f>
        <v>9066.6666666666661</v>
      </c>
    </row>
    <row r="35" spans="2:5" s="21" customFormat="1" ht="21" customHeight="1">
      <c r="B35" s="17" t="s">
        <v>122</v>
      </c>
      <c r="C35" s="17"/>
      <c r="D35" s="19"/>
      <c r="E35" s="17"/>
    </row>
    <row r="36" spans="2:5">
      <c r="B36" s="7" t="s">
        <v>123</v>
      </c>
      <c r="C36" s="14" t="s">
        <v>33</v>
      </c>
      <c r="D36" s="12" t="s">
        <v>124</v>
      </c>
      <c r="E36" s="9">
        <f>Assumptions!E60 * Assumptions!E24 * Assumptions!E142 * Assumptions!E150</f>
        <v>4400</v>
      </c>
    </row>
    <row r="37" spans="2:5" s="21" customFormat="1" ht="21" customHeight="1">
      <c r="B37" s="17" t="s">
        <v>125</v>
      </c>
      <c r="C37" s="17"/>
      <c r="D37" s="19"/>
      <c r="E37" s="17"/>
    </row>
    <row r="38" spans="2:5">
      <c r="B38" s="7" t="s">
        <v>126</v>
      </c>
      <c r="C38" s="14" t="s">
        <v>33</v>
      </c>
      <c r="D38" s="12" t="s">
        <v>127</v>
      </c>
      <c r="E38" s="9">
        <f>Assumptions!E76*Assumptions!E22*Assumptions!E142  * Assumptions!E150</f>
        <v>3666.6666666666665</v>
      </c>
    </row>
    <row r="39" spans="2:5" s="21" customFormat="1" ht="21" customHeight="1">
      <c r="B39" s="17" t="s">
        <v>128</v>
      </c>
      <c r="C39" s="17"/>
      <c r="D39" s="19"/>
      <c r="E39" s="17"/>
    </row>
    <row r="40" spans="2:5">
      <c r="B40" s="7" t="s">
        <v>129</v>
      </c>
      <c r="C40" s="14" t="s">
        <v>130</v>
      </c>
      <c r="D40" s="12" t="s">
        <v>131</v>
      </c>
      <c r="E40" s="9">
        <f>Assumptions!E140 * Assumptions!E136 * Assumptions!E134 * Assumptions!E150</f>
        <v>1000</v>
      </c>
    </row>
    <row r="41" spans="2:5" ht="6" customHeight="1"/>
    <row r="42" spans="2:5" ht="33.950000000000003" customHeight="1">
      <c r="B42" s="10" t="s">
        <v>45</v>
      </c>
      <c r="C42" s="10"/>
      <c r="D42" s="8"/>
      <c r="E42" s="11">
        <f>SUM(E44:E58)</f>
        <v>127600.00000000001</v>
      </c>
    </row>
    <row r="43" spans="2:5" s="21" customFormat="1" ht="21" customHeight="1">
      <c r="B43" s="17" t="s">
        <v>46</v>
      </c>
      <c r="C43" s="17"/>
      <c r="D43" s="19"/>
      <c r="E43" s="17"/>
    </row>
    <row r="44" spans="2:5">
      <c r="B44" s="7" t="s">
        <v>47</v>
      </c>
      <c r="C44" s="14" t="s">
        <v>33</v>
      </c>
      <c r="D44" s="12" t="s">
        <v>132</v>
      </c>
      <c r="E44" s="9">
        <f>Assumptions!E52 *Assumptions!E24 * Assumptions!E142 * Assumptions!E150</f>
        <v>8800</v>
      </c>
    </row>
    <row r="45" spans="2:5" s="21" customFormat="1" ht="21" customHeight="1">
      <c r="B45" s="17" t="s">
        <v>49</v>
      </c>
      <c r="C45" s="18"/>
      <c r="D45" s="19"/>
      <c r="E45" s="20"/>
    </row>
    <row r="46" spans="2:5">
      <c r="B46" s="7" t="s">
        <v>50</v>
      </c>
      <c r="C46" s="14" t="s">
        <v>33</v>
      </c>
      <c r="D46" s="12" t="s">
        <v>133</v>
      </c>
      <c r="E46" s="9">
        <f>Assumptions!E54 * Assumptions!E24 * Assumptions!E142  * Assumptions!E150</f>
        <v>8800</v>
      </c>
    </row>
    <row r="47" spans="2:5" s="21" customFormat="1" ht="21" customHeight="1">
      <c r="B47" s="17" t="s">
        <v>52</v>
      </c>
      <c r="C47" s="18"/>
      <c r="D47" s="19"/>
      <c r="E47" s="20"/>
    </row>
    <row r="48" spans="2:5">
      <c r="B48" s="7" t="s">
        <v>53</v>
      </c>
      <c r="C48" s="14" t="s">
        <v>33</v>
      </c>
      <c r="D48" s="12" t="s">
        <v>134</v>
      </c>
      <c r="E48" s="9">
        <f>Assumptions!E56 * Assumptions!E22 * Assumptions!E142  * Assumptions!E150</f>
        <v>66000</v>
      </c>
    </row>
    <row r="49" spans="2:5" s="21" customFormat="1" ht="21" customHeight="1">
      <c r="B49" s="17" t="s">
        <v>55</v>
      </c>
      <c r="C49" s="18"/>
      <c r="D49" s="19"/>
      <c r="E49" s="20"/>
    </row>
    <row r="50" spans="2:5">
      <c r="B50" s="7" t="s">
        <v>56</v>
      </c>
      <c r="C50" s="14" t="s">
        <v>33</v>
      </c>
      <c r="D50" s="12" t="s">
        <v>135</v>
      </c>
      <c r="E50" s="9">
        <f>Assumptions!E58 * Assumptions!E20 * Assumptions!E142  * Assumptions!E150</f>
        <v>23466.666666666668</v>
      </c>
    </row>
    <row r="51" spans="2:5" s="21" customFormat="1" ht="21" customHeight="1">
      <c r="B51" s="17" t="s">
        <v>58</v>
      </c>
      <c r="C51" s="18"/>
      <c r="D51" s="19"/>
      <c r="E51" s="20"/>
    </row>
    <row r="52" spans="2:5">
      <c r="B52" s="7" t="s">
        <v>59</v>
      </c>
      <c r="C52" s="14" t="s">
        <v>33</v>
      </c>
      <c r="D52" s="12" t="s">
        <v>136</v>
      </c>
      <c r="E52" s="9">
        <f>Assumptions!E62 * Assumptions!E24 * Assumptions!E142  * Assumptions!E150</f>
        <v>8800</v>
      </c>
    </row>
    <row r="53" spans="2:5" s="21" customFormat="1" ht="21" customHeight="1">
      <c r="B53" s="17" t="s">
        <v>61</v>
      </c>
      <c r="C53" s="18"/>
      <c r="D53" s="19"/>
      <c r="E53" s="20"/>
    </row>
    <row r="54" spans="2:5">
      <c r="B54" s="7" t="s">
        <v>62</v>
      </c>
      <c r="C54" s="14" t="s">
        <v>33</v>
      </c>
      <c r="D54" s="12" t="s">
        <v>137</v>
      </c>
      <c r="E54" s="9">
        <f>Assumptions!E64 * Assumptions!E22 * Assumptions!E142  * Assumptions!E150</f>
        <v>3666.6666666666665</v>
      </c>
    </row>
    <row r="55" spans="2:5" s="21" customFormat="1" ht="21" customHeight="1">
      <c r="B55" s="17" t="s">
        <v>64</v>
      </c>
      <c r="C55" s="18"/>
      <c r="D55" s="19"/>
      <c r="E55" s="20"/>
    </row>
    <row r="56" spans="2:5">
      <c r="B56" s="7" t="s">
        <v>65</v>
      </c>
      <c r="C56" s="14" t="s">
        <v>33</v>
      </c>
      <c r="D56" s="12" t="s">
        <v>138</v>
      </c>
      <c r="E56" s="9">
        <f>Assumptions!E68 * Assumptions!E22 * Assumptions!E142  * Assumptions!E150</f>
        <v>3666.6666666666665</v>
      </c>
    </row>
    <row r="57" spans="2:5" s="21" customFormat="1" ht="21" customHeight="1">
      <c r="B57" s="17" t="s">
        <v>139</v>
      </c>
      <c r="C57" s="17"/>
      <c r="D57" s="19"/>
      <c r="E57" s="17"/>
    </row>
    <row r="58" spans="2:5">
      <c r="B58" s="7" t="s">
        <v>140</v>
      </c>
      <c r="C58" s="14" t="s">
        <v>33</v>
      </c>
      <c r="D58" s="12" t="s">
        <v>141</v>
      </c>
      <c r="E58" s="9">
        <f>Assumptions!E84*Assumptions!E24*Assumptions!E142* Assumptions!E150</f>
        <v>4400</v>
      </c>
    </row>
    <row r="59" spans="2:5" ht="6" customHeight="1"/>
    <row r="60" spans="2:5" ht="33.950000000000003" customHeight="1">
      <c r="B60" s="10" t="s">
        <v>67</v>
      </c>
      <c r="C60" s="10"/>
      <c r="D60" s="8"/>
      <c r="E60" s="11">
        <f>SUM(E62:E66)</f>
        <v>46933.333333333336</v>
      </c>
    </row>
    <row r="61" spans="2:5" s="21" customFormat="1" ht="21" customHeight="1">
      <c r="B61" s="17" t="s">
        <v>68</v>
      </c>
      <c r="C61" s="17"/>
      <c r="D61" s="19"/>
      <c r="E61" s="17"/>
    </row>
    <row r="62" spans="2:5">
      <c r="B62" s="7" t="s">
        <v>69</v>
      </c>
      <c r="C62" s="14" t="s">
        <v>33</v>
      </c>
      <c r="D62" s="12" t="s">
        <v>142</v>
      </c>
      <c r="E62" s="9">
        <f>Assumptions!E70 * Assumptions!E20 * Assumptions!E142  * Assumptions!E150</f>
        <v>2933.3333333333335</v>
      </c>
    </row>
    <row r="63" spans="2:5" s="21" customFormat="1" ht="21" customHeight="1">
      <c r="B63" s="17" t="s">
        <v>71</v>
      </c>
      <c r="C63" s="18"/>
      <c r="D63" s="19"/>
      <c r="E63" s="20"/>
    </row>
    <row r="64" spans="2:5">
      <c r="B64" s="7" t="s">
        <v>72</v>
      </c>
      <c r="C64" s="14" t="s">
        <v>33</v>
      </c>
      <c r="D64" s="12" t="s">
        <v>143</v>
      </c>
      <c r="E64" s="9">
        <f>Assumptions!E88 * Assumptions!E20 * Assumptions!E142  * Assumptions!E150</f>
        <v>35200</v>
      </c>
    </row>
    <row r="65" spans="2:5" s="21" customFormat="1" ht="21" customHeight="1">
      <c r="B65" s="17" t="s">
        <v>73</v>
      </c>
      <c r="C65" s="18"/>
      <c r="D65" s="19"/>
      <c r="E65" s="20"/>
    </row>
    <row r="66" spans="2:5">
      <c r="B66" s="7" t="s">
        <v>74</v>
      </c>
      <c r="C66" s="14" t="s">
        <v>33</v>
      </c>
      <c r="D66" s="12" t="s">
        <v>144</v>
      </c>
      <c r="E66" s="9">
        <f>Assumptions!E72 * Assumptions!E20 * Assumptions!E142  * Assumptions!E150</f>
        <v>8800</v>
      </c>
    </row>
    <row r="67" spans="2:5" ht="6" customHeight="1"/>
    <row r="68" spans="2:5" ht="33.950000000000003" customHeight="1">
      <c r="B68" s="10" t="s">
        <v>76</v>
      </c>
      <c r="C68" s="10"/>
      <c r="D68" s="8"/>
      <c r="E68" s="11">
        <f xml:space="preserve"> SUM(E70)</f>
        <v>4400</v>
      </c>
    </row>
    <row r="69" spans="2:5" s="21" customFormat="1" ht="21" customHeight="1">
      <c r="B69" s="17" t="s">
        <v>77</v>
      </c>
      <c r="C69" s="18"/>
      <c r="D69" s="19"/>
      <c r="E69" s="20"/>
    </row>
    <row r="70" spans="2:5">
      <c r="B70" s="7" t="s">
        <v>78</v>
      </c>
      <c r="C70" s="14" t="s">
        <v>33</v>
      </c>
      <c r="D70" s="12" t="s">
        <v>145</v>
      </c>
      <c r="E70" s="9">
        <f>Assumptions!E78 * Assumptions!E24 *Assumptions!E142  * Assumptions!E150</f>
        <v>4400</v>
      </c>
    </row>
    <row r="71" spans="2:5" ht="6" customHeight="1"/>
    <row r="72" spans="2:5" ht="33.950000000000003" customHeight="1">
      <c r="B72" s="10" t="s">
        <v>30</v>
      </c>
      <c r="C72" s="10"/>
      <c r="D72" s="8"/>
      <c r="E72" s="11">
        <f>SUM(E74:E83)</f>
        <v>21058.599999999995</v>
      </c>
    </row>
    <row r="73" spans="2:5" s="21" customFormat="1" ht="21" customHeight="1">
      <c r="B73" s="17" t="s">
        <v>31</v>
      </c>
      <c r="C73" s="18"/>
      <c r="D73" s="19"/>
      <c r="E73" s="20"/>
    </row>
    <row r="74" spans="2:5">
      <c r="B74" s="7" t="s">
        <v>80</v>
      </c>
      <c r="C74" s="14" t="s">
        <v>33</v>
      </c>
      <c r="D74" s="12" t="s">
        <v>146</v>
      </c>
      <c r="E74" s="9">
        <f>Assumptions!E66 *Assumptions!E24 * Assumptions!E142  * Assumptions!E150</f>
        <v>8800</v>
      </c>
    </row>
    <row r="75" spans="2:5">
      <c r="B75" s="7" t="s">
        <v>82</v>
      </c>
      <c r="C75" s="14" t="s">
        <v>83</v>
      </c>
      <c r="D75" s="12" t="s">
        <v>147</v>
      </c>
      <c r="E75" s="9">
        <f>Assumptions!E40  * Assumptions!E150</f>
        <v>2266.6666666666665</v>
      </c>
    </row>
    <row r="76" spans="2:5">
      <c r="B76" s="7" t="s">
        <v>85</v>
      </c>
      <c r="C76" s="14" t="s">
        <v>83</v>
      </c>
      <c r="D76" s="12" t="s">
        <v>148</v>
      </c>
      <c r="E76" s="9">
        <f>Assumptions!E42  * Assumptions!E150</f>
        <v>4000</v>
      </c>
    </row>
    <row r="77" spans="2:5">
      <c r="B77" s="7" t="s">
        <v>87</v>
      </c>
      <c r="C77" s="14" t="s">
        <v>83</v>
      </c>
      <c r="D77" s="12" t="s">
        <v>149</v>
      </c>
      <c r="E77" s="9">
        <f>Assumptions!E44 * Assumptions!E150</f>
        <v>2400</v>
      </c>
    </row>
    <row r="78" spans="2:5">
      <c r="B78" s="7" t="s">
        <v>89</v>
      </c>
      <c r="C78" s="14" t="s">
        <v>83</v>
      </c>
      <c r="D78" s="12" t="s">
        <v>150</v>
      </c>
      <c r="E78" s="9">
        <f>Assumptions!E46  * Assumptions!E150</f>
        <v>533.33333333333337</v>
      </c>
    </row>
    <row r="79" spans="2:5">
      <c r="B79" s="7" t="s">
        <v>91</v>
      </c>
      <c r="C79" s="14" t="s">
        <v>83</v>
      </c>
      <c r="D79" s="12" t="s">
        <v>151</v>
      </c>
      <c r="E79" s="9">
        <f>Assumptions!E48  * Assumptions!E150</f>
        <v>2000</v>
      </c>
    </row>
    <row r="80" spans="2:5" s="21" customFormat="1" ht="21" customHeight="1">
      <c r="B80" s="17" t="s">
        <v>93</v>
      </c>
      <c r="C80" s="18"/>
      <c r="D80" s="19"/>
      <c r="E80" s="20"/>
    </row>
    <row r="81" spans="2:5">
      <c r="B81" s="7" t="s">
        <v>94</v>
      </c>
      <c r="C81" s="14" t="s">
        <v>41</v>
      </c>
      <c r="D81" s="12" t="s">
        <v>114</v>
      </c>
      <c r="E81" s="9">
        <f>Assumptions!E120  * Assumptions!E150</f>
        <v>200</v>
      </c>
    </row>
    <row r="82" spans="2:5">
      <c r="B82" s="7" t="s">
        <v>95</v>
      </c>
      <c r="C82" s="14" t="s">
        <v>96</v>
      </c>
      <c r="D82" s="12" t="s">
        <v>114</v>
      </c>
      <c r="E82" s="9">
        <f>Assumptions!E124  * Assumptions!E150</f>
        <v>102.6</v>
      </c>
    </row>
    <row r="83" spans="2:5">
      <c r="B83" s="7" t="s">
        <v>97</v>
      </c>
      <c r="C83" s="14" t="s">
        <v>41</v>
      </c>
      <c r="D83" s="12" t="s">
        <v>114</v>
      </c>
      <c r="E83" s="9">
        <f>Assumptions!E152 * Assumptions!E126  * Assumptions!E150</f>
        <v>756</v>
      </c>
    </row>
    <row r="84" spans="2:5" ht="6" customHeight="1"/>
    <row r="85" spans="2:5" ht="33.950000000000003" customHeight="1">
      <c r="B85" s="10" t="s">
        <v>98</v>
      </c>
      <c r="C85" s="10"/>
      <c r="D85" s="8"/>
      <c r="E85" s="11">
        <f>SUM(E86:E91)</f>
        <v>33748</v>
      </c>
    </row>
    <row r="86" spans="2:5" s="21" customFormat="1" ht="21" customHeight="1">
      <c r="B86" s="17" t="s">
        <v>99</v>
      </c>
      <c r="C86" s="17"/>
      <c r="D86" s="19"/>
      <c r="E86" s="17"/>
    </row>
    <row r="87" spans="2:5">
      <c r="B87" s="7" t="s">
        <v>28</v>
      </c>
      <c r="C87" s="14" t="s">
        <v>22</v>
      </c>
      <c r="D87" s="12" t="s">
        <v>152</v>
      </c>
      <c r="E87" s="9">
        <f>Assumptions!E80 * Assumptions!E26 * Assumptions!E142  * Assumptions!E150</f>
        <v>4400</v>
      </c>
    </row>
    <row r="88" spans="2:5" s="21" customFormat="1" ht="21" customHeight="1">
      <c r="B88" s="17" t="s">
        <v>101</v>
      </c>
      <c r="C88" s="18"/>
      <c r="D88" s="19"/>
      <c r="E88" s="20"/>
    </row>
    <row r="89" spans="2:5">
      <c r="B89" s="7" t="s">
        <v>102</v>
      </c>
      <c r="C89" s="14" t="s">
        <v>22</v>
      </c>
      <c r="D89" s="12" t="s">
        <v>153</v>
      </c>
      <c r="E89" s="9">
        <f>Assumptions!E82 * Assumptions!E26 * Assumptions!E142  * Assumptions!E150</f>
        <v>4400</v>
      </c>
    </row>
    <row r="90" spans="2:5" s="21" customFormat="1" ht="21" customHeight="1">
      <c r="B90" s="17" t="s">
        <v>104</v>
      </c>
      <c r="C90" s="18" t="s">
        <v>105</v>
      </c>
      <c r="D90" s="19"/>
      <c r="E90" s="20"/>
    </row>
    <row r="91" spans="2:5">
      <c r="B91" s="7" t="s">
        <v>106</v>
      </c>
      <c r="C91" s="14" t="s">
        <v>105</v>
      </c>
      <c r="D91" s="12" t="s">
        <v>154</v>
      </c>
      <c r="E91" s="9">
        <f>Assumptions!E152 * AVERAGE(Assumptions!E20:E26) * Assumptions!E148 * Assumptions!E142  * Assumptions!E150</f>
        <v>24948</v>
      </c>
    </row>
  </sheetData>
  <mergeCells count="3">
    <mergeCell ref="B2:E2"/>
    <mergeCell ref="B4:D4"/>
    <mergeCell ref="B30:D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6E0B4"/>
  </sheetPr>
  <dimension ref="B1:F77"/>
  <sheetViews>
    <sheetView zoomScaleNormal="100" workbookViewId="0"/>
  </sheetViews>
  <sheetFormatPr defaultColWidth="10.875" defaultRowHeight="15.75"/>
  <cols>
    <col min="1" max="1" width="1.375" style="1" customWidth="1"/>
    <col min="2" max="2" width="72.625" style="1" bestFit="1" customWidth="1"/>
    <col min="3" max="3" width="18.875" style="1" customWidth="1"/>
    <col min="4" max="4" width="57.875" style="3" customWidth="1"/>
    <col min="5" max="5" width="27.875" style="1" customWidth="1"/>
    <col min="6" max="6" width="59.875" style="1" customWidth="1"/>
    <col min="7" max="16384" width="10.875" style="1"/>
  </cols>
  <sheetData>
    <row r="1" spans="2:6" ht="5.0999999999999996" customHeight="1">
      <c r="D1" s="1"/>
    </row>
    <row r="2" spans="2:6" ht="69.95" customHeight="1">
      <c r="B2" s="67" t="s">
        <v>155</v>
      </c>
      <c r="C2" s="67"/>
      <c r="D2" s="67"/>
      <c r="E2" s="67"/>
    </row>
    <row r="3" spans="2:6" ht="5.0999999999999996" customHeight="1" thickBot="1"/>
    <row r="4" spans="2:6" s="22" customFormat="1" ht="47.1" customHeight="1" thickTop="1" thickBot="1">
      <c r="B4" s="75" t="s">
        <v>14</v>
      </c>
      <c r="C4" s="76"/>
      <c r="D4" s="77"/>
      <c r="E4" s="23">
        <f>SUM(E7,E17)</f>
        <v>106760</v>
      </c>
    </row>
    <row r="5" spans="2:6" ht="5.0999999999999996" customHeight="1" thickTop="1" thickBot="1"/>
    <row r="6" spans="2:6" ht="26.1" customHeight="1" thickTop="1" thickBot="1">
      <c r="B6" s="16" t="s">
        <v>15</v>
      </c>
      <c r="C6" s="16" t="s">
        <v>16</v>
      </c>
      <c r="D6" s="16" t="s">
        <v>17</v>
      </c>
      <c r="E6" s="16" t="s">
        <v>18</v>
      </c>
    </row>
    <row r="7" spans="2:6" ht="33.950000000000003" customHeight="1" thickTop="1">
      <c r="B7" s="10" t="s">
        <v>19</v>
      </c>
      <c r="C7" s="10"/>
      <c r="D7" s="8"/>
      <c r="E7" s="11">
        <f>SUM(E8:E15)</f>
        <v>32800</v>
      </c>
    </row>
    <row r="8" spans="2:6" s="21" customFormat="1" ht="21" customHeight="1">
      <c r="B8" s="17" t="s">
        <v>156</v>
      </c>
      <c r="C8" s="17"/>
      <c r="D8" s="19"/>
      <c r="E8" s="17"/>
    </row>
    <row r="9" spans="2:6">
      <c r="B9" s="15" t="s">
        <v>21</v>
      </c>
      <c r="C9" s="14" t="s">
        <v>22</v>
      </c>
      <c r="D9" s="12" t="s">
        <v>23</v>
      </c>
      <c r="E9" s="9">
        <f>Assumptions!E100 * Assumptions!E26</f>
        <v>12000</v>
      </c>
      <c r="F9" s="13"/>
    </row>
    <row r="10" spans="2:6" s="21" customFormat="1" ht="21" customHeight="1">
      <c r="B10" s="17" t="s">
        <v>110</v>
      </c>
      <c r="C10" s="17"/>
      <c r="D10" s="19"/>
      <c r="E10" s="17"/>
    </row>
    <row r="11" spans="2:6">
      <c r="B11" s="15" t="s">
        <v>21</v>
      </c>
      <c r="C11" s="14" t="s">
        <v>22</v>
      </c>
      <c r="D11" s="12" t="s">
        <v>23</v>
      </c>
      <c r="E11" s="9">
        <f>Assumptions!E102 * Assumptions!E26</f>
        <v>12000</v>
      </c>
      <c r="F11" s="13"/>
    </row>
    <row r="12" spans="2:6" s="21" customFormat="1" ht="21" customHeight="1">
      <c r="B12" s="17" t="s">
        <v>24</v>
      </c>
      <c r="C12" s="17"/>
      <c r="D12" s="19"/>
      <c r="E12" s="17"/>
    </row>
    <row r="13" spans="2:6">
      <c r="B13" s="15" t="s">
        <v>25</v>
      </c>
      <c r="C13" s="14" t="s">
        <v>22</v>
      </c>
      <c r="D13" s="12" t="s">
        <v>157</v>
      </c>
      <c r="E13" s="9">
        <f>Assumptions!E144 * Assumptions!E146 * Assumptions!E150</f>
        <v>2800</v>
      </c>
    </row>
    <row r="14" spans="2:6" s="21" customFormat="1" ht="21" customHeight="1">
      <c r="B14" s="17" t="s">
        <v>27</v>
      </c>
      <c r="C14" s="17"/>
      <c r="D14" s="19"/>
      <c r="E14" s="17"/>
    </row>
    <row r="15" spans="2:6">
      <c r="B15" s="15" t="s">
        <v>28</v>
      </c>
      <c r="C15" s="14" t="s">
        <v>22</v>
      </c>
      <c r="D15" s="12" t="s">
        <v>158</v>
      </c>
      <c r="E15" s="9">
        <f>Assumptions!E106*Assumptions!E26</f>
        <v>6000</v>
      </c>
    </row>
    <row r="16" spans="2:6" ht="5.0999999999999996" customHeight="1"/>
    <row r="17" spans="2:5" ht="33.950000000000003" customHeight="1">
      <c r="B17" s="10" t="s">
        <v>30</v>
      </c>
      <c r="C17" s="10"/>
      <c r="D17" s="8"/>
      <c r="E17" s="11">
        <f>SUM(E18:E24)</f>
        <v>73960</v>
      </c>
    </row>
    <row r="18" spans="2:5" s="21" customFormat="1" ht="21" customHeight="1">
      <c r="B18" s="17" t="s">
        <v>31</v>
      </c>
      <c r="C18" s="17"/>
      <c r="D18" s="19"/>
      <c r="E18" s="17"/>
    </row>
    <row r="19" spans="2:5">
      <c r="B19" s="7" t="s">
        <v>32</v>
      </c>
      <c r="C19" s="14" t="s">
        <v>33</v>
      </c>
      <c r="D19" s="12" t="s">
        <v>34</v>
      </c>
      <c r="E19" s="9">
        <f>Assumptions!E98 * Assumptions!E32</f>
        <v>30000</v>
      </c>
    </row>
    <row r="20" spans="2:5">
      <c r="B20" s="7" t="s">
        <v>35</v>
      </c>
      <c r="C20" s="14" t="s">
        <v>33</v>
      </c>
      <c r="D20" s="12" t="s">
        <v>36</v>
      </c>
      <c r="E20" s="9">
        <f>Assumptions!E108 * Assumptions!E32</f>
        <v>20000</v>
      </c>
    </row>
    <row r="21" spans="2:5">
      <c r="B21" s="7" t="s">
        <v>37</v>
      </c>
      <c r="C21" s="14" t="s">
        <v>33</v>
      </c>
      <c r="D21" s="12" t="s">
        <v>38</v>
      </c>
      <c r="E21" s="9">
        <f>Assumptions!E114*Assumptions!E32</f>
        <v>10000</v>
      </c>
    </row>
    <row r="22" spans="2:5" s="21" customFormat="1" ht="21" customHeight="1">
      <c r="B22" s="17" t="s">
        <v>39</v>
      </c>
      <c r="C22" s="18"/>
      <c r="D22" s="19"/>
      <c r="E22" s="20"/>
    </row>
    <row r="23" spans="2:5">
      <c r="B23" s="7" t="s">
        <v>40</v>
      </c>
      <c r="C23" s="14" t="s">
        <v>41</v>
      </c>
      <c r="D23" s="12" t="s">
        <v>42</v>
      </c>
      <c r="E23" s="9">
        <f>Assumptions!E128 * Assumptions!E118</f>
        <v>1960</v>
      </c>
    </row>
    <row r="24" spans="2:5">
      <c r="B24" s="7" t="s">
        <v>43</v>
      </c>
      <c r="C24" s="14" t="s">
        <v>41</v>
      </c>
      <c r="D24" s="12" t="s">
        <v>42</v>
      </c>
      <c r="E24" s="9">
        <f>Assumptions!E130 * Assumptions!E122</f>
        <v>12000</v>
      </c>
    </row>
    <row r="25" spans="2:5" ht="5.0999999999999996" customHeight="1" thickBot="1"/>
    <row r="26" spans="2:5" s="22" customFormat="1" ht="47.1" customHeight="1" thickTop="1" thickBot="1">
      <c r="B26" s="75" t="s">
        <v>44</v>
      </c>
      <c r="C26" s="76"/>
      <c r="D26" s="77"/>
      <c r="E26" s="23">
        <f>SUM(E30,E46,E54,E58,E71)</f>
        <v>3052899</v>
      </c>
    </row>
    <row r="27" spans="2:5" ht="3.95" customHeight="1" thickTop="1" thickBot="1"/>
    <row r="28" spans="2:5" ht="23.1" customHeight="1" thickTop="1" thickBot="1">
      <c r="B28" s="16" t="s">
        <v>15</v>
      </c>
      <c r="C28" s="16" t="s">
        <v>16</v>
      </c>
      <c r="D28" s="16" t="s">
        <v>17</v>
      </c>
      <c r="E28" s="16" t="s">
        <v>18</v>
      </c>
    </row>
    <row r="29" spans="2:5" ht="6" customHeight="1" thickTop="1"/>
    <row r="30" spans="2:5" ht="33.950000000000003" customHeight="1">
      <c r="B30" s="10" t="s">
        <v>45</v>
      </c>
      <c r="C30" s="10"/>
      <c r="D30" s="8"/>
      <c r="E30" s="11">
        <f>SUM(E32:E44)</f>
        <v>1848000</v>
      </c>
    </row>
    <row r="31" spans="2:5" s="21" customFormat="1" ht="21" customHeight="1">
      <c r="B31" s="17" t="s">
        <v>46</v>
      </c>
      <c r="C31" s="17"/>
      <c r="D31" s="19"/>
      <c r="E31" s="17"/>
    </row>
    <row r="32" spans="2:5">
      <c r="B32" s="7" t="s">
        <v>47</v>
      </c>
      <c r="C32" s="14" t="s">
        <v>33</v>
      </c>
      <c r="D32" s="12" t="s">
        <v>48</v>
      </c>
      <c r="E32" s="9">
        <f>Assumptions!E52 *Assumptions!E34 * Assumptions!E142</f>
        <v>132000</v>
      </c>
    </row>
    <row r="33" spans="2:5" s="21" customFormat="1" ht="21" customHeight="1">
      <c r="B33" s="17" t="s">
        <v>49</v>
      </c>
      <c r="C33" s="18"/>
      <c r="D33" s="19"/>
      <c r="E33" s="20"/>
    </row>
    <row r="34" spans="2:5">
      <c r="B34" s="7" t="s">
        <v>50</v>
      </c>
      <c r="C34" s="14" t="s">
        <v>33</v>
      </c>
      <c r="D34" s="12" t="s">
        <v>51</v>
      </c>
      <c r="E34" s="9">
        <f>Assumptions!E54 * Assumptions!E34 * Assumptions!E142</f>
        <v>132000</v>
      </c>
    </row>
    <row r="35" spans="2:5" s="21" customFormat="1" ht="21" customHeight="1">
      <c r="B35" s="17" t="s">
        <v>52</v>
      </c>
      <c r="C35" s="18"/>
      <c r="D35" s="19"/>
      <c r="E35" s="20"/>
    </row>
    <row r="36" spans="2:5">
      <c r="B36" s="7" t="s">
        <v>53</v>
      </c>
      <c r="C36" s="14" t="s">
        <v>33</v>
      </c>
      <c r="D36" s="12" t="s">
        <v>54</v>
      </c>
      <c r="E36" s="9">
        <f>Assumptions!E56 * Assumptions!E32 * Assumptions!E142</f>
        <v>990000</v>
      </c>
    </row>
    <row r="37" spans="2:5" s="21" customFormat="1" ht="21" customHeight="1">
      <c r="B37" s="17" t="s">
        <v>55</v>
      </c>
      <c r="C37" s="18"/>
      <c r="D37" s="19"/>
      <c r="E37" s="20"/>
    </row>
    <row r="38" spans="2:5">
      <c r="B38" s="7" t="s">
        <v>56</v>
      </c>
      <c r="C38" s="14" t="s">
        <v>33</v>
      </c>
      <c r="D38" s="12" t="s">
        <v>57</v>
      </c>
      <c r="E38" s="9">
        <f>Assumptions!E58 * Assumptions!E30 * Assumptions!E142</f>
        <v>352000</v>
      </c>
    </row>
    <row r="39" spans="2:5" s="21" customFormat="1" ht="21" customHeight="1">
      <c r="B39" s="17" t="s">
        <v>58</v>
      </c>
      <c r="C39" s="18"/>
      <c r="D39" s="19"/>
      <c r="E39" s="20"/>
    </row>
    <row r="40" spans="2:5">
      <c r="B40" s="7" t="s">
        <v>59</v>
      </c>
      <c r="C40" s="14" t="s">
        <v>33</v>
      </c>
      <c r="D40" s="12" t="s">
        <v>60</v>
      </c>
      <c r="E40" s="9">
        <f>Assumptions!E62 * Assumptions!E34 * Assumptions!E142</f>
        <v>132000</v>
      </c>
    </row>
    <row r="41" spans="2:5" s="21" customFormat="1" ht="21" customHeight="1">
      <c r="B41" s="17" t="s">
        <v>61</v>
      </c>
      <c r="C41" s="18"/>
      <c r="D41" s="19"/>
      <c r="E41" s="20"/>
    </row>
    <row r="42" spans="2:5">
      <c r="B42" s="7" t="s">
        <v>62</v>
      </c>
      <c r="C42" s="14" t="s">
        <v>33</v>
      </c>
      <c r="D42" s="12" t="s">
        <v>63</v>
      </c>
      <c r="E42" s="9">
        <f>Assumptions!E64 * Assumptions!E32 * Assumptions!E142</f>
        <v>55000</v>
      </c>
    </row>
    <row r="43" spans="2:5" s="21" customFormat="1" ht="21" customHeight="1">
      <c r="B43" s="17" t="s">
        <v>64</v>
      </c>
      <c r="C43" s="18"/>
      <c r="D43" s="19"/>
      <c r="E43" s="20"/>
    </row>
    <row r="44" spans="2:5">
      <c r="B44" s="7" t="s">
        <v>65</v>
      </c>
      <c r="C44" s="14" t="s">
        <v>33</v>
      </c>
      <c r="D44" s="12" t="s">
        <v>66</v>
      </c>
      <c r="E44" s="9">
        <f>Assumptions!E68 * Assumptions!E32 * Assumptions!E142</f>
        <v>55000</v>
      </c>
    </row>
    <row r="45" spans="2:5" ht="6" customHeight="1"/>
    <row r="46" spans="2:5" ht="33.950000000000003" customHeight="1">
      <c r="B46" s="10" t="s">
        <v>67</v>
      </c>
      <c r="C46" s="10"/>
      <c r="D46" s="8"/>
      <c r="E46" s="11">
        <f>SUM(E48:E52)</f>
        <v>440000</v>
      </c>
    </row>
    <row r="47" spans="2:5" s="21" customFormat="1" ht="21" customHeight="1">
      <c r="B47" s="17" t="s">
        <v>68</v>
      </c>
      <c r="C47" s="17"/>
      <c r="D47" s="19"/>
      <c r="E47" s="17"/>
    </row>
    <row r="48" spans="2:5">
      <c r="B48" s="7" t="s">
        <v>69</v>
      </c>
      <c r="C48" s="14" t="s">
        <v>33</v>
      </c>
      <c r="D48" s="12" t="s">
        <v>70</v>
      </c>
      <c r="E48" s="9">
        <f>Assumptions!E70 * Assumptions!E30 * Assumptions!E142</f>
        <v>44000</v>
      </c>
    </row>
    <row r="49" spans="2:5" s="21" customFormat="1" ht="21" customHeight="1">
      <c r="B49" s="17" t="s">
        <v>71</v>
      </c>
      <c r="C49" s="18"/>
      <c r="D49" s="19"/>
      <c r="E49" s="20"/>
    </row>
    <row r="50" spans="2:5">
      <c r="B50" s="7" t="s">
        <v>72</v>
      </c>
      <c r="C50" s="14" t="s">
        <v>33</v>
      </c>
      <c r="D50" s="12" t="s">
        <v>234</v>
      </c>
      <c r="E50" s="9">
        <f>Assumptions!E90 * Assumptions!E30 * Assumptions!E142</f>
        <v>264000</v>
      </c>
    </row>
    <row r="51" spans="2:5" s="21" customFormat="1" ht="21" customHeight="1">
      <c r="B51" s="17" t="s">
        <v>73</v>
      </c>
      <c r="C51" s="18"/>
      <c r="D51" s="19"/>
      <c r="E51" s="20"/>
    </row>
    <row r="52" spans="2:5">
      <c r="B52" s="7" t="s">
        <v>74</v>
      </c>
      <c r="C52" s="14" t="s">
        <v>33</v>
      </c>
      <c r="D52" s="12" t="s">
        <v>75</v>
      </c>
      <c r="E52" s="9">
        <f>Assumptions!E72 * Assumptions!E30 * Assumptions!E142</f>
        <v>132000</v>
      </c>
    </row>
    <row r="53" spans="2:5" ht="6" customHeight="1"/>
    <row r="54" spans="2:5" ht="33.950000000000003" customHeight="1">
      <c r="B54" s="10" t="s">
        <v>76</v>
      </c>
      <c r="C54" s="10"/>
      <c r="D54" s="8"/>
      <c r="E54" s="11">
        <f xml:space="preserve"> SUM(E56)</f>
        <v>66000</v>
      </c>
    </row>
    <row r="55" spans="2:5" s="21" customFormat="1" ht="21" customHeight="1">
      <c r="B55" s="17" t="s">
        <v>77</v>
      </c>
      <c r="C55" s="18"/>
      <c r="D55" s="19"/>
      <c r="E55" s="20"/>
    </row>
    <row r="56" spans="2:5">
      <c r="B56" s="7" t="s">
        <v>78</v>
      </c>
      <c r="C56" s="14" t="s">
        <v>33</v>
      </c>
      <c r="D56" s="12" t="s">
        <v>79</v>
      </c>
      <c r="E56" s="9">
        <f>Assumptions!E78 * Assumptions!E34 *Assumptions!E142</f>
        <v>66000</v>
      </c>
    </row>
    <row r="57" spans="2:5" ht="6" customHeight="1"/>
    <row r="58" spans="2:5" ht="33.950000000000003" customHeight="1">
      <c r="B58" s="10" t="s">
        <v>30</v>
      </c>
      <c r="C58" s="10"/>
      <c r="D58" s="8"/>
      <c r="E58" s="11">
        <f>SUM(E60:E69)</f>
        <v>315879</v>
      </c>
    </row>
    <row r="59" spans="2:5" s="21" customFormat="1" ht="21" customHeight="1">
      <c r="B59" s="17" t="s">
        <v>31</v>
      </c>
      <c r="C59" s="18"/>
      <c r="D59" s="19"/>
      <c r="E59" s="20"/>
    </row>
    <row r="60" spans="2:5">
      <c r="B60" s="7" t="s">
        <v>80</v>
      </c>
      <c r="C60" s="14" t="s">
        <v>33</v>
      </c>
      <c r="D60" s="12" t="s">
        <v>81</v>
      </c>
      <c r="E60" s="9">
        <f>Assumptions!E66 *Assumptions!E34 * Assumptions!E142</f>
        <v>132000</v>
      </c>
    </row>
    <row r="61" spans="2:5">
      <c r="B61" s="7" t="s">
        <v>82</v>
      </c>
      <c r="C61" s="14" t="s">
        <v>83</v>
      </c>
      <c r="D61" s="12" t="s">
        <v>84</v>
      </c>
      <c r="E61" s="9">
        <f>Assumptions!E40</f>
        <v>34000</v>
      </c>
    </row>
    <row r="62" spans="2:5">
      <c r="B62" s="7" t="s">
        <v>85</v>
      </c>
      <c r="C62" s="14" t="s">
        <v>83</v>
      </c>
      <c r="D62" s="12" t="s">
        <v>86</v>
      </c>
      <c r="E62" s="9">
        <f>Assumptions!E42</f>
        <v>60000</v>
      </c>
    </row>
    <row r="63" spans="2:5">
      <c r="B63" s="7" t="s">
        <v>87</v>
      </c>
      <c r="C63" s="14" t="s">
        <v>83</v>
      </c>
      <c r="D63" s="12" t="s">
        <v>88</v>
      </c>
      <c r="E63" s="9">
        <f>Assumptions!E44</f>
        <v>36000</v>
      </c>
    </row>
    <row r="64" spans="2:5">
      <c r="B64" s="7" t="s">
        <v>89</v>
      </c>
      <c r="C64" s="14" t="s">
        <v>83</v>
      </c>
      <c r="D64" s="12" t="s">
        <v>90</v>
      </c>
      <c r="E64" s="9">
        <f>Assumptions!E46</f>
        <v>8000</v>
      </c>
    </row>
    <row r="65" spans="2:5">
      <c r="B65" s="7" t="s">
        <v>91</v>
      </c>
      <c r="C65" s="14" t="s">
        <v>83</v>
      </c>
      <c r="D65" s="12" t="s">
        <v>92</v>
      </c>
      <c r="E65" s="9">
        <f>Assumptions!E48</f>
        <v>30000</v>
      </c>
    </row>
    <row r="66" spans="2:5" s="21" customFormat="1" ht="21" customHeight="1">
      <c r="B66" s="17" t="s">
        <v>93</v>
      </c>
      <c r="C66" s="18"/>
      <c r="D66" s="19"/>
      <c r="E66" s="20"/>
    </row>
    <row r="67" spans="2:5">
      <c r="B67" s="7" t="s">
        <v>94</v>
      </c>
      <c r="C67" s="14" t="s">
        <v>41</v>
      </c>
      <c r="D67" s="12" t="s">
        <v>42</v>
      </c>
      <c r="E67" s="9">
        <f>Assumptions!E120</f>
        <v>3000</v>
      </c>
    </row>
    <row r="68" spans="2:5">
      <c r="B68" s="7" t="s">
        <v>95</v>
      </c>
      <c r="C68" s="14" t="s">
        <v>96</v>
      </c>
      <c r="D68" s="12" t="s">
        <v>42</v>
      </c>
      <c r="E68" s="9">
        <f>Assumptions!E124</f>
        <v>1539</v>
      </c>
    </row>
    <row r="69" spans="2:5">
      <c r="B69" s="7" t="s">
        <v>97</v>
      </c>
      <c r="C69" s="14" t="s">
        <v>41</v>
      </c>
      <c r="D69" s="12" t="s">
        <v>42</v>
      </c>
      <c r="E69" s="9">
        <f>Assumptions!E152 * Assumptions!E126</f>
        <v>11340</v>
      </c>
    </row>
    <row r="70" spans="2:5" ht="6" customHeight="1"/>
    <row r="71" spans="2:5" ht="33.950000000000003" customHeight="1">
      <c r="B71" s="10" t="s">
        <v>98</v>
      </c>
      <c r="C71" s="10"/>
      <c r="D71" s="8"/>
      <c r="E71" s="11">
        <f>SUM(E72:E77)</f>
        <v>383020</v>
      </c>
    </row>
    <row r="72" spans="2:5" s="21" customFormat="1" ht="21" customHeight="1">
      <c r="B72" s="17" t="s">
        <v>99</v>
      </c>
      <c r="C72" s="17"/>
      <c r="D72" s="19"/>
      <c r="E72" s="17"/>
    </row>
    <row r="73" spans="2:5">
      <c r="B73" s="7" t="s">
        <v>28</v>
      </c>
      <c r="C73" s="14" t="s">
        <v>22</v>
      </c>
      <c r="D73" s="12" t="s">
        <v>152</v>
      </c>
      <c r="E73" s="9">
        <f>Assumptions!E80 * Assumptions!E26 * Assumptions!E142* Assumptions!E150</f>
        <v>4400</v>
      </c>
    </row>
    <row r="74" spans="2:5" s="21" customFormat="1" ht="21" customHeight="1">
      <c r="B74" s="17" t="s">
        <v>101</v>
      </c>
      <c r="C74" s="18"/>
      <c r="D74" s="19"/>
      <c r="E74" s="20"/>
    </row>
    <row r="75" spans="2:5">
      <c r="B75" s="7" t="s">
        <v>102</v>
      </c>
      <c r="C75" s="14" t="s">
        <v>22</v>
      </c>
      <c r="D75" s="12" t="s">
        <v>159</v>
      </c>
      <c r="E75" s="9">
        <f>Assumptions!E82 * Assumptions!E26 * Assumptions!E142* Assumptions!E150</f>
        <v>4400</v>
      </c>
    </row>
    <row r="76" spans="2:5" s="21" customFormat="1" ht="21" customHeight="1">
      <c r="B76" s="17" t="s">
        <v>104</v>
      </c>
      <c r="C76" s="18" t="s">
        <v>105</v>
      </c>
      <c r="D76" s="19"/>
      <c r="E76" s="20"/>
    </row>
    <row r="77" spans="2:5">
      <c r="B77" s="7" t="s">
        <v>106</v>
      </c>
      <c r="C77" s="14" t="s">
        <v>105</v>
      </c>
      <c r="D77" s="12" t="s">
        <v>107</v>
      </c>
      <c r="E77" s="9">
        <f>Assumptions!E152 * AVERAGE(Assumptions!E30:E36) * Assumptions!E148 * Assumptions!E142</f>
        <v>374220</v>
      </c>
    </row>
  </sheetData>
  <mergeCells count="3">
    <mergeCell ref="B2:E2"/>
    <mergeCell ref="B4:D4"/>
    <mergeCell ref="B26:D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6E0B4"/>
  </sheetPr>
  <dimension ref="B1:F93"/>
  <sheetViews>
    <sheetView zoomScaleNormal="100" workbookViewId="0"/>
  </sheetViews>
  <sheetFormatPr defaultColWidth="10.875" defaultRowHeight="15.75"/>
  <cols>
    <col min="1" max="1" width="1.375" style="1" customWidth="1"/>
    <col min="2" max="2" width="72.625" style="1" bestFit="1" customWidth="1"/>
    <col min="3" max="3" width="16.875" style="1" customWidth="1"/>
    <col min="4" max="4" width="56.125" style="3" customWidth="1"/>
    <col min="5" max="5" width="24.5" style="1" customWidth="1"/>
    <col min="6" max="6" width="59.875" style="1" customWidth="1"/>
    <col min="7" max="16384" width="10.875" style="1"/>
  </cols>
  <sheetData>
    <row r="1" spans="2:6" ht="5.0999999999999996" customHeight="1">
      <c r="D1" s="1"/>
    </row>
    <row r="2" spans="2:6" ht="69.95" customHeight="1">
      <c r="B2" s="81" t="s">
        <v>160</v>
      </c>
      <c r="C2" s="81"/>
      <c r="D2" s="81"/>
      <c r="E2" s="81"/>
    </row>
    <row r="3" spans="2:6" ht="5.0999999999999996" customHeight="1" thickBot="1"/>
    <row r="4" spans="2:6" s="22" customFormat="1" ht="47.1" customHeight="1" thickTop="1" thickBot="1">
      <c r="B4" s="75" t="s">
        <v>14</v>
      </c>
      <c r="C4" s="76"/>
      <c r="D4" s="77"/>
      <c r="E4" s="23">
        <f>SUM(E7,E19,E26)</f>
        <v>111997.33333333333</v>
      </c>
    </row>
    <row r="5" spans="2:6" ht="5.0999999999999996" customHeight="1" thickTop="1" thickBot="1"/>
    <row r="6" spans="2:6" ht="26.1" customHeight="1" thickTop="1" thickBot="1">
      <c r="B6" s="16" t="s">
        <v>15</v>
      </c>
      <c r="C6" s="16" t="s">
        <v>16</v>
      </c>
      <c r="D6" s="16" t="s">
        <v>17</v>
      </c>
      <c r="E6" s="16" t="s">
        <v>18</v>
      </c>
    </row>
    <row r="7" spans="2:6" ht="33.950000000000003" customHeight="1" thickTop="1">
      <c r="B7" s="10" t="s">
        <v>19</v>
      </c>
      <c r="C7" s="10"/>
      <c r="D7" s="8"/>
      <c r="E7" s="11">
        <f>SUM(E8:E18)</f>
        <v>58800</v>
      </c>
    </row>
    <row r="8" spans="2:6" s="21" customFormat="1" ht="21" customHeight="1">
      <c r="B8" s="17" t="s">
        <v>156</v>
      </c>
      <c r="C8" s="17"/>
      <c r="D8" s="19"/>
      <c r="E8" s="17"/>
    </row>
    <row r="9" spans="2:6">
      <c r="B9" s="15" t="s">
        <v>21</v>
      </c>
      <c r="C9" s="14" t="s">
        <v>22</v>
      </c>
      <c r="D9" s="12" t="s">
        <v>23</v>
      </c>
      <c r="E9" s="9">
        <f>Assumptions!E100 * Assumptions!E26</f>
        <v>12000</v>
      </c>
      <c r="F9" s="13"/>
    </row>
    <row r="10" spans="2:6" s="21" customFormat="1" ht="21" customHeight="1">
      <c r="B10" s="17" t="s">
        <v>110</v>
      </c>
      <c r="C10" s="17"/>
      <c r="D10" s="19"/>
      <c r="E10" s="17"/>
    </row>
    <row r="11" spans="2:6">
      <c r="B11" s="15" t="s">
        <v>21</v>
      </c>
      <c r="C11" s="14" t="s">
        <v>22</v>
      </c>
      <c r="D11" s="12" t="s">
        <v>23</v>
      </c>
      <c r="E11" s="9">
        <f>Assumptions!E102 * Assumptions!E26</f>
        <v>12000</v>
      </c>
      <c r="F11" s="13"/>
    </row>
    <row r="12" spans="2:6" s="21" customFormat="1" ht="21" customHeight="1">
      <c r="B12" s="17" t="s">
        <v>24</v>
      </c>
      <c r="C12" s="17"/>
      <c r="D12" s="19"/>
      <c r="E12" s="17"/>
    </row>
    <row r="13" spans="2:6">
      <c r="B13" s="15" t="s">
        <v>25</v>
      </c>
      <c r="C13" s="14" t="s">
        <v>22</v>
      </c>
      <c r="D13" s="12" t="s">
        <v>26</v>
      </c>
      <c r="E13" s="9">
        <f>Assumptions!E144</f>
        <v>28000</v>
      </c>
    </row>
    <row r="14" spans="2:6" s="21" customFormat="1" ht="21" customHeight="1">
      <c r="B14" s="17" t="s">
        <v>27</v>
      </c>
      <c r="C14" s="17"/>
      <c r="D14" s="19"/>
      <c r="E14" s="17"/>
    </row>
    <row r="15" spans="2:6">
      <c r="B15" s="15" t="s">
        <v>28</v>
      </c>
      <c r="C15" s="14" t="s">
        <v>22</v>
      </c>
      <c r="D15" s="12" t="s">
        <v>29</v>
      </c>
      <c r="E15" s="9">
        <f>Assumptions!E106*Assumptions!E26</f>
        <v>6000</v>
      </c>
    </row>
    <row r="16" spans="2:6" s="21" customFormat="1" ht="21" customHeight="1">
      <c r="B16" s="17" t="s">
        <v>161</v>
      </c>
      <c r="C16" s="17"/>
      <c r="D16" s="19"/>
      <c r="E16" s="17"/>
    </row>
    <row r="17" spans="2:5">
      <c r="B17" s="15" t="s">
        <v>21</v>
      </c>
      <c r="C17" s="14" t="s">
        <v>22</v>
      </c>
      <c r="D17" s="12" t="s">
        <v>109</v>
      </c>
      <c r="E17" s="9">
        <f>Assumptions!E104 *Assumptions!E26 * Assumptions!E150</f>
        <v>800</v>
      </c>
    </row>
    <row r="18" spans="2:5" ht="5.0999999999999996" customHeight="1"/>
    <row r="19" spans="2:5" ht="33.950000000000003" customHeight="1">
      <c r="B19" s="10" t="s">
        <v>30</v>
      </c>
      <c r="C19" s="10"/>
      <c r="D19" s="8"/>
      <c r="E19" s="11">
        <f>SUM(E20:E25)</f>
        <v>50930.666666666664</v>
      </c>
    </row>
    <row r="20" spans="2:5" s="21" customFormat="1" ht="21" customHeight="1">
      <c r="B20" s="17" t="s">
        <v>31</v>
      </c>
      <c r="C20" s="17"/>
      <c r="D20" s="19"/>
      <c r="E20" s="17"/>
    </row>
    <row r="21" spans="2:5">
      <c r="B21" s="7" t="s">
        <v>32</v>
      </c>
      <c r="C21" s="14" t="s">
        <v>33</v>
      </c>
      <c r="D21" s="12" t="s">
        <v>34</v>
      </c>
      <c r="E21" s="9">
        <f>Assumptions!E98 * Assumptions!E22</f>
        <v>30000</v>
      </c>
    </row>
    <row r="22" spans="2:5">
      <c r="B22" s="7" t="s">
        <v>35</v>
      </c>
      <c r="C22" s="14" t="s">
        <v>33</v>
      </c>
      <c r="D22" s="12" t="s">
        <v>36</v>
      </c>
      <c r="E22" s="9">
        <f>Assumptions!E108 * Assumptions!E22</f>
        <v>20000</v>
      </c>
    </row>
    <row r="23" spans="2:5" s="21" customFormat="1" ht="21" customHeight="1">
      <c r="B23" s="17" t="s">
        <v>39</v>
      </c>
      <c r="C23" s="18"/>
      <c r="D23" s="19"/>
      <c r="E23" s="20"/>
    </row>
    <row r="24" spans="2:5">
      <c r="B24" s="7" t="s">
        <v>40</v>
      </c>
      <c r="C24" s="14" t="s">
        <v>41</v>
      </c>
      <c r="D24" s="12" t="s">
        <v>42</v>
      </c>
      <c r="E24" s="9">
        <f>Assumptions!E128 * Assumptions!E118 * Assumptions!E150</f>
        <v>130.66666666666666</v>
      </c>
    </row>
    <row r="25" spans="2:5">
      <c r="B25" s="7" t="s">
        <v>43</v>
      </c>
      <c r="C25" s="14" t="s">
        <v>41</v>
      </c>
      <c r="D25" s="12" t="s">
        <v>42</v>
      </c>
      <c r="E25" s="9">
        <f>Assumptions!E130 * Assumptions!E122 * Assumptions!E150</f>
        <v>800</v>
      </c>
    </row>
    <row r="26" spans="2:5" ht="33.950000000000003" customHeight="1">
      <c r="B26" s="10" t="s">
        <v>45</v>
      </c>
      <c r="C26" s="10"/>
      <c r="D26" s="8"/>
      <c r="E26" s="11">
        <f>SUM(E28:E30)</f>
        <v>2266.6666666666665</v>
      </c>
    </row>
    <row r="27" spans="2:5" s="21" customFormat="1" ht="21" customHeight="1">
      <c r="B27" s="17" t="s">
        <v>115</v>
      </c>
      <c r="C27" s="17"/>
      <c r="D27" s="19"/>
      <c r="E27" s="17"/>
    </row>
    <row r="28" spans="2:5">
      <c r="B28" s="7" t="s">
        <v>116</v>
      </c>
      <c r="C28" s="14" t="s">
        <v>33</v>
      </c>
      <c r="D28" s="12" t="s">
        <v>162</v>
      </c>
      <c r="E28" s="9">
        <f>Assumptions!E110 * Assumptions!E24 * Assumptions!E150</f>
        <v>800</v>
      </c>
    </row>
    <row r="29" spans="2:5">
      <c r="B29" s="7" t="s">
        <v>163</v>
      </c>
      <c r="C29" s="14" t="s">
        <v>33</v>
      </c>
      <c r="D29" s="12" t="s">
        <v>164</v>
      </c>
      <c r="E29" s="9">
        <f>Assumptions!E112*Assumptions!E24 * Assumptions!E150</f>
        <v>800</v>
      </c>
    </row>
    <row r="30" spans="2:5">
      <c r="B30" s="7" t="s">
        <v>165</v>
      </c>
      <c r="C30" s="14" t="s">
        <v>33</v>
      </c>
      <c r="D30" s="12" t="s">
        <v>166</v>
      </c>
      <c r="E30" s="9">
        <f>Assumptions!E114*Assumptions!E22 * Assumptions!E150</f>
        <v>666.66666666666663</v>
      </c>
    </row>
    <row r="31" spans="2:5" ht="5.0999999999999996" customHeight="1" thickBot="1"/>
    <row r="32" spans="2:5" s="22" customFormat="1" ht="47.1" customHeight="1" thickTop="1" thickBot="1">
      <c r="B32" s="75" t="s">
        <v>44</v>
      </c>
      <c r="C32" s="76"/>
      <c r="D32" s="77"/>
      <c r="E32" s="23">
        <f>SUM(E36,E44,E62,E70,E74,E87)</f>
        <v>998006.6</v>
      </c>
    </row>
    <row r="33" spans="2:5" ht="3.95" customHeight="1" thickTop="1" thickBot="1"/>
    <row r="34" spans="2:5" ht="23.1" customHeight="1" thickTop="1" thickBot="1">
      <c r="B34" s="16" t="s">
        <v>15</v>
      </c>
      <c r="C34" s="16" t="s">
        <v>16</v>
      </c>
      <c r="D34" s="16" t="s">
        <v>17</v>
      </c>
      <c r="E34" s="16" t="s">
        <v>18</v>
      </c>
    </row>
    <row r="35" spans="2:5" ht="5.0999999999999996" customHeight="1" thickTop="1"/>
    <row r="36" spans="2:5" ht="33.950000000000003" customHeight="1">
      <c r="B36" s="10" t="s">
        <v>121</v>
      </c>
      <c r="C36" s="10"/>
      <c r="D36" s="8"/>
      <c r="E36" s="11">
        <f>SUM(E37:E42)</f>
        <v>9066.6666666666661</v>
      </c>
    </row>
    <row r="37" spans="2:5" s="21" customFormat="1" ht="21" customHeight="1">
      <c r="B37" s="17" t="s">
        <v>122</v>
      </c>
      <c r="C37" s="17"/>
      <c r="D37" s="19"/>
      <c r="E37" s="17"/>
    </row>
    <row r="38" spans="2:5">
      <c r="B38" s="7" t="s">
        <v>123</v>
      </c>
      <c r="C38" s="14" t="s">
        <v>33</v>
      </c>
      <c r="D38" s="12" t="s">
        <v>167</v>
      </c>
      <c r="E38" s="9">
        <f>Assumptions!E60 * Assumptions!E24 * Assumptions!E142 * Assumptions!E150</f>
        <v>4400</v>
      </c>
    </row>
    <row r="39" spans="2:5" s="21" customFormat="1" ht="21" customHeight="1">
      <c r="B39" s="17" t="s">
        <v>125</v>
      </c>
      <c r="C39" s="17"/>
      <c r="D39" s="19"/>
      <c r="E39" s="17"/>
    </row>
    <row r="40" spans="2:5">
      <c r="B40" s="7" t="s">
        <v>126</v>
      </c>
      <c r="C40" s="14" t="s">
        <v>33</v>
      </c>
      <c r="D40" s="12" t="s">
        <v>168</v>
      </c>
      <c r="E40" s="9">
        <f>Assumptions!E76*Assumptions!E22*Assumptions!E142 * Assumptions!E150</f>
        <v>3666.6666666666665</v>
      </c>
    </row>
    <row r="41" spans="2:5" s="21" customFormat="1" ht="21" customHeight="1">
      <c r="B41" s="17" t="s">
        <v>128</v>
      </c>
      <c r="C41" s="17"/>
      <c r="D41" s="19"/>
      <c r="E41" s="17"/>
    </row>
    <row r="42" spans="2:5">
      <c r="B42" s="7" t="s">
        <v>129</v>
      </c>
      <c r="C42" s="14" t="s">
        <v>130</v>
      </c>
      <c r="D42" s="12" t="s">
        <v>169</v>
      </c>
      <c r="E42" s="9">
        <f>Assumptions!E140 * Assumptions!E136 * Assumptions!E134 * Assumptions!E150</f>
        <v>1000</v>
      </c>
    </row>
    <row r="43" spans="2:5" ht="6" customHeight="1"/>
    <row r="44" spans="2:5" ht="33.950000000000003" customHeight="1">
      <c r="B44" s="10" t="s">
        <v>45</v>
      </c>
      <c r="C44" s="10"/>
      <c r="D44" s="8"/>
      <c r="E44" s="11">
        <f>SUM(E46:E60)</f>
        <v>127600.00000000001</v>
      </c>
    </row>
    <row r="45" spans="2:5" s="21" customFormat="1" ht="21" customHeight="1">
      <c r="B45" s="17" t="s">
        <v>46</v>
      </c>
      <c r="C45" s="17"/>
      <c r="D45" s="19"/>
      <c r="E45" s="17"/>
    </row>
    <row r="46" spans="2:5">
      <c r="B46" s="7" t="s">
        <v>47</v>
      </c>
      <c r="C46" s="14" t="s">
        <v>33</v>
      </c>
      <c r="D46" s="12" t="s">
        <v>132</v>
      </c>
      <c r="E46" s="9">
        <f>Assumptions!E52 *Assumptions!E24 * Assumptions!E142 * Assumptions!E150</f>
        <v>8800</v>
      </c>
    </row>
    <row r="47" spans="2:5" s="21" customFormat="1" ht="21" customHeight="1">
      <c r="B47" s="17" t="s">
        <v>49</v>
      </c>
      <c r="C47" s="18"/>
      <c r="D47" s="19"/>
      <c r="E47" s="20"/>
    </row>
    <row r="48" spans="2:5">
      <c r="B48" s="7" t="s">
        <v>50</v>
      </c>
      <c r="C48" s="14" t="s">
        <v>33</v>
      </c>
      <c r="D48" s="12" t="s">
        <v>133</v>
      </c>
      <c r="E48" s="9">
        <f>Assumptions!E54 * Assumptions!E24 * Assumptions!E142 * Assumptions!E150</f>
        <v>8800</v>
      </c>
    </row>
    <row r="49" spans="2:5" s="21" customFormat="1" ht="21" customHeight="1">
      <c r="B49" s="17" t="s">
        <v>52</v>
      </c>
      <c r="C49" s="18"/>
      <c r="D49" s="19"/>
      <c r="E49" s="20"/>
    </row>
    <row r="50" spans="2:5">
      <c r="B50" s="7" t="s">
        <v>53</v>
      </c>
      <c r="C50" s="14" t="s">
        <v>33</v>
      </c>
      <c r="D50" s="12" t="s">
        <v>134</v>
      </c>
      <c r="E50" s="9">
        <f>Assumptions!E56 * Assumptions!E22 * Assumptions!E142 * Assumptions!E150</f>
        <v>66000</v>
      </c>
    </row>
    <row r="51" spans="2:5" s="21" customFormat="1" ht="21" customHeight="1">
      <c r="B51" s="17" t="s">
        <v>55</v>
      </c>
      <c r="C51" s="18"/>
      <c r="D51" s="19"/>
      <c r="E51" s="20"/>
    </row>
    <row r="52" spans="2:5">
      <c r="B52" s="7" t="s">
        <v>56</v>
      </c>
      <c r="C52" s="14" t="s">
        <v>33</v>
      </c>
      <c r="D52" s="12" t="s">
        <v>135</v>
      </c>
      <c r="E52" s="9">
        <f>Assumptions!E58 * Assumptions!E20 * Assumptions!E142 * Assumptions!E150</f>
        <v>23466.666666666668</v>
      </c>
    </row>
    <row r="53" spans="2:5" s="21" customFormat="1" ht="21" customHeight="1">
      <c r="B53" s="17" t="s">
        <v>58</v>
      </c>
      <c r="C53" s="18"/>
      <c r="D53" s="19"/>
      <c r="E53" s="20"/>
    </row>
    <row r="54" spans="2:5">
      <c r="B54" s="7" t="s">
        <v>59</v>
      </c>
      <c r="C54" s="14" t="s">
        <v>33</v>
      </c>
      <c r="D54" s="12" t="s">
        <v>136</v>
      </c>
      <c r="E54" s="9">
        <f>Assumptions!E62 * Assumptions!E24 * Assumptions!E142 * Assumptions!E150</f>
        <v>8800</v>
      </c>
    </row>
    <row r="55" spans="2:5" s="21" customFormat="1" ht="21" customHeight="1">
      <c r="B55" s="17" t="s">
        <v>61</v>
      </c>
      <c r="C55" s="18"/>
      <c r="D55" s="19"/>
      <c r="E55" s="20"/>
    </row>
    <row r="56" spans="2:5">
      <c r="B56" s="7" t="s">
        <v>62</v>
      </c>
      <c r="C56" s="14" t="s">
        <v>33</v>
      </c>
      <c r="D56" s="12" t="s">
        <v>137</v>
      </c>
      <c r="E56" s="9">
        <f>Assumptions!E64 * Assumptions!E22 * Assumptions!E142 * Assumptions!E150</f>
        <v>3666.6666666666665</v>
      </c>
    </row>
    <row r="57" spans="2:5" s="21" customFormat="1" ht="21" customHeight="1">
      <c r="B57" s="17" t="s">
        <v>64</v>
      </c>
      <c r="C57" s="18"/>
      <c r="D57" s="19"/>
      <c r="E57" s="20"/>
    </row>
    <row r="58" spans="2:5">
      <c r="B58" s="7" t="s">
        <v>65</v>
      </c>
      <c r="C58" s="14" t="s">
        <v>33</v>
      </c>
      <c r="D58" s="12" t="s">
        <v>138</v>
      </c>
      <c r="E58" s="9">
        <f>Assumptions!E68 * Assumptions!E22 * Assumptions!E142 * Assumptions!E150</f>
        <v>3666.6666666666665</v>
      </c>
    </row>
    <row r="59" spans="2:5" s="21" customFormat="1" ht="21" customHeight="1">
      <c r="B59" s="17" t="s">
        <v>170</v>
      </c>
      <c r="C59" s="17"/>
      <c r="D59" s="19"/>
      <c r="E59" s="17"/>
    </row>
    <row r="60" spans="2:5">
      <c r="B60" s="7" t="s">
        <v>140</v>
      </c>
      <c r="C60" s="14" t="s">
        <v>33</v>
      </c>
      <c r="D60" s="12" t="s">
        <v>141</v>
      </c>
      <c r="E60" s="9">
        <f>Assumptions!E84*Assumptions!E24*Assumptions!E142 * Assumptions!E150</f>
        <v>4400</v>
      </c>
    </row>
    <row r="61" spans="2:5" ht="6" customHeight="1"/>
    <row r="62" spans="2:5" ht="33.950000000000003" customHeight="1">
      <c r="B62" s="10" t="s">
        <v>67</v>
      </c>
      <c r="C62" s="10"/>
      <c r="D62" s="8"/>
      <c r="E62" s="11">
        <f>SUM(E64:E68)</f>
        <v>398933.33333333331</v>
      </c>
    </row>
    <row r="63" spans="2:5" s="21" customFormat="1" ht="21" customHeight="1">
      <c r="B63" s="17" t="s">
        <v>68</v>
      </c>
      <c r="C63" s="17"/>
      <c r="D63" s="19"/>
      <c r="E63" s="17"/>
    </row>
    <row r="64" spans="2:5">
      <c r="B64" s="7" t="s">
        <v>69</v>
      </c>
      <c r="C64" s="14" t="s">
        <v>33</v>
      </c>
      <c r="D64" s="12" t="s">
        <v>142</v>
      </c>
      <c r="E64" s="9">
        <f>Assumptions!E70 * Assumptions!E20 * Assumptions!E142 * Assumptions!E150</f>
        <v>2933.3333333333335</v>
      </c>
    </row>
    <row r="65" spans="2:5" s="21" customFormat="1" ht="21" customHeight="1">
      <c r="B65" s="17" t="s">
        <v>71</v>
      </c>
      <c r="C65" s="18"/>
      <c r="D65" s="19"/>
      <c r="E65" s="20"/>
    </row>
    <row r="66" spans="2:5">
      <c r="B66" s="7" t="s">
        <v>72</v>
      </c>
      <c r="C66" s="14" t="s">
        <v>33</v>
      </c>
      <c r="D66" s="12" t="s">
        <v>234</v>
      </c>
      <c r="E66" s="9">
        <f>Assumptions!E90 * Assumptions!E20 * Assumptions!E142</f>
        <v>264000</v>
      </c>
    </row>
    <row r="67" spans="2:5" s="21" customFormat="1" ht="21" customHeight="1">
      <c r="B67" s="17" t="s">
        <v>73</v>
      </c>
      <c r="C67" s="18"/>
      <c r="D67" s="19"/>
      <c r="E67" s="20"/>
    </row>
    <row r="68" spans="2:5">
      <c r="B68" s="7" t="s">
        <v>74</v>
      </c>
      <c r="C68" s="14" t="s">
        <v>33</v>
      </c>
      <c r="D68" s="12" t="s">
        <v>75</v>
      </c>
      <c r="E68" s="9">
        <f>Assumptions!E72 * Assumptions!E20 * Assumptions!E142</f>
        <v>132000</v>
      </c>
    </row>
    <row r="69" spans="2:5" ht="6" customHeight="1"/>
    <row r="70" spans="2:5" ht="33.950000000000003" customHeight="1">
      <c r="B70" s="10" t="s">
        <v>76</v>
      </c>
      <c r="C70" s="10"/>
      <c r="D70" s="8"/>
      <c r="E70" s="11">
        <f xml:space="preserve"> SUM(E72)</f>
        <v>4400</v>
      </c>
    </row>
    <row r="71" spans="2:5" s="21" customFormat="1" ht="21" customHeight="1">
      <c r="B71" s="17" t="s">
        <v>77</v>
      </c>
      <c r="C71" s="18"/>
      <c r="D71" s="19"/>
      <c r="E71" s="20"/>
    </row>
    <row r="72" spans="2:5">
      <c r="B72" s="7" t="s">
        <v>78</v>
      </c>
      <c r="C72" s="14" t="s">
        <v>33</v>
      </c>
      <c r="D72" s="12" t="s">
        <v>145</v>
      </c>
      <c r="E72" s="9">
        <f>Assumptions!E78 * Assumptions!E24 *Assumptions!E142 * Assumptions!E150</f>
        <v>4400</v>
      </c>
    </row>
    <row r="73" spans="2:5" ht="6" customHeight="1"/>
    <row r="74" spans="2:5" ht="33.950000000000003" customHeight="1">
      <c r="B74" s="10" t="s">
        <v>30</v>
      </c>
      <c r="C74" s="10"/>
      <c r="D74" s="8"/>
      <c r="E74" s="11">
        <f>SUM(E76:E85)</f>
        <v>301058.59999999998</v>
      </c>
    </row>
    <row r="75" spans="2:5" s="21" customFormat="1" ht="21" customHeight="1">
      <c r="B75" s="17" t="s">
        <v>31</v>
      </c>
      <c r="C75" s="18"/>
      <c r="D75" s="19"/>
      <c r="E75" s="20"/>
    </row>
    <row r="76" spans="2:5">
      <c r="B76" s="7" t="s">
        <v>80</v>
      </c>
      <c r="C76" s="14" t="s">
        <v>33</v>
      </c>
      <c r="D76" s="12" t="s">
        <v>81</v>
      </c>
      <c r="E76" s="9">
        <f>Assumptions!E66 *Assumptions!E24 * Assumptions!E142</f>
        <v>132000</v>
      </c>
    </row>
    <row r="77" spans="2:5">
      <c r="B77" s="7" t="s">
        <v>82</v>
      </c>
      <c r="C77" s="14" t="s">
        <v>83</v>
      </c>
      <c r="D77" s="12" t="s">
        <v>84</v>
      </c>
      <c r="E77" s="9">
        <f>Assumptions!E40</f>
        <v>34000</v>
      </c>
    </row>
    <row r="78" spans="2:5">
      <c r="B78" s="7" t="s">
        <v>85</v>
      </c>
      <c r="C78" s="14" t="s">
        <v>83</v>
      </c>
      <c r="D78" s="12" t="s">
        <v>86</v>
      </c>
      <c r="E78" s="9">
        <f>Assumptions!E42</f>
        <v>60000</v>
      </c>
    </row>
    <row r="79" spans="2:5">
      <c r="B79" s="7" t="s">
        <v>87</v>
      </c>
      <c r="C79" s="14" t="s">
        <v>83</v>
      </c>
      <c r="D79" s="12" t="s">
        <v>88</v>
      </c>
      <c r="E79" s="9">
        <f>Assumptions!E44</f>
        <v>36000</v>
      </c>
    </row>
    <row r="80" spans="2:5">
      <c r="B80" s="7" t="s">
        <v>89</v>
      </c>
      <c r="C80" s="14" t="s">
        <v>83</v>
      </c>
      <c r="D80" s="12" t="s">
        <v>90</v>
      </c>
      <c r="E80" s="9">
        <f>Assumptions!E46</f>
        <v>8000</v>
      </c>
    </row>
    <row r="81" spans="2:5">
      <c r="B81" s="7" t="s">
        <v>91</v>
      </c>
      <c r="C81" s="14" t="s">
        <v>83</v>
      </c>
      <c r="D81" s="12" t="s">
        <v>92</v>
      </c>
      <c r="E81" s="9">
        <f>Assumptions!E48</f>
        <v>30000</v>
      </c>
    </row>
    <row r="82" spans="2:5" s="21" customFormat="1" ht="21" customHeight="1">
      <c r="B82" s="17" t="s">
        <v>93</v>
      </c>
      <c r="C82" s="18"/>
      <c r="D82" s="19"/>
      <c r="E82" s="20"/>
    </row>
    <row r="83" spans="2:5">
      <c r="B83" s="7" t="s">
        <v>94</v>
      </c>
      <c r="C83" s="14" t="s">
        <v>41</v>
      </c>
      <c r="D83" s="12" t="s">
        <v>114</v>
      </c>
      <c r="E83" s="9">
        <f>Assumptions!E120 * Assumptions!E150</f>
        <v>200</v>
      </c>
    </row>
    <row r="84" spans="2:5">
      <c r="B84" s="7" t="s">
        <v>95</v>
      </c>
      <c r="C84" s="14" t="s">
        <v>96</v>
      </c>
      <c r="D84" s="12" t="s">
        <v>114</v>
      </c>
      <c r="E84" s="9">
        <f>Assumptions!E124 * Assumptions!E150</f>
        <v>102.6</v>
      </c>
    </row>
    <row r="85" spans="2:5">
      <c r="B85" s="7" t="s">
        <v>97</v>
      </c>
      <c r="C85" s="14" t="s">
        <v>41</v>
      </c>
      <c r="D85" s="12" t="s">
        <v>114</v>
      </c>
      <c r="E85" s="9">
        <f>Assumptions!E152 * Assumptions!E126 * Assumptions!E150</f>
        <v>756</v>
      </c>
    </row>
    <row r="86" spans="2:5" ht="6" customHeight="1"/>
    <row r="87" spans="2:5" ht="33.950000000000003" customHeight="1">
      <c r="B87" s="10" t="s">
        <v>98</v>
      </c>
      <c r="C87" s="10"/>
      <c r="D87" s="8"/>
      <c r="E87" s="11">
        <f>SUM(E88:E93)</f>
        <v>156948</v>
      </c>
    </row>
    <row r="88" spans="2:5" s="21" customFormat="1" ht="21" customHeight="1">
      <c r="B88" s="17" t="s">
        <v>99</v>
      </c>
      <c r="C88" s="17"/>
      <c r="D88" s="19"/>
      <c r="E88" s="17"/>
    </row>
    <row r="89" spans="2:5">
      <c r="B89" s="7" t="s">
        <v>28</v>
      </c>
      <c r="C89" s="14" t="s">
        <v>22</v>
      </c>
      <c r="D89" s="12" t="s">
        <v>100</v>
      </c>
      <c r="E89" s="9">
        <f>Assumptions!E80 * Assumptions!E26 * Assumptions!E142</f>
        <v>66000</v>
      </c>
    </row>
    <row r="90" spans="2:5" s="21" customFormat="1" ht="21" customHeight="1">
      <c r="B90" s="17" t="s">
        <v>101</v>
      </c>
      <c r="C90" s="18"/>
      <c r="D90" s="19"/>
      <c r="E90" s="20"/>
    </row>
    <row r="91" spans="2:5">
      <c r="B91" s="7" t="s">
        <v>102</v>
      </c>
      <c r="C91" s="14" t="s">
        <v>22</v>
      </c>
      <c r="D91" s="12" t="s">
        <v>103</v>
      </c>
      <c r="E91" s="9">
        <f>Assumptions!E82 * Assumptions!E26 * Assumptions!E142</f>
        <v>66000</v>
      </c>
    </row>
    <row r="92" spans="2:5" s="21" customFormat="1" ht="21" customHeight="1">
      <c r="B92" s="17" t="s">
        <v>104</v>
      </c>
      <c r="C92" s="18" t="s">
        <v>105</v>
      </c>
      <c r="D92" s="19"/>
      <c r="E92" s="20"/>
    </row>
    <row r="93" spans="2:5">
      <c r="B93" s="7" t="s">
        <v>106</v>
      </c>
      <c r="C93" s="14" t="s">
        <v>105</v>
      </c>
      <c r="D93" s="12" t="s">
        <v>171</v>
      </c>
      <c r="E93" s="9">
        <f>Assumptions!E152 * AVERAGE(Assumptions!E20:E26) * Assumptions!E148 * Assumptions!E142 * Assumptions!E150</f>
        <v>24948</v>
      </c>
    </row>
  </sheetData>
  <mergeCells count="3">
    <mergeCell ref="B2:E2"/>
    <mergeCell ref="B4:D4"/>
    <mergeCell ref="B32:D32"/>
  </mergeCells>
  <phoneticPr fontId="1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A3838"/>
  </sheetPr>
  <dimension ref="B1:J152"/>
  <sheetViews>
    <sheetView zoomScaleNormal="100" workbookViewId="0"/>
  </sheetViews>
  <sheetFormatPr defaultColWidth="10.875" defaultRowHeight="15.75"/>
  <cols>
    <col min="1" max="1" width="1.875" style="1" customWidth="1"/>
    <col min="2" max="2" width="1.375" style="1" customWidth="1"/>
    <col min="3" max="3" width="73" style="1" customWidth="1"/>
    <col min="4" max="4" width="0.625" style="1" customWidth="1"/>
    <col min="5" max="5" width="11.375" style="50" customWidth="1"/>
    <col min="6" max="6" width="0.625" style="3" customWidth="1"/>
    <col min="7" max="7" width="16.625" style="1" customWidth="1"/>
    <col min="8" max="8" width="0.625" style="3" customWidth="1"/>
    <col min="9" max="9" width="110" style="1" bestFit="1" customWidth="1"/>
    <col min="10" max="10" width="11.625" style="1" customWidth="1"/>
    <col min="11" max="16384" width="10.875" style="1"/>
  </cols>
  <sheetData>
    <row r="1" spans="2:9" ht="5.0999999999999996" customHeight="1">
      <c r="E1" s="1"/>
      <c r="F1" s="1"/>
      <c r="H1" s="1"/>
    </row>
    <row r="2" spans="2:9" ht="24" customHeight="1">
      <c r="B2" s="85" t="s">
        <v>313</v>
      </c>
      <c r="C2" s="85"/>
      <c r="D2" s="85"/>
      <c r="E2" s="85"/>
      <c r="F2" s="85"/>
      <c r="G2" s="85"/>
      <c r="H2" s="85"/>
      <c r="I2" s="85"/>
    </row>
    <row r="3" spans="2:9" ht="6.95" customHeight="1"/>
    <row r="4" spans="2:9" ht="18" customHeight="1">
      <c r="B4" s="60" t="s">
        <v>314</v>
      </c>
      <c r="C4" s="60"/>
      <c r="D4" s="61"/>
      <c r="E4" s="84" t="s">
        <v>312</v>
      </c>
      <c r="F4" s="84"/>
      <c r="G4" s="84"/>
      <c r="H4" s="84"/>
      <c r="I4" s="84"/>
    </row>
    <row r="5" spans="2:9" ht="5.0999999999999996" customHeight="1">
      <c r="C5" s="5"/>
    </row>
    <row r="6" spans="2:9" ht="18.95" customHeight="1">
      <c r="B6" s="57"/>
      <c r="C6" s="62" t="s">
        <v>315</v>
      </c>
      <c r="E6" s="87" t="s">
        <v>317</v>
      </c>
      <c r="F6" s="88"/>
      <c r="G6" s="88"/>
      <c r="H6" s="88"/>
      <c r="I6" s="89"/>
    </row>
    <row r="7" spans="2:9" ht="5.0999999999999996" customHeight="1">
      <c r="C7" s="5"/>
    </row>
    <row r="8" spans="2:9" ht="18.95" customHeight="1">
      <c r="B8" s="59"/>
      <c r="C8" s="62" t="s">
        <v>316</v>
      </c>
      <c r="E8" s="87" t="s">
        <v>318</v>
      </c>
      <c r="F8" s="88"/>
      <c r="G8" s="88"/>
      <c r="H8" s="88"/>
      <c r="I8" s="89"/>
    </row>
    <row r="9" spans="2:9" ht="5.0999999999999996" customHeight="1">
      <c r="C9" s="5"/>
    </row>
    <row r="10" spans="2:9" ht="18.95" customHeight="1">
      <c r="B10" s="58"/>
      <c r="C10" s="62" t="s">
        <v>319</v>
      </c>
      <c r="E10" s="87" t="s">
        <v>320</v>
      </c>
      <c r="F10" s="88"/>
      <c r="G10" s="88"/>
      <c r="H10" s="88"/>
      <c r="I10" s="89"/>
    </row>
    <row r="11" spans="2:9" ht="6.95" customHeight="1"/>
    <row r="12" spans="2:9" ht="11.1" customHeight="1">
      <c r="B12" s="66"/>
      <c r="C12" s="66"/>
      <c r="D12" s="66"/>
      <c r="E12" s="66"/>
      <c r="F12" s="66"/>
      <c r="G12" s="66"/>
      <c r="H12" s="66"/>
      <c r="I12" s="66"/>
    </row>
    <row r="13" spans="2:9" ht="6.95" customHeight="1"/>
    <row r="14" spans="2:9" ht="51.95" customHeight="1">
      <c r="B14" s="90" t="s">
        <v>172</v>
      </c>
      <c r="C14" s="90"/>
      <c r="D14" s="90"/>
      <c r="E14" s="90"/>
      <c r="F14" s="28"/>
      <c r="G14" s="46" t="s">
        <v>237</v>
      </c>
      <c r="H14" s="28"/>
      <c r="I14" s="46" t="s">
        <v>238</v>
      </c>
    </row>
    <row r="15" spans="2:9" ht="3.95" customHeight="1">
      <c r="C15" s="2"/>
    </row>
    <row r="16" spans="2:9">
      <c r="B16" s="82" t="s">
        <v>173</v>
      </c>
      <c r="C16" s="82"/>
      <c r="D16" s="82"/>
      <c r="E16" s="82"/>
      <c r="F16" s="82"/>
      <c r="G16" s="82"/>
      <c r="H16" s="82"/>
      <c r="I16" s="82"/>
    </row>
    <row r="17" spans="2:9" ht="3.95" customHeight="1">
      <c r="C17" s="2"/>
    </row>
    <row r="18" spans="2:9">
      <c r="B18" s="83" t="s">
        <v>295</v>
      </c>
      <c r="C18" s="83"/>
      <c r="D18" s="83"/>
      <c r="E18" s="83"/>
      <c r="F18" s="83"/>
      <c r="G18" s="83"/>
      <c r="H18" s="83"/>
      <c r="I18" s="83"/>
    </row>
    <row r="19" spans="2:9" ht="3.95" customHeight="1">
      <c r="C19" s="2"/>
    </row>
    <row r="20" spans="2:9">
      <c r="B20" s="58"/>
      <c r="C20" s="4" t="s">
        <v>296</v>
      </c>
      <c r="E20" s="51">
        <v>400</v>
      </c>
      <c r="F20" s="25"/>
      <c r="G20" s="6" t="s">
        <v>239</v>
      </c>
      <c r="H20" s="25"/>
      <c r="I20" s="48" t="s">
        <v>249</v>
      </c>
    </row>
    <row r="21" spans="2:9" ht="3.95" customHeight="1">
      <c r="C21" s="2"/>
    </row>
    <row r="22" spans="2:9">
      <c r="B22" s="58"/>
      <c r="C22" s="4" t="s">
        <v>297</v>
      </c>
      <c r="E22" s="51">
        <v>500</v>
      </c>
      <c r="F22" s="25"/>
      <c r="G22" s="6" t="s">
        <v>239</v>
      </c>
      <c r="H22" s="25"/>
      <c r="I22" s="48" t="s">
        <v>248</v>
      </c>
    </row>
    <row r="23" spans="2:9" ht="3.95" customHeight="1">
      <c r="C23" s="2"/>
    </row>
    <row r="24" spans="2:9">
      <c r="B24" s="58"/>
      <c r="C24" s="4" t="s">
        <v>298</v>
      </c>
      <c r="E24" s="51">
        <v>600</v>
      </c>
      <c r="F24" s="25"/>
      <c r="G24" s="6" t="s">
        <v>239</v>
      </c>
      <c r="H24" s="25"/>
      <c r="I24" s="48" t="s">
        <v>247</v>
      </c>
    </row>
    <row r="25" spans="2:9" ht="3.95" customHeight="1">
      <c r="C25" s="2"/>
    </row>
    <row r="26" spans="2:9">
      <c r="B26" s="58"/>
      <c r="C26" s="4" t="s">
        <v>299</v>
      </c>
      <c r="E26" s="51">
        <v>600</v>
      </c>
      <c r="F26" s="25"/>
      <c r="G26" s="6" t="s">
        <v>239</v>
      </c>
      <c r="H26" s="25"/>
      <c r="I26" s="48" t="s">
        <v>246</v>
      </c>
    </row>
    <row r="27" spans="2:9" ht="3.95" customHeight="1">
      <c r="C27" s="2"/>
    </row>
    <row r="28" spans="2:9">
      <c r="B28" s="83" t="s">
        <v>304</v>
      </c>
      <c r="C28" s="83"/>
      <c r="D28" s="83"/>
      <c r="E28" s="83"/>
      <c r="F28" s="83"/>
      <c r="G28" s="83"/>
      <c r="H28" s="83"/>
      <c r="I28" s="83"/>
    </row>
    <row r="29" spans="2:9" ht="3.95" customHeight="1">
      <c r="C29" s="2"/>
    </row>
    <row r="30" spans="2:9">
      <c r="B30" s="58"/>
      <c r="C30" s="4" t="s">
        <v>300</v>
      </c>
      <c r="E30" s="51">
        <v>400</v>
      </c>
      <c r="F30" s="25"/>
      <c r="G30" s="6" t="s">
        <v>239</v>
      </c>
      <c r="H30" s="25"/>
      <c r="I30" s="48" t="s">
        <v>305</v>
      </c>
    </row>
    <row r="31" spans="2:9" ht="3.95" customHeight="1">
      <c r="C31" s="2"/>
    </row>
    <row r="32" spans="2:9">
      <c r="B32" s="58"/>
      <c r="C32" s="4" t="s">
        <v>301</v>
      </c>
      <c r="E32" s="51">
        <v>500</v>
      </c>
      <c r="F32" s="25"/>
      <c r="G32" s="6" t="s">
        <v>239</v>
      </c>
      <c r="H32" s="25"/>
      <c r="I32" s="48" t="s">
        <v>306</v>
      </c>
    </row>
    <row r="33" spans="2:9" ht="3.95" customHeight="1">
      <c r="C33" s="2"/>
    </row>
    <row r="34" spans="2:9">
      <c r="B34" s="58"/>
      <c r="C34" s="4" t="s">
        <v>302</v>
      </c>
      <c r="E34" s="51">
        <v>600</v>
      </c>
      <c r="F34" s="25"/>
      <c r="G34" s="6" t="s">
        <v>239</v>
      </c>
      <c r="H34" s="25"/>
      <c r="I34" s="48" t="s">
        <v>307</v>
      </c>
    </row>
    <row r="35" spans="2:9" ht="3.95" customHeight="1">
      <c r="C35" s="2"/>
    </row>
    <row r="36" spans="2:9">
      <c r="B36" s="58"/>
      <c r="C36" s="4" t="s">
        <v>303</v>
      </c>
      <c r="E36" s="51">
        <v>600</v>
      </c>
      <c r="F36" s="25"/>
      <c r="G36" s="6" t="s">
        <v>239</v>
      </c>
      <c r="H36" s="25"/>
      <c r="I36" s="48" t="s">
        <v>308</v>
      </c>
    </row>
    <row r="37" spans="2:9" ht="3.95" customHeight="1">
      <c r="C37" s="2"/>
    </row>
    <row r="38" spans="2:9">
      <c r="B38" s="86" t="s">
        <v>174</v>
      </c>
      <c r="C38" s="86"/>
      <c r="D38" s="86"/>
      <c r="E38" s="86"/>
      <c r="F38" s="86"/>
      <c r="G38" s="86"/>
      <c r="H38" s="86"/>
      <c r="I38" s="86"/>
    </row>
    <row r="39" spans="2:9" ht="3.95" customHeight="1">
      <c r="C39" s="2"/>
    </row>
    <row r="40" spans="2:9">
      <c r="B40" s="63"/>
      <c r="C40" s="4" t="s">
        <v>175</v>
      </c>
      <c r="E40" s="52">
        <v>34000</v>
      </c>
      <c r="F40" s="25"/>
      <c r="G40" s="47" t="s">
        <v>240</v>
      </c>
      <c r="H40" s="25"/>
      <c r="I40" s="48" t="s">
        <v>251</v>
      </c>
    </row>
    <row r="41" spans="2:9" ht="3.95" customHeight="1">
      <c r="C41" s="2"/>
    </row>
    <row r="42" spans="2:9">
      <c r="B42" s="63"/>
      <c r="C42" s="4" t="s">
        <v>176</v>
      </c>
      <c r="E42" s="52">
        <v>60000</v>
      </c>
      <c r="F42" s="25"/>
      <c r="G42" s="47" t="s">
        <v>240</v>
      </c>
      <c r="H42" s="25"/>
      <c r="I42" s="48" t="s">
        <v>250</v>
      </c>
    </row>
    <row r="43" spans="2:9" ht="3.95" customHeight="1">
      <c r="C43" s="2"/>
    </row>
    <row r="44" spans="2:9">
      <c r="B44" s="63"/>
      <c r="C44" s="4" t="s">
        <v>177</v>
      </c>
      <c r="E44" s="52">
        <v>36000</v>
      </c>
      <c r="F44" s="25"/>
      <c r="G44" s="47" t="s">
        <v>240</v>
      </c>
      <c r="H44" s="25"/>
      <c r="I44" s="48" t="s">
        <v>252</v>
      </c>
    </row>
    <row r="45" spans="2:9" ht="3.95" customHeight="1">
      <c r="C45" s="2"/>
    </row>
    <row r="46" spans="2:9">
      <c r="B46" s="63"/>
      <c r="C46" s="4" t="s">
        <v>178</v>
      </c>
      <c r="E46" s="52">
        <v>8000</v>
      </c>
      <c r="F46" s="25"/>
      <c r="G46" s="47" t="s">
        <v>240</v>
      </c>
      <c r="H46" s="25"/>
      <c r="I46" s="48" t="s">
        <v>253</v>
      </c>
    </row>
    <row r="47" spans="2:9" ht="3.95" customHeight="1">
      <c r="C47" s="2"/>
    </row>
    <row r="48" spans="2:9">
      <c r="B48" s="63"/>
      <c r="C48" s="4" t="s">
        <v>179</v>
      </c>
      <c r="E48" s="52">
        <v>30000</v>
      </c>
      <c r="F48" s="25"/>
      <c r="G48" s="47" t="s">
        <v>240</v>
      </c>
      <c r="H48" s="25"/>
      <c r="I48" s="48" t="s">
        <v>254</v>
      </c>
    </row>
    <row r="49" spans="2:9" ht="3.95" customHeight="1">
      <c r="C49" s="2"/>
    </row>
    <row r="50" spans="2:9">
      <c r="B50" s="86" t="s">
        <v>180</v>
      </c>
      <c r="C50" s="86"/>
      <c r="D50" s="86"/>
      <c r="E50" s="86"/>
      <c r="F50" s="86"/>
      <c r="G50" s="86"/>
      <c r="H50" s="86"/>
      <c r="I50" s="86"/>
    </row>
    <row r="51" spans="2:9" ht="3.95" customHeight="1">
      <c r="C51" s="2"/>
    </row>
    <row r="52" spans="2:9">
      <c r="B52" s="57"/>
      <c r="C52" s="4" t="s">
        <v>181</v>
      </c>
      <c r="E52" s="53">
        <v>1</v>
      </c>
      <c r="F52" s="26"/>
      <c r="G52" s="47" t="s">
        <v>240</v>
      </c>
      <c r="H52" s="26"/>
      <c r="I52" s="48" t="s">
        <v>255</v>
      </c>
    </row>
    <row r="53" spans="2:9" ht="3.95" customHeight="1">
      <c r="C53" s="2"/>
    </row>
    <row r="54" spans="2:9">
      <c r="B54" s="57"/>
      <c r="C54" s="4" t="s">
        <v>182</v>
      </c>
      <c r="E54" s="53">
        <v>1</v>
      </c>
      <c r="F54" s="26"/>
      <c r="G54" s="47" t="s">
        <v>240</v>
      </c>
      <c r="H54" s="26"/>
      <c r="I54" s="48" t="s">
        <v>256</v>
      </c>
    </row>
    <row r="55" spans="2:9" ht="3.95" customHeight="1">
      <c r="C55" s="2"/>
    </row>
    <row r="56" spans="2:9">
      <c r="B56" s="57"/>
      <c r="C56" s="4" t="s">
        <v>183</v>
      </c>
      <c r="E56" s="53">
        <v>9</v>
      </c>
      <c r="F56" s="26"/>
      <c r="G56" s="47" t="s">
        <v>240</v>
      </c>
      <c r="H56" s="26"/>
      <c r="I56" s="48" t="s">
        <v>257</v>
      </c>
    </row>
    <row r="57" spans="2:9" ht="3.95" customHeight="1">
      <c r="C57" s="2"/>
    </row>
    <row r="58" spans="2:9">
      <c r="B58" s="57"/>
      <c r="C58" s="4" t="s">
        <v>184</v>
      </c>
      <c r="E58" s="53">
        <v>4</v>
      </c>
      <c r="F58" s="26"/>
      <c r="G58" s="47" t="s">
        <v>240</v>
      </c>
      <c r="H58" s="26"/>
      <c r="I58" s="48" t="s">
        <v>258</v>
      </c>
    </row>
    <row r="59" spans="2:9" ht="3.95" customHeight="1">
      <c r="C59" s="2"/>
    </row>
    <row r="60" spans="2:9">
      <c r="B60" s="57"/>
      <c r="C60" s="4" t="s">
        <v>185</v>
      </c>
      <c r="E60" s="54">
        <v>0.5</v>
      </c>
      <c r="F60" s="26"/>
      <c r="G60" s="6" t="s">
        <v>239</v>
      </c>
      <c r="H60" s="26"/>
      <c r="I60" s="48" t="s">
        <v>267</v>
      </c>
    </row>
    <row r="61" spans="2:9" ht="3.95" customHeight="1">
      <c r="C61" s="2"/>
    </row>
    <row r="62" spans="2:9">
      <c r="B62" s="57"/>
      <c r="C62" s="4" t="s">
        <v>186</v>
      </c>
      <c r="E62" s="53">
        <v>1</v>
      </c>
      <c r="F62" s="26"/>
      <c r="G62" s="47" t="s">
        <v>240</v>
      </c>
      <c r="H62" s="26"/>
      <c r="I62" s="48" t="s">
        <v>259</v>
      </c>
    </row>
    <row r="63" spans="2:9" ht="3.95" customHeight="1">
      <c r="C63" s="2"/>
    </row>
    <row r="64" spans="2:9">
      <c r="B64" s="57"/>
      <c r="C64" s="4" t="s">
        <v>187</v>
      </c>
      <c r="E64" s="53">
        <v>0.5</v>
      </c>
      <c r="F64" s="26"/>
      <c r="G64" s="47" t="s">
        <v>240</v>
      </c>
      <c r="H64" s="26"/>
      <c r="I64" s="48" t="s">
        <v>260</v>
      </c>
    </row>
    <row r="65" spans="2:9" ht="3.95" customHeight="1">
      <c r="C65" s="2"/>
    </row>
    <row r="66" spans="2:9">
      <c r="B66" s="57"/>
      <c r="C66" s="4" t="s">
        <v>323</v>
      </c>
      <c r="E66" s="53">
        <v>1</v>
      </c>
      <c r="F66" s="26"/>
      <c r="G66" s="47" t="s">
        <v>240</v>
      </c>
      <c r="H66" s="26"/>
      <c r="I66" s="48" t="s">
        <v>261</v>
      </c>
    </row>
    <row r="67" spans="2:9" ht="3.95" customHeight="1">
      <c r="C67" s="2"/>
    </row>
    <row r="68" spans="2:9">
      <c r="B68" s="57"/>
      <c r="C68" s="4" t="s">
        <v>188</v>
      </c>
      <c r="E68" s="53">
        <v>0.5</v>
      </c>
      <c r="F68" s="26"/>
      <c r="G68" s="47" t="s">
        <v>240</v>
      </c>
      <c r="H68" s="26"/>
      <c r="I68" s="48" t="s">
        <v>262</v>
      </c>
    </row>
    <row r="69" spans="2:9" ht="3.95" customHeight="1">
      <c r="C69" s="2"/>
    </row>
    <row r="70" spans="2:9">
      <c r="B70" s="57"/>
      <c r="C70" s="4" t="s">
        <v>189</v>
      </c>
      <c r="E70" s="53">
        <v>0.5</v>
      </c>
      <c r="F70" s="26"/>
      <c r="G70" s="47" t="s">
        <v>240</v>
      </c>
      <c r="H70" s="26"/>
      <c r="I70" s="48" t="s">
        <v>263</v>
      </c>
    </row>
    <row r="71" spans="2:9" ht="3.95" customHeight="1">
      <c r="C71" s="2"/>
    </row>
    <row r="72" spans="2:9">
      <c r="B72" s="57"/>
      <c r="C72" s="4" t="s">
        <v>190</v>
      </c>
      <c r="E72" s="53">
        <v>1.5</v>
      </c>
      <c r="F72" s="26"/>
      <c r="G72" s="47" t="s">
        <v>240</v>
      </c>
      <c r="H72" s="26"/>
      <c r="I72" s="48" t="s">
        <v>264</v>
      </c>
    </row>
    <row r="73" spans="2:9" ht="3.95" customHeight="1">
      <c r="C73" s="2"/>
    </row>
    <row r="74" spans="2:9">
      <c r="B74" s="57"/>
      <c r="C74" s="4" t="s">
        <v>191</v>
      </c>
      <c r="E74" s="53">
        <v>1</v>
      </c>
      <c r="F74" s="26"/>
      <c r="G74" s="47" t="s">
        <v>240</v>
      </c>
      <c r="H74" s="26"/>
      <c r="I74" s="48" t="s">
        <v>265</v>
      </c>
    </row>
    <row r="75" spans="2:9" ht="3.95" customHeight="1">
      <c r="C75" s="2"/>
    </row>
    <row r="76" spans="2:9">
      <c r="B76" s="57"/>
      <c r="C76" s="4" t="s">
        <v>193</v>
      </c>
      <c r="E76" s="54">
        <v>0.5</v>
      </c>
      <c r="F76" s="26"/>
      <c r="G76" s="6" t="s">
        <v>239</v>
      </c>
      <c r="H76" s="26"/>
      <c r="I76" s="48" t="s">
        <v>266</v>
      </c>
    </row>
    <row r="77" spans="2:9" ht="3.95" customHeight="1">
      <c r="C77" s="2"/>
    </row>
    <row r="78" spans="2:9">
      <c r="B78" s="57"/>
      <c r="C78" s="4" t="s">
        <v>194</v>
      </c>
      <c r="E78" s="53">
        <v>0.5</v>
      </c>
      <c r="F78" s="26"/>
      <c r="G78" s="47" t="s">
        <v>240</v>
      </c>
      <c r="H78" s="26"/>
      <c r="I78" s="48" t="s">
        <v>268</v>
      </c>
    </row>
    <row r="79" spans="2:9" ht="3.95" customHeight="1">
      <c r="C79" s="2"/>
    </row>
    <row r="80" spans="2:9">
      <c r="B80" s="59"/>
      <c r="C80" s="4" t="s">
        <v>195</v>
      </c>
      <c r="E80" s="53">
        <v>0.5</v>
      </c>
      <c r="F80" s="26"/>
      <c r="G80" s="47" t="s">
        <v>240</v>
      </c>
      <c r="H80" s="26"/>
      <c r="I80" s="48" t="s">
        <v>269</v>
      </c>
    </row>
    <row r="81" spans="2:9" ht="3.95" customHeight="1">
      <c r="C81" s="2"/>
    </row>
    <row r="82" spans="2:9">
      <c r="B82" s="57"/>
      <c r="C82" s="4" t="s">
        <v>192</v>
      </c>
      <c r="E82" s="53">
        <v>0.5</v>
      </c>
      <c r="F82" s="26"/>
      <c r="G82" s="47" t="s">
        <v>240</v>
      </c>
      <c r="H82" s="26"/>
      <c r="I82" s="48" t="s">
        <v>270</v>
      </c>
    </row>
    <row r="83" spans="2:9" ht="3.95" customHeight="1">
      <c r="C83" s="2"/>
    </row>
    <row r="84" spans="2:9">
      <c r="B84" s="59"/>
      <c r="C84" s="4" t="s">
        <v>196</v>
      </c>
      <c r="E84" s="54">
        <v>0.5</v>
      </c>
      <c r="F84" s="26"/>
      <c r="G84" s="6" t="s">
        <v>239</v>
      </c>
      <c r="H84" s="26"/>
      <c r="I84" s="48" t="s">
        <v>271</v>
      </c>
    </row>
    <row r="85" spans="2:9" ht="3.95" customHeight="1">
      <c r="C85" s="2"/>
    </row>
    <row r="86" spans="2:9">
      <c r="B86" s="83" t="s">
        <v>233</v>
      </c>
      <c r="C86" s="83"/>
      <c r="D86" s="83"/>
      <c r="E86" s="83"/>
      <c r="F86" s="83"/>
      <c r="G86" s="83"/>
      <c r="H86" s="83"/>
      <c r="I86" s="83"/>
    </row>
    <row r="87" spans="2:9" ht="3.95" customHeight="1">
      <c r="C87" s="2"/>
    </row>
    <row r="88" spans="2:9">
      <c r="B88" s="57"/>
      <c r="C88" s="4" t="s">
        <v>230</v>
      </c>
      <c r="E88" s="53">
        <v>6</v>
      </c>
      <c r="F88" s="26"/>
      <c r="G88" s="47" t="s">
        <v>240</v>
      </c>
      <c r="H88" s="26"/>
      <c r="I88" s="48" t="s">
        <v>311</v>
      </c>
    </row>
    <row r="89" spans="2:9" ht="3.95" customHeight="1">
      <c r="C89" s="2"/>
    </row>
    <row r="90" spans="2:9">
      <c r="B90" s="59"/>
      <c r="C90" s="4" t="s">
        <v>231</v>
      </c>
      <c r="E90" s="54">
        <f>IF(E88*E92/E94 &lt; 3, 3,E88*E92/E94)</f>
        <v>3</v>
      </c>
      <c r="F90" s="26"/>
      <c r="G90" s="6" t="s">
        <v>239</v>
      </c>
      <c r="H90" s="26"/>
      <c r="I90" s="48" t="s">
        <v>232</v>
      </c>
    </row>
    <row r="91" spans="2:9" ht="3.95" customHeight="1">
      <c r="C91" s="2"/>
    </row>
    <row r="92" spans="2:9">
      <c r="B92" s="58"/>
      <c r="C92" s="4" t="s">
        <v>228</v>
      </c>
      <c r="E92" s="54">
        <f>E94/E140</f>
        <v>66.666666666666671</v>
      </c>
      <c r="F92" s="27"/>
      <c r="G92" s="6" t="s">
        <v>239</v>
      </c>
      <c r="H92" s="27"/>
      <c r="I92" s="48" t="s">
        <v>235</v>
      </c>
    </row>
    <row r="93" spans="2:9" ht="3.95" customHeight="1">
      <c r="C93" s="2"/>
    </row>
    <row r="94" spans="2:9">
      <c r="B94" s="57"/>
      <c r="C94" s="4" t="s">
        <v>229</v>
      </c>
      <c r="E94" s="53">
        <v>1000</v>
      </c>
      <c r="F94" s="27"/>
      <c r="G94" s="47" t="s">
        <v>240</v>
      </c>
      <c r="H94" s="27"/>
      <c r="I94" s="48" t="s">
        <v>236</v>
      </c>
    </row>
    <row r="95" spans="2:9" ht="3.95" customHeight="1">
      <c r="C95" s="2"/>
    </row>
    <row r="96" spans="2:9">
      <c r="B96" s="82" t="s">
        <v>197</v>
      </c>
      <c r="C96" s="82"/>
      <c r="D96" s="82"/>
      <c r="E96" s="82"/>
      <c r="F96" s="82"/>
      <c r="G96" s="82"/>
      <c r="H96" s="82"/>
      <c r="I96" s="82"/>
    </row>
    <row r="97" spans="2:9" ht="3.95" customHeight="1">
      <c r="C97" s="2"/>
    </row>
    <row r="98" spans="2:9">
      <c r="B98" s="57"/>
      <c r="C98" s="4" t="s">
        <v>198</v>
      </c>
      <c r="E98" s="53">
        <v>60</v>
      </c>
      <c r="F98" s="26"/>
      <c r="G98" s="47" t="s">
        <v>240</v>
      </c>
      <c r="H98" s="26"/>
      <c r="I98" s="48" t="s">
        <v>280</v>
      </c>
    </row>
    <row r="99" spans="2:9" ht="3.95" customHeight="1">
      <c r="C99" s="2"/>
    </row>
    <row r="100" spans="2:9">
      <c r="B100" s="63"/>
      <c r="C100" s="4" t="s">
        <v>199</v>
      </c>
      <c r="E100" s="54">
        <v>20</v>
      </c>
      <c r="F100" s="26"/>
      <c r="G100" s="6" t="s">
        <v>239</v>
      </c>
      <c r="H100" s="26"/>
      <c r="I100" s="48" t="s">
        <v>279</v>
      </c>
    </row>
    <row r="101" spans="2:9" ht="3.95" customHeight="1">
      <c r="C101" s="2"/>
    </row>
    <row r="102" spans="2:9">
      <c r="B102" s="58"/>
      <c r="C102" s="4" t="s">
        <v>200</v>
      </c>
      <c r="E102" s="54">
        <v>20</v>
      </c>
      <c r="F102" s="26"/>
      <c r="G102" s="6" t="s">
        <v>239</v>
      </c>
      <c r="H102" s="26"/>
      <c r="I102" s="48" t="s">
        <v>278</v>
      </c>
    </row>
    <row r="103" spans="2:9" ht="3.95" customHeight="1">
      <c r="C103" s="2"/>
    </row>
    <row r="104" spans="2:9">
      <c r="B104" s="58"/>
      <c r="C104" s="4" t="s">
        <v>201</v>
      </c>
      <c r="E104" s="54">
        <v>20</v>
      </c>
      <c r="F104" s="26"/>
      <c r="G104" s="6" t="s">
        <v>239</v>
      </c>
      <c r="H104" s="26"/>
      <c r="I104" s="48" t="s">
        <v>277</v>
      </c>
    </row>
    <row r="105" spans="2:9" ht="3.95" customHeight="1">
      <c r="C105" s="2"/>
    </row>
    <row r="106" spans="2:9">
      <c r="B106" s="59"/>
      <c r="C106" s="4" t="s">
        <v>202</v>
      </c>
      <c r="E106" s="54">
        <v>10</v>
      </c>
      <c r="F106" s="26"/>
      <c r="G106" s="6" t="s">
        <v>239</v>
      </c>
      <c r="H106" s="26"/>
      <c r="I106" s="48" t="s">
        <v>276</v>
      </c>
    </row>
    <row r="107" spans="2:9" ht="3.95" customHeight="1">
      <c r="C107" s="2"/>
    </row>
    <row r="108" spans="2:9">
      <c r="B108" s="57"/>
      <c r="C108" s="4" t="s">
        <v>203</v>
      </c>
      <c r="E108" s="54">
        <v>40</v>
      </c>
      <c r="F108" s="26"/>
      <c r="G108" s="6" t="s">
        <v>239</v>
      </c>
      <c r="H108" s="26"/>
      <c r="I108" s="48" t="s">
        <v>275</v>
      </c>
    </row>
    <row r="109" spans="2:9" ht="3.95" customHeight="1">
      <c r="C109" s="2"/>
    </row>
    <row r="110" spans="2:9">
      <c r="B110" s="59"/>
      <c r="C110" s="4" t="s">
        <v>204</v>
      </c>
      <c r="E110" s="54">
        <v>20</v>
      </c>
      <c r="F110" s="26"/>
      <c r="G110" s="6" t="s">
        <v>239</v>
      </c>
      <c r="H110" s="26"/>
      <c r="I110" s="48" t="s">
        <v>274</v>
      </c>
    </row>
    <row r="111" spans="2:9" ht="3.95" customHeight="1">
      <c r="C111" s="2"/>
    </row>
    <row r="112" spans="2:9">
      <c r="B112" s="59"/>
      <c r="C112" s="4" t="s">
        <v>205</v>
      </c>
      <c r="E112" s="54">
        <v>20</v>
      </c>
      <c r="F112" s="26"/>
      <c r="G112" s="6" t="s">
        <v>239</v>
      </c>
      <c r="H112" s="26"/>
      <c r="I112" s="48" t="s">
        <v>273</v>
      </c>
    </row>
    <row r="113" spans="2:9" ht="3.95" customHeight="1">
      <c r="C113" s="2"/>
    </row>
    <row r="114" spans="2:9">
      <c r="B114" s="59"/>
      <c r="C114" s="4" t="s">
        <v>206</v>
      </c>
      <c r="E114" s="54">
        <v>20</v>
      </c>
      <c r="F114" s="26"/>
      <c r="G114" s="6" t="s">
        <v>239</v>
      </c>
      <c r="H114" s="26"/>
      <c r="I114" s="48" t="s">
        <v>272</v>
      </c>
    </row>
    <row r="115" spans="2:9" ht="3.95" customHeight="1">
      <c r="C115" s="2"/>
    </row>
    <row r="116" spans="2:9">
      <c r="B116" s="82" t="s">
        <v>207</v>
      </c>
      <c r="C116" s="82"/>
      <c r="D116" s="82"/>
      <c r="E116" s="82"/>
      <c r="F116" s="82"/>
      <c r="G116" s="82"/>
      <c r="H116" s="82"/>
      <c r="I116" s="82"/>
    </row>
    <row r="117" spans="2:9" ht="3.95" customHeight="1">
      <c r="C117" s="2"/>
    </row>
    <row r="118" spans="2:9">
      <c r="B118" s="57"/>
      <c r="C118" s="4" t="s">
        <v>208</v>
      </c>
      <c r="E118" s="52">
        <v>980</v>
      </c>
      <c r="F118" s="25"/>
      <c r="G118" s="47" t="s">
        <v>240</v>
      </c>
      <c r="H118" s="25"/>
      <c r="I118" s="48" t="s">
        <v>281</v>
      </c>
    </row>
    <row r="119" spans="2:9" ht="3.95" customHeight="1">
      <c r="C119" s="2"/>
    </row>
    <row r="120" spans="2:9">
      <c r="B120" s="57"/>
      <c r="C120" s="4" t="s">
        <v>209</v>
      </c>
      <c r="E120" s="52">
        <v>3000</v>
      </c>
      <c r="F120" s="25"/>
      <c r="G120" s="47" t="s">
        <v>240</v>
      </c>
      <c r="H120" s="25"/>
      <c r="I120" s="48" t="s">
        <v>282</v>
      </c>
    </row>
    <row r="121" spans="2:9" ht="3.95" customHeight="1">
      <c r="C121" s="2"/>
    </row>
    <row r="122" spans="2:9">
      <c r="B122" s="57"/>
      <c r="C122" s="4" t="s">
        <v>210</v>
      </c>
      <c r="E122" s="52">
        <v>6000</v>
      </c>
      <c r="F122" s="25"/>
      <c r="G122" s="47" t="s">
        <v>240</v>
      </c>
      <c r="H122" s="25"/>
      <c r="I122" s="48" t="s">
        <v>283</v>
      </c>
    </row>
    <row r="123" spans="2:9" ht="3.95" customHeight="1">
      <c r="C123" s="2"/>
    </row>
    <row r="124" spans="2:9">
      <c r="B124" s="57"/>
      <c r="C124" s="4" t="s">
        <v>211</v>
      </c>
      <c r="E124" s="52">
        <v>1539</v>
      </c>
      <c r="F124" s="25"/>
      <c r="G124" s="47" t="s">
        <v>240</v>
      </c>
      <c r="H124" s="25"/>
      <c r="I124" s="48" t="s">
        <v>285</v>
      </c>
    </row>
    <row r="125" spans="2:9" ht="3.95" customHeight="1">
      <c r="C125" s="2"/>
    </row>
    <row r="126" spans="2:9">
      <c r="B126" s="57"/>
      <c r="C126" s="4" t="s">
        <v>212</v>
      </c>
      <c r="E126" s="52">
        <f>35 * 12</f>
        <v>420</v>
      </c>
      <c r="F126" s="25"/>
      <c r="G126" s="47" t="s">
        <v>240</v>
      </c>
      <c r="H126" s="25"/>
      <c r="I126" s="48" t="s">
        <v>284</v>
      </c>
    </row>
    <row r="127" spans="2:9" ht="3.95" customHeight="1">
      <c r="C127" s="2"/>
    </row>
    <row r="128" spans="2:9">
      <c r="B128" s="57"/>
      <c r="C128" s="4" t="s">
        <v>213</v>
      </c>
      <c r="E128" s="53">
        <v>2</v>
      </c>
      <c r="F128" s="26"/>
      <c r="G128" s="47" t="s">
        <v>240</v>
      </c>
      <c r="H128" s="26"/>
      <c r="I128" s="48" t="s">
        <v>286</v>
      </c>
    </row>
    <row r="129" spans="2:10" ht="3.95" customHeight="1">
      <c r="C129" s="2"/>
    </row>
    <row r="130" spans="2:10">
      <c r="B130" s="57"/>
      <c r="C130" s="4" t="s">
        <v>214</v>
      </c>
      <c r="E130" s="53">
        <v>2</v>
      </c>
      <c r="F130" s="26"/>
      <c r="G130" s="47" t="s">
        <v>240</v>
      </c>
      <c r="H130" s="26"/>
      <c r="I130" s="48" t="s">
        <v>287</v>
      </c>
    </row>
    <row r="131" spans="2:10" ht="3.95" customHeight="1">
      <c r="C131" s="2"/>
    </row>
    <row r="132" spans="2:10">
      <c r="B132" s="82" t="s">
        <v>215</v>
      </c>
      <c r="C132" s="82"/>
      <c r="D132" s="82"/>
      <c r="E132" s="82"/>
      <c r="F132" s="82"/>
      <c r="G132" s="82"/>
      <c r="H132" s="82"/>
      <c r="I132" s="82"/>
    </row>
    <row r="133" spans="2:10" ht="3.95" customHeight="1">
      <c r="C133" s="2"/>
    </row>
    <row r="134" spans="2:10">
      <c r="B134" s="57"/>
      <c r="C134" s="4" t="s">
        <v>216</v>
      </c>
      <c r="E134" s="52">
        <v>500</v>
      </c>
      <c r="F134" s="25"/>
      <c r="G134" s="47" t="s">
        <v>240</v>
      </c>
      <c r="H134" s="25"/>
      <c r="I134" s="48" t="s">
        <v>288</v>
      </c>
    </row>
    <row r="135" spans="2:10" ht="3.95" customHeight="1">
      <c r="C135" s="2"/>
    </row>
    <row r="136" spans="2:10">
      <c r="B136" s="59"/>
      <c r="C136" s="4" t="s">
        <v>217</v>
      </c>
      <c r="E136" s="54">
        <v>2</v>
      </c>
      <c r="F136" s="26"/>
      <c r="G136" s="6" t="s">
        <v>239</v>
      </c>
      <c r="H136" s="26"/>
      <c r="I136" s="48" t="s">
        <v>289</v>
      </c>
    </row>
    <row r="137" spans="2:10" ht="3.95" customHeight="1">
      <c r="C137" s="2"/>
    </row>
    <row r="138" spans="2:10">
      <c r="B138" s="82" t="s">
        <v>218</v>
      </c>
      <c r="C138" s="82"/>
      <c r="D138" s="82"/>
      <c r="E138" s="82"/>
      <c r="F138" s="82"/>
      <c r="G138" s="82"/>
      <c r="H138" s="82"/>
      <c r="I138" s="82"/>
    </row>
    <row r="139" spans="2:10" ht="3.95" customHeight="1">
      <c r="C139" s="2"/>
    </row>
    <row r="140" spans="2:10">
      <c r="B140" s="59"/>
      <c r="C140" s="4" t="s">
        <v>219</v>
      </c>
      <c r="E140" s="54">
        <v>15</v>
      </c>
      <c r="F140" s="26"/>
      <c r="G140" s="6" t="s">
        <v>239</v>
      </c>
      <c r="H140" s="26"/>
      <c r="I140" s="48" t="s">
        <v>290</v>
      </c>
    </row>
    <row r="141" spans="2:10" ht="3.95" customHeight="1">
      <c r="C141" s="2"/>
    </row>
    <row r="142" spans="2:10">
      <c r="B142" s="57"/>
      <c r="C142" s="4" t="s">
        <v>220</v>
      </c>
      <c r="E142" s="53">
        <v>220</v>
      </c>
      <c r="F142" s="26"/>
      <c r="G142" s="47" t="s">
        <v>240</v>
      </c>
      <c r="H142" s="26"/>
      <c r="I142" s="48" t="s">
        <v>291</v>
      </c>
    </row>
    <row r="143" spans="2:10" ht="3.95" customHeight="1">
      <c r="C143" s="2"/>
    </row>
    <row r="144" spans="2:10">
      <c r="B144" s="57"/>
      <c r="C144" s="4" t="s">
        <v>221</v>
      </c>
      <c r="E144" s="52">
        <v>28000</v>
      </c>
      <c r="F144" s="25"/>
      <c r="G144" s="47" t="s">
        <v>240</v>
      </c>
      <c r="H144" s="25"/>
      <c r="I144" s="48" t="s">
        <v>222</v>
      </c>
      <c r="J144" s="13"/>
    </row>
    <row r="145" spans="2:10" ht="3.95" customHeight="1">
      <c r="C145" s="2"/>
    </row>
    <row r="146" spans="2:10">
      <c r="B146" s="57"/>
      <c r="C146" s="4" t="s">
        <v>223</v>
      </c>
      <c r="E146" s="54">
        <v>1.5</v>
      </c>
      <c r="F146" s="25"/>
      <c r="G146" s="6" t="s">
        <v>239</v>
      </c>
      <c r="H146" s="25"/>
      <c r="I146" s="48" t="s">
        <v>224</v>
      </c>
      <c r="J146" s="13"/>
    </row>
    <row r="147" spans="2:10" ht="3.95" customHeight="1">
      <c r="C147" s="2"/>
    </row>
    <row r="148" spans="2:10">
      <c r="B148" s="59"/>
      <c r="C148" s="4" t="s">
        <v>225</v>
      </c>
      <c r="E148" s="55">
        <v>0.12</v>
      </c>
      <c r="F148" s="24"/>
      <c r="G148" s="47" t="s">
        <v>240</v>
      </c>
      <c r="H148" s="24"/>
      <c r="I148" s="48" t="s">
        <v>292</v>
      </c>
    </row>
    <row r="149" spans="2:10" ht="3.95" customHeight="1">
      <c r="C149" s="2"/>
    </row>
    <row r="150" spans="2:10">
      <c r="B150" s="57"/>
      <c r="C150" s="4" t="s">
        <v>226</v>
      </c>
      <c r="E150" s="56">
        <f>1/E140</f>
        <v>6.6666666666666666E-2</v>
      </c>
      <c r="F150" s="27"/>
      <c r="G150" s="6" t="s">
        <v>239</v>
      </c>
      <c r="H150" s="27"/>
      <c r="I150" s="48" t="s">
        <v>293</v>
      </c>
    </row>
    <row r="151" spans="2:10" ht="3.95" customHeight="1">
      <c r="C151" s="2"/>
    </row>
    <row r="152" spans="2:10">
      <c r="B152" s="57"/>
      <c r="C152" s="4" t="s">
        <v>227</v>
      </c>
      <c r="E152" s="53">
        <f>ROUNDUP(SUM(E52:E72,E74:E84,E90),0)</f>
        <v>27</v>
      </c>
      <c r="F152" s="26"/>
      <c r="G152" s="47" t="s">
        <v>240</v>
      </c>
      <c r="H152" s="26"/>
      <c r="I152" s="48" t="s">
        <v>294</v>
      </c>
    </row>
  </sheetData>
  <mergeCells count="17">
    <mergeCell ref="B14:E14"/>
    <mergeCell ref="B138:I138"/>
    <mergeCell ref="B86:I86"/>
    <mergeCell ref="E4:I4"/>
    <mergeCell ref="B2:I2"/>
    <mergeCell ref="B96:I96"/>
    <mergeCell ref="B116:I116"/>
    <mergeCell ref="B132:I132"/>
    <mergeCell ref="B16:I16"/>
    <mergeCell ref="B38:I38"/>
    <mergeCell ref="B50:I50"/>
    <mergeCell ref="B18:I18"/>
    <mergeCell ref="B28:I28"/>
    <mergeCell ref="E6:I6"/>
    <mergeCell ref="E8:I8"/>
    <mergeCell ref="E10:I10"/>
    <mergeCell ref="B12:I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A69A197EE0964E8D3BC85C1EBD2D78" ma:contentTypeVersion="5" ma:contentTypeDescription="Create a new document." ma:contentTypeScope="" ma:versionID="7664e89a131b1d8189f37087fe5aa7d8">
  <xsd:schema xmlns:xsd="http://www.w3.org/2001/XMLSchema" xmlns:xs="http://www.w3.org/2001/XMLSchema" xmlns:p="http://schemas.microsoft.com/office/2006/metadata/properties" xmlns:ns2="ade1e206-d410-4881-97b9-b6a46bc44bb6" targetNamespace="http://schemas.microsoft.com/office/2006/metadata/properties" ma:root="true" ma:fieldsID="966ce8b827882c059a35e5f7848de368" ns2:_="">
    <xsd:import namespace="ade1e206-d410-4881-97b9-b6a46bc44b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e1e206-d410-4881-97b9-b6a46bc44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5DBF68-C384-484E-A0E0-CBE1E97AC065}">
  <ds:schemaRefs>
    <ds:schemaRef ds:uri="http://schemas.microsoft.com/office/2006/documentManagement/types"/>
    <ds:schemaRef ds:uri="http://schemas.openxmlformats.org/package/2006/metadata/core-properties"/>
    <ds:schemaRef ds:uri="ade1e206-d410-4881-97b9-b6a46bc44bb6"/>
    <ds:schemaRef ds:uri="http://purl.org/dc/elements/1.1/"/>
    <ds:schemaRef ds:uri="http://purl.org/dc/term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2CE51F1-98FC-437A-A1FC-FDB4117D8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e1e206-d410-4881-97b9-b6a46bc44b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5A8C78-5D84-49B3-973B-892FED909F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Cover</vt:lpstr>
      <vt:lpstr>Costs overview</vt:lpstr>
      <vt:lpstr>Scenario 1 - Costs</vt:lpstr>
      <vt:lpstr>Scenario 2 - Costs</vt:lpstr>
      <vt:lpstr>Scenario 3 - Costs</vt:lpstr>
      <vt:lpstr>Scenario 4 - Costs</vt:lpstr>
      <vt:lpstr>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Fausto Rubino</dc:creator>
  <cp:keywords/>
  <dc:description/>
  <cp:lastModifiedBy>Airina Dreimane</cp:lastModifiedBy>
  <cp:revision/>
  <dcterms:created xsi:type="dcterms:W3CDTF">2020-07-11T20:22:06Z</dcterms:created>
  <dcterms:modified xsi:type="dcterms:W3CDTF">2021-01-19T07:02:22Z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0x01010028A69A197EE0964E8D3BC85C1EBD2D78</vt:lpwstr>
  </property>
</Properties>
</file>