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.vm.gov.lv/Portal/webdav/f9100fa8-d02f-480c-9bd2-613e86cb3381/"/>
    </mc:Choice>
  </mc:AlternateContent>
  <xr:revisionPtr revIDLastSave="0" documentId="13_ncr:1_{8FCCC59F-79EA-48AC-B967-C86DB1B81864}" xr6:coauthVersionLast="46" xr6:coauthVersionMax="46" xr10:uidLastSave="{00000000-0000-0000-0000-000000000000}"/>
  <bookViews>
    <workbookView xWindow="390" yWindow="390" windowWidth="21600" windowHeight="14565" xr2:uid="{4495EFB5-4899-4E84-8992-06FE27443688}"/>
  </bookViews>
  <sheets>
    <sheet name="Testēšana" sheetId="3" r:id="rId1"/>
    <sheet name="sekvencēšan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2_d_NMP_lim">#REF!</definedName>
    <definedName name="aa">#REF!</definedName>
    <definedName name="_xlnm.Auto_Open">#REF!</definedName>
    <definedName name="b">#REF!</definedName>
    <definedName name="BEx3ATHHUCGCIRND8KLAREDV3L40" hidden="1">[1]HEADER!#REF!</definedName>
    <definedName name="BEx3QB2RILYEXIROLAFCWQMOJXMN" hidden="1">[1]HEADER!#REF!</definedName>
    <definedName name="BEx3RIJ9LXPXWNF4BFBFA4ILG6AY" hidden="1">[1]HEADER!#REF!</definedName>
    <definedName name="BEx3T3XEKJ0I8634YNR6MPN3OBQL" hidden="1">[1]HEADER!#REF!</definedName>
    <definedName name="BEx73MBHXPGN5MLC2IC6RCMRLO6D" hidden="1">[1]HEADER!#REF!</definedName>
    <definedName name="BEx7KKYHXVDNTR0VZKUAIUQCSOP9" hidden="1">[1]HEADER!#REF!</definedName>
    <definedName name="BEx9EDPXWEPLE7S1KH5K8GGFZKC0" hidden="1">[1]HEADER!#REF!</definedName>
    <definedName name="BExBE9K6C6Q27ZVX3WOCP2J41BHY" hidden="1">[1]HEADER!#REF!</definedName>
    <definedName name="BExCQGR4Z3D1E5XRGMT5VWBAFBXW" hidden="1">[1]ZQZBC_PLN__04_03_10!#REF!</definedName>
    <definedName name="BExMP7OQLL0R8VO1CGH6H677G4ZU" hidden="1">[1]HEADER!#REF!</definedName>
    <definedName name="BExO50CMJCMLOGHRH7OH9FMGVTSS" hidden="1">[1]HEADER!#REF!</definedName>
    <definedName name="BExOA3RQ9DFFMJC5QYZ23ZT9RUN8" hidden="1">[1]HEADER!#REF!</definedName>
    <definedName name="BExS6S40JMF44ZTMXW3UE4WW9B54" hidden="1">[1]HEADER!#REF!</definedName>
    <definedName name="BExU5I577AMALET6AIZ4P1LRV9CU" hidden="1">[1]ZQZBC_PLN__04_03_10!#REF!</definedName>
    <definedName name="BExU7EBQBMZVYUSS9YS0I4JESH9L" hidden="1">[1]HEADER!#REF!</definedName>
    <definedName name="BExUC9I2YXGSCVE8W0KZ56D3E9UX" hidden="1">[1]HEADER!#REF!</definedName>
    <definedName name="BExZJQJI4H09EC94GXCLZDAB05VB" hidden="1">[1]HEADER!#REF!</definedName>
    <definedName name="bt">#REF!</definedName>
    <definedName name="BX">#REF!</definedName>
    <definedName name="CalendarYear">#REF!</definedName>
    <definedName name="ccc">#REF!</definedName>
    <definedName name="d">#REF!</definedName>
    <definedName name="D_Evija3">#REF!</definedName>
    <definedName name="DaysAndWeeks">{0,1,2,3,4,5,6} + {0;1;2;3;4;5}*7</definedName>
    <definedName name="de">#REF!</definedName>
    <definedName name="dff">#NAME?</definedName>
    <definedName name="DRGNAMES">#REF!</definedName>
    <definedName name="e">#REF!</definedName>
    <definedName name="ee">#REF!</definedName>
    <definedName name="Excel_BuiltIn__FilterDatabase_2">#REF!</definedName>
    <definedName name="Excel_BuiltIn__FilterDatabase_3">#REF!</definedName>
    <definedName name="Excel_BuiltIn_Print_Titles_2">#REF!</definedName>
    <definedName name="Excel_BuiltIn_Print_Titles_3">#REF!</definedName>
    <definedName name="gad_skaits">#REF!</definedName>
    <definedName name="gad_skaits_1">#REF!</definedName>
    <definedName name="gggg">#REF!</definedName>
    <definedName name="ghy">#REF!</definedName>
    <definedName name="h">#REF!</definedName>
    <definedName name="hh">#REF!</definedName>
    <definedName name="hjh">#REF!</definedName>
    <definedName name="hyh">#REF!</definedName>
    <definedName name="i">#REF!</definedName>
    <definedName name="izm.kods">#REF!</definedName>
    <definedName name="izm.kods_1">[2]izm.posteni!$A$2:$A$216</definedName>
    <definedName name="izm.nos">#REF!</definedName>
    <definedName name="izm.nos_1">[2]izm.posteni!$B$2:$B$216</definedName>
    <definedName name="jhg">#REF!</definedName>
    <definedName name="kk">#REF!</definedName>
    <definedName name="l">#REF!</definedName>
    <definedName name="Limeni_7_9group">#REF!</definedName>
    <definedName name="mmm" hidden="1">[1]ZQZBC_PLN__04_03_10!#REF!</definedName>
    <definedName name="n">#REF!</definedName>
    <definedName name="P_Dati_rikojums">#REF!</definedName>
    <definedName name="pp">#REF!</definedName>
    <definedName name="_xlnm.Print_Area" localSheetId="1">sekvencēšana!$A$1:$P$36</definedName>
    <definedName name="_xlnm.Print_Titles" localSheetId="0">Testēšana!$3:$3</definedName>
    <definedName name="Recover">[3]Macro1!$A$80</definedName>
    <definedName name="Rikojums2222">[4]Macro1!$A$106</definedName>
    <definedName name="rr">#REF!</definedName>
    <definedName name="rt">#REF!</definedName>
    <definedName name="rty">#REF!</definedName>
    <definedName name="S5\">#REF!</definedName>
    <definedName name="ss">#REF!</definedName>
    <definedName name="Str.">#REF!</definedName>
    <definedName name="Str.vien.nos.">#REF!</definedName>
    <definedName name="Struktura">#REF!</definedName>
    <definedName name="Struktūrvien.kodi2">#REF!</definedName>
    <definedName name="Struktūrvien.kodi2_1">[2]strukturkodi!$B$2:$B$232</definedName>
    <definedName name="Struktūrvien.kods">#REF!</definedName>
    <definedName name="Struktūrvien.kods_1">[2]strukturkodi!$A$2:$A$232</definedName>
    <definedName name="T13l6">[5]ATSKAITE_2v!#REF!</definedName>
    <definedName name="TableName">"Dummy"</definedName>
    <definedName name="TWO_LINKS">'[6]8.1.'!$C$5</definedName>
    <definedName name="ty">#REF!</definedName>
    <definedName name="tyuj">#REF!</definedName>
    <definedName name="u">#REF!</definedName>
    <definedName name="U_N_A">#REF!</definedName>
    <definedName name="wedr">#REF!</definedName>
    <definedName name="WeekStart">#REF!</definedName>
    <definedName name="x">#REF!</definedName>
    <definedName name="XBD">[7]Dati!$B$6</definedName>
    <definedName name="XDD">[7]Dati!$B$4</definedName>
    <definedName name="XDS">[7]Dati!$B$5</definedName>
    <definedName name="XSVD">[7]Dati!$B$7</definedName>
    <definedName name="xxxx">#REF!</definedName>
    <definedName name="yuh">#REF!</definedName>
    <definedName name="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3" l="1"/>
  <c r="H21" i="3"/>
  <c r="H20" i="3"/>
  <c r="H19" i="3"/>
  <c r="G18" i="3"/>
  <c r="H18" i="3" s="1"/>
  <c r="H17" i="3"/>
  <c r="H16" i="3"/>
  <c r="M15" i="3"/>
  <c r="L15" i="3"/>
  <c r="I15" i="3"/>
  <c r="J15" i="3" s="1"/>
  <c r="K15" i="3" s="1"/>
  <c r="H15" i="3"/>
  <c r="N15" i="3" s="1"/>
  <c r="M14" i="3"/>
  <c r="L14" i="3"/>
  <c r="I14" i="3"/>
  <c r="J14" i="3" s="1"/>
  <c r="K14" i="3" s="1"/>
  <c r="N14" i="3" s="1"/>
  <c r="H14" i="3"/>
  <c r="H13" i="3"/>
  <c r="H12" i="3"/>
  <c r="H11" i="3"/>
  <c r="H10" i="3"/>
  <c r="H9" i="3"/>
  <c r="H8" i="3"/>
  <c r="H7" i="3"/>
  <c r="H6" i="3"/>
  <c r="J5" i="3"/>
  <c r="L5" i="3" s="1"/>
  <c r="H5" i="3"/>
  <c r="H4" i="3"/>
  <c r="J2" i="3"/>
  <c r="I2" i="3" s="1"/>
  <c r="I19" i="3" l="1"/>
  <c r="J19" i="3" s="1"/>
  <c r="I10" i="3"/>
  <c r="J10" i="3" s="1"/>
  <c r="I20" i="3"/>
  <c r="J20" i="3" s="1"/>
  <c r="I11" i="3"/>
  <c r="J11" i="3" s="1"/>
  <c r="I4" i="3"/>
  <c r="J4" i="3" s="1"/>
  <c r="I21" i="3"/>
  <c r="J21" i="3" s="1"/>
  <c r="I12" i="3"/>
  <c r="J12" i="3" s="1"/>
  <c r="I13" i="3"/>
  <c r="J13" i="3" s="1"/>
  <c r="I6" i="3"/>
  <c r="J6" i="3" s="1"/>
  <c r="I7" i="3"/>
  <c r="J7" i="3" s="1"/>
  <c r="I16" i="3"/>
  <c r="J16" i="3" s="1"/>
  <c r="I8" i="3"/>
  <c r="J8" i="3" s="1"/>
  <c r="I18" i="3"/>
  <c r="J18" i="3" s="1"/>
  <c r="I17" i="3"/>
  <c r="J17" i="3" s="1"/>
  <c r="I9" i="3"/>
  <c r="J9" i="3" s="1"/>
  <c r="H22" i="3"/>
  <c r="M5" i="3"/>
  <c r="K5" i="3"/>
  <c r="N5" i="3" s="1"/>
  <c r="F36" i="4"/>
  <c r="F34" i="4"/>
  <c r="M18" i="3" l="1"/>
  <c r="L18" i="3"/>
  <c r="K18" i="3"/>
  <c r="M6" i="3"/>
  <c r="L6" i="3"/>
  <c r="K6" i="3"/>
  <c r="M19" i="3"/>
  <c r="L19" i="3"/>
  <c r="K19" i="3"/>
  <c r="M4" i="3"/>
  <c r="L4" i="3"/>
  <c r="K4" i="3"/>
  <c r="M16" i="3"/>
  <c r="L16" i="3"/>
  <c r="K16" i="3"/>
  <c r="M10" i="3"/>
  <c r="L10" i="3"/>
  <c r="K10" i="3"/>
  <c r="L13" i="3"/>
  <c r="K13" i="3"/>
  <c r="M13" i="3"/>
  <c r="M11" i="3"/>
  <c r="L11" i="3"/>
  <c r="K11" i="3"/>
  <c r="N11" i="3" s="1"/>
  <c r="M7" i="3"/>
  <c r="L7" i="3"/>
  <c r="K7" i="3"/>
  <c r="N7" i="3" s="1"/>
  <c r="M9" i="3"/>
  <c r="L9" i="3"/>
  <c r="K9" i="3"/>
  <c r="K12" i="3"/>
  <c r="M12" i="3"/>
  <c r="L12" i="3"/>
  <c r="M8" i="3"/>
  <c r="L8" i="3"/>
  <c r="K8" i="3"/>
  <c r="N8" i="3" s="1"/>
  <c r="M20" i="3"/>
  <c r="L20" i="3"/>
  <c r="K20" i="3"/>
  <c r="N20" i="3" s="1"/>
  <c r="M17" i="3"/>
  <c r="L17" i="3"/>
  <c r="K17" i="3"/>
  <c r="K21" i="3"/>
  <c r="M21" i="3"/>
  <c r="L21" i="3"/>
  <c r="H9" i="4"/>
  <c r="I9" i="4"/>
  <c r="J9" i="4"/>
  <c r="K9" i="4"/>
  <c r="L9" i="4"/>
  <c r="M9" i="4"/>
  <c r="N9" i="4"/>
  <c r="O9" i="4"/>
  <c r="P9" i="4"/>
  <c r="G9" i="4"/>
  <c r="N12" i="3" l="1"/>
  <c r="N16" i="3"/>
  <c r="N9" i="3"/>
  <c r="N6" i="3"/>
  <c r="L22" i="3"/>
  <c r="N18" i="3"/>
  <c r="K22" i="3"/>
  <c r="N4" i="3"/>
  <c r="N22" i="3" s="1"/>
  <c r="N26" i="3" s="1"/>
  <c r="N28" i="3" s="1"/>
  <c r="N17" i="3"/>
  <c r="N10" i="3"/>
  <c r="M22" i="3"/>
  <c r="N13" i="3"/>
  <c r="N21" i="3"/>
  <c r="N19" i="3"/>
  <c r="D3" i="4"/>
  <c r="G8" i="4" s="1"/>
  <c r="H8" i="4"/>
  <c r="I8" i="4"/>
  <c r="J8" i="4"/>
  <c r="K8" i="4"/>
  <c r="L8" i="4"/>
  <c r="M8" i="4"/>
  <c r="N8" i="4"/>
  <c r="O8" i="4"/>
  <c r="P8" i="4"/>
  <c r="E9" i="4"/>
  <c r="I20" i="4"/>
  <c r="M20" i="4"/>
  <c r="D11" i="4"/>
  <c r="P11" i="4"/>
  <c r="D12" i="4"/>
  <c r="F12" i="4" s="1"/>
  <c r="D13" i="4"/>
  <c r="F13" i="4" s="1"/>
  <c r="D14" i="4"/>
  <c r="G14" i="4" s="1"/>
  <c r="D15" i="4"/>
  <c r="F15" i="4" s="1"/>
  <c r="G15" i="4"/>
  <c r="D16" i="4"/>
  <c r="F16" i="4" s="1"/>
  <c r="D18" i="4"/>
  <c r="F18" i="4" s="1"/>
  <c r="G18" i="4"/>
  <c r="G20" i="4"/>
  <c r="H20" i="4"/>
  <c r="H22" i="4" s="1"/>
  <c r="J20" i="4"/>
  <c r="J22" i="4" s="1"/>
  <c r="K20" i="4"/>
  <c r="K21" i="4" s="1"/>
  <c r="L20" i="4"/>
  <c r="N20" i="4"/>
  <c r="N22" i="4" s="1"/>
  <c r="O20" i="4"/>
  <c r="O21" i="4" s="1"/>
  <c r="P20" i="4"/>
  <c r="P22" i="4" s="1"/>
  <c r="D21" i="4"/>
  <c r="H21" i="4"/>
  <c r="J21" i="4"/>
  <c r="P21" i="4"/>
  <c r="D22" i="4"/>
  <c r="L22" i="4"/>
  <c r="G24" i="4"/>
  <c r="F24" i="4" s="1"/>
  <c r="H24" i="4"/>
  <c r="I24" i="4"/>
  <c r="J24" i="4"/>
  <c r="K24" i="4"/>
  <c r="L24" i="4"/>
  <c r="M24" i="4"/>
  <c r="N24" i="4"/>
  <c r="O24" i="4"/>
  <c r="P24" i="4"/>
  <c r="G25" i="4"/>
  <c r="H25" i="4"/>
  <c r="I25" i="4"/>
  <c r="J25" i="4"/>
  <c r="K25" i="4"/>
  <c r="L25" i="4"/>
  <c r="M25" i="4"/>
  <c r="N25" i="4"/>
  <c r="O25" i="4"/>
  <c r="P25" i="4"/>
  <c r="G26" i="4"/>
  <c r="F26" i="4" s="1"/>
  <c r="H26" i="4"/>
  <c r="I26" i="4"/>
  <c r="J26" i="4"/>
  <c r="K26" i="4"/>
  <c r="L26" i="4"/>
  <c r="M26" i="4"/>
  <c r="N26" i="4"/>
  <c r="O26" i="4"/>
  <c r="P26" i="4"/>
  <c r="D28" i="4"/>
  <c r="F28" i="4"/>
  <c r="H28" i="4"/>
  <c r="D29" i="4"/>
  <c r="F29" i="4" s="1"/>
  <c r="F25" i="4" l="1"/>
  <c r="G16" i="4"/>
  <c r="G12" i="4"/>
  <c r="L11" i="4"/>
  <c r="L21" i="4"/>
  <c r="G21" i="4"/>
  <c r="F14" i="4"/>
  <c r="N21" i="4"/>
  <c r="E8" i="4"/>
  <c r="E11" i="4" s="1"/>
  <c r="F11" i="4" s="1"/>
  <c r="I11" i="4"/>
  <c r="M21" i="4"/>
  <c r="M22" i="4"/>
  <c r="I21" i="4"/>
  <c r="I22" i="4"/>
  <c r="E20" i="4"/>
  <c r="O11" i="4"/>
  <c r="K11" i="4"/>
  <c r="G11" i="4"/>
  <c r="H29" i="4"/>
  <c r="O22" i="4"/>
  <c r="K22" i="4"/>
  <c r="G22" i="4"/>
  <c r="G13" i="4"/>
  <c r="N11" i="4"/>
  <c r="J11" i="4"/>
  <c r="H11" i="4"/>
  <c r="M11" i="4"/>
  <c r="E22" i="4" l="1"/>
  <c r="F22" i="4" s="1"/>
  <c r="E21" i="4"/>
  <c r="F21" i="4" s="1"/>
  <c r="F32" i="4" l="1"/>
</calcChain>
</file>

<file path=xl/sharedStrings.xml><?xml version="1.0" encoding="utf-8"?>
<sst xmlns="http://schemas.openxmlformats.org/spreadsheetml/2006/main" count="118" uniqueCount="101">
  <si>
    <t>Izmaksas gadā, EUR</t>
  </si>
  <si>
    <t>Paraugu paņemšana</t>
  </si>
  <si>
    <t>SARS-CoV-2 (COVID-19) ambulatora parauga paņemšana laboratorijā</t>
  </si>
  <si>
    <t>SARS-CoV-2 RNS (COVID-19) parauga paņemšana mājās</t>
  </si>
  <si>
    <t>SARS-CoV-2 (COVID-19) parauga paņemšana pacienta dzīvesvietā</t>
  </si>
  <si>
    <t>SARS-CoV-2 (COVID-19) transporta barotne</t>
  </si>
  <si>
    <t>SARS-CoV-2 (COVID-19) transporta barotne ar diviem lokaniem tamponiem</t>
  </si>
  <si>
    <t>PĶR RL testi</t>
  </si>
  <si>
    <t>SARS-CoV-2 (2019nCOV) kvalitatīvā RNS noteikšana ar RT-PĶR metodi</t>
  </si>
  <si>
    <t>SARS-CoV-2 RNS (COVID-19) apstiprināšana</t>
  </si>
  <si>
    <t>SARS-CoV-2 RNS (COVID-19) apstiprināšana ar reālā laika PĶR (bez parauga paņemšanas)</t>
  </si>
  <si>
    <t xml:space="preserve">ātrie PĶR RL testi </t>
  </si>
  <si>
    <t>47078R</t>
  </si>
  <si>
    <t>SARS-CoV-2 (2019nCOV) RNS noteikšana ar RT-PĶR metodi - ĀTRAIS tests</t>
  </si>
  <si>
    <t>ātrie PĶR RL testi (MULTI-PLEX)</t>
  </si>
  <si>
    <t>47077R</t>
  </si>
  <si>
    <t>SARS-CoV-2 (2019nCOV) + 21 respiratoro patogenu RNS
noteikšana ar RT-PĶR metodi - ĀTRAIS MULTI-PLEX
tests</t>
  </si>
  <si>
    <t>Seroloģiskie testi</t>
  </si>
  <si>
    <t>47064R</t>
  </si>
  <si>
    <t>Kopējo antivielu pret SARS-CoV-2 noteikšana ar imūnfermentatīvo metodi (ELISA, CMIA, ECLIA, CLIA)</t>
  </si>
  <si>
    <t>Antivielu noteikšana</t>
  </si>
  <si>
    <t>47051R</t>
  </si>
  <si>
    <t>R IgG klases antivielu pret SARS-CoV-2 (COVID-19)  kvantitatīva noteikšana ar imūnfermentatīvo metodi (ELISA, CMIA, ECLIA, CLIA)</t>
  </si>
  <si>
    <t>Seroloģiskie testi (padziļinātais algoritms)</t>
  </si>
  <si>
    <t>47046R
47047R
47049R</t>
  </si>
  <si>
    <t>IgA, IgM, IgG  klases antivielu pret SARS-CoV-2 noteikšana ar imūnfermentatīvo metodi
(ELISA, CMIA, ECLIA, CLIA)</t>
  </si>
  <si>
    <t>NVD 2020.gada  tarifs, EUR</t>
  </si>
  <si>
    <t>NVD 2021.gada  tarifs, EUR</t>
  </si>
  <si>
    <t xml:space="preserve">manipulācija 47259 aizvietota  ar 60162 </t>
  </si>
  <si>
    <t>SARS-CoV-2 RNS (COVID-19) noteikšana ar "pooling" metodi (10 paraugi) (bez parauga paņemšanas)</t>
  </si>
  <si>
    <t>Siekalu parauga paņemšanas komplekts SARS-CoV-2 (COVID-19) izmeklējumam ar “pooling” metodi</t>
  </si>
  <si>
    <t>SARS-CoV-2 RNS (COVID-19) noteikšana ar "pooling" metodi (5 paraugi) (bez parauga paņemšanas)</t>
  </si>
  <si>
    <t>47076R</t>
  </si>
  <si>
    <t>R Asins ņemšana ar slēgtu sistēmu vienā stobriņā antivielu pret SARS-CoV-2 (COVID-19) noteikšanai</t>
  </si>
  <si>
    <t>47268</t>
  </si>
  <si>
    <t>SARS-CoV-2 (COVID-19) antigēna noteikšana (Ag eksprestests)</t>
  </si>
  <si>
    <t>47269</t>
  </si>
  <si>
    <t>SARS-CoV-2 RNS (COVID-19) noteikšana ar reālā laika PĶR (bez parauga paņemšanas) ātrai diagnostikai un diferenciāldiagnostikai (bez reaģenta vērtības)</t>
  </si>
  <si>
    <t>Manipulāciju skaits 2020.gada decembrī dienā</t>
  </si>
  <si>
    <t>Manipulāciju skaits 2020.gada martā dienā (proporcija 67/33%)</t>
  </si>
  <si>
    <t>Manipulāciju skaits 2020.gada martā dienā (proporcija 54/46%)</t>
  </si>
  <si>
    <t xml:space="preserve">1.pielikums
Informatīvajam ziņojumam “Priekšlikumi Covid-19 testēšanas politikas izmaiņām” </t>
  </si>
  <si>
    <t>Nepieciešamais finansējums testu skaitam no 2021.gada marts, aprīlis (61 dienas) euro (testēšanas apjoms dienā sastāda 11 806)</t>
  </si>
  <si>
    <t>Testēšanai nepieciešamais finansējums 2021.gadam</t>
  </si>
  <si>
    <t>* 2021. gadam nepieciešamā finansējuma indikatīvi aprēķini testēšanai veikti pēc decembra mēnesī faktiski veiktajām testēšanas manipulācijām, saglabājot proporciju janvāra, februāra mēnesī un turpmākajiem mēnešiem provizoriski prognozējot atbilstoši ziņojumā plānotajiem testēšanas apjomiem.</t>
  </si>
  <si>
    <t>* Provizoriskās izmaksas, var būt precizējamās tikai pēc procesa uzsākšanas</t>
  </si>
  <si>
    <t>Servisa līgums gadā (2 gadiem, ar PVN 21%)</t>
  </si>
  <si>
    <t>Sekvencēšanas (NGS) pilns iekārtu komplekts  (min 348 paraugi nedēļā) (ar PVN 21%)</t>
  </si>
  <si>
    <t>Sekvenators NRL sekvencēšanas kapacitātes nodrošināšanai (esošā budžeta ietvaros)</t>
  </si>
  <si>
    <t>Biomedicīnas laborants</t>
  </si>
  <si>
    <t>Molekulārais biologs, ieskaitot paraugu atlases speciālists</t>
  </si>
  <si>
    <t>Bioinformātikas speciālists (pilnā slodzē)</t>
  </si>
  <si>
    <t>Sekvencēšanas procesam nepieciešamais personāls</t>
  </si>
  <si>
    <t>Otrais etaps*</t>
  </si>
  <si>
    <t>Pirmais etaps (RNS izdalīšana no primārā parauga)</t>
  </si>
  <si>
    <t>paraugu skaits</t>
  </si>
  <si>
    <t>Sekvencēšanas apjoms paraugu skaits mēnesī (atkarībā no maksimālās kapacitātes)</t>
  </si>
  <si>
    <t>Vīrusu celmu sekvencēšana (NRL nodrošina sekvencēšanas pirmo etapu un slēdz līgumus, piemērām ar BMC otrajam etapam)</t>
  </si>
  <si>
    <t>Vienkāršā datu glabāšanas IT programma (izveide, uzturēšana, t.sk. augstas jaudas mašinskaitļosanas pakalpojuma noma bioinformātikas procesam)</t>
  </si>
  <si>
    <t>NRL Datu apstrādes IT sistēma (esošā budžeta ietvaros)</t>
  </si>
  <si>
    <t>Primārā parauga uzglabāšana (kriostobriņi paraugu uzglabāšanai)*</t>
  </si>
  <si>
    <t>Decembris</t>
  </si>
  <si>
    <t>Novembris</t>
  </si>
  <si>
    <t>Oktobris</t>
  </si>
  <si>
    <t>Septembris</t>
  </si>
  <si>
    <t>Augusts</t>
  </si>
  <si>
    <t>Jūlijs</t>
  </si>
  <si>
    <t>Jūnijs</t>
  </si>
  <si>
    <t>Maijs</t>
  </si>
  <si>
    <t>Aprīlis</t>
  </si>
  <si>
    <t>Marts</t>
  </si>
  <si>
    <t>Izmaksas kopā</t>
  </si>
  <si>
    <t>Vienību skaits
kopā</t>
  </si>
  <si>
    <t>Vienas vienības cena ar PVN</t>
  </si>
  <si>
    <t>NRL tāmes finansējuma pozīcija</t>
  </si>
  <si>
    <t>Primāro pozitīvo paraugu skaits, ko NRL saņem no citām laboratorijām pa mēnešiem</t>
  </si>
  <si>
    <t xml:space="preserve">NRL - Paraugu savākšana, uzglabāsana un atlase sekvencēšanai </t>
  </si>
  <si>
    <t>Pozitīvo paraugu skaita prognoze (%) no esošās Covid-19 saslimstības</t>
  </si>
  <si>
    <t>Primāro pozitīvo paraugu skaits, ko NRL saņem no citām laboratorijām pie esošās Covid-19 saslimstības (mēnesī)</t>
  </si>
  <si>
    <t>Primāro pozitīvo paraugu skaits, ko NRL saņem no citām laboratorijām pie esošās Covid-19 saslimstības (dienā)</t>
  </si>
  <si>
    <t xml:space="preserve">2.pielikums
Informatīvajam ziņojumam “Priekšlikumi Covid-19 testēšanas politikas izmaiņām” </t>
  </si>
  <si>
    <t>Sekvencēšanas jaudas palielināšanai nepieciešamais finansējums 2021.gadam</t>
  </si>
  <si>
    <t>Tarifa kods 2021.gadā</t>
  </si>
  <si>
    <t>Tarifa kods 2020.gadā</t>
  </si>
  <si>
    <t xml:space="preserve">Nepieciešamais finansējums testu skaitam no 2021.gada maijs līdz augustam (123 dienas) euro (testēšanas apjoms dienā sastāda 5 903) </t>
  </si>
  <si>
    <t>Nepieciešamais finansējums testu skaitam no 2021.gada  septembra līdz decembrim (122 dienas) euro (testēšanas apjoms dienā sastāda 3 935)</t>
  </si>
  <si>
    <t>Nepieciešamais finansējums testu skaitam 2021.gada janvāris un februāris pie 9036 analīzēm vidēji dienā (59 dienas) euro</t>
  </si>
  <si>
    <t>Pēc NVD aprēķinātiem tarifiem paredzētais finansējums, paredzot maksimālo paraugu skaitu 11 806  Covid-19 paraugi dienā (visām laboratorijām)</t>
  </si>
  <si>
    <t>Sekvencēšana notiek References laboratorijā</t>
  </si>
  <si>
    <t>Sekvencēšana notiek References laboratorijai sadarbībā ar BMC</t>
  </si>
  <si>
    <t>t.sk. pamatkapitāla palielināšanai, ieguldot tajā finanšu līdzekļus</t>
  </si>
  <si>
    <t>Paraugu apstrādes ierīce - paraugu iesaldēsanai (RAKUS)</t>
  </si>
  <si>
    <t>Svītrkodu kodu lasītājs (RAKUS)</t>
  </si>
  <si>
    <t>Paraugu atlasītājs (RAKUS)</t>
  </si>
  <si>
    <t xml:space="preserve"> dziļsaldētava   -86°C, 40 000 kriostobriņu ar statīviem glabāšanai. Pie prognozējamā apjoma ir nepieciešamas 5  dziļsaldētavas (RAKUS)</t>
  </si>
  <si>
    <t>Paraugu savākšanas loģistikas sistēma, izveide, uzturēšana, vienības (RAKUS)</t>
  </si>
  <si>
    <t>Kopā nepieciešamais finansējums RAKUS:</t>
  </si>
  <si>
    <t>manipulācija 47259 aizvietota ar 6014 - Ceļa izdevumi par 10 minūtēm vienai personai uz COVID-19 pacienta  dzīvesvietu</t>
  </si>
  <si>
    <t>Papildus nepieciešamais finansējums atbilstoši Ministru kabineta rīkojumam "Par finanšu līdzekļu piešķiršanu no valsts budžeta programmas 
“Līdzekļi neparedzētiem gadījumiem”"</t>
  </si>
  <si>
    <t>Papildus nepieciešamais finansējums atbilstoši Ministru kabineta rīkojumam "Par apropriācijas palielināšanu Veselības ministrijai"</t>
  </si>
  <si>
    <t>kopā papildus nepieciešamais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</si>
</sst>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* #,##0.00_);_(* \(#,##0.00\);_(* &quot;-&quot;??_);_(@_)"/>
    <numFmt numFmtId="166" formatCode="_-&quot;€&quot;* #,##0.00_-;\-&quot;€&quot;* #,##0.00_-;_-&quot;€&quot;* &quot;-&quot;??_-;_-@_-"/>
    <numFmt numFmtId="167" formatCode="#,##0_ ;\-#,##0\ "/>
    <numFmt numFmtId="168" formatCode="_-&quot;€&quot;\ * #,##0_-;\-&quot;€&quot;\ * #,##0_-;_-&quot;€&quot;\ * &quot;-&quot;??_-;_-@_-"/>
    <numFmt numFmtId="169" formatCode="_-&quot;€&quot;* #,##0_-;\-&quot;€&quot;* #,##0_-;_-&quot;€&quot;* &quot;-&quot;??_-;_-@_-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22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165" fontId="4" fillId="0" borderId="1" xfId="1" applyFont="1" applyFill="1" applyBorder="1" applyAlignment="1">
      <alignment vertical="center"/>
    </xf>
    <xf numFmtId="165" fontId="4" fillId="0" borderId="4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7" borderId="0" xfId="0" applyFill="1"/>
    <xf numFmtId="0" fontId="3" fillId="7" borderId="0" xfId="0" applyFont="1" applyFill="1"/>
    <xf numFmtId="166" fontId="0" fillId="0" borderId="7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top"/>
    </xf>
    <xf numFmtId="166" fontId="0" fillId="3" borderId="1" xfId="0" applyNumberFormat="1" applyFill="1" applyBorder="1" applyAlignment="1">
      <alignment horizontal="center" vertical="center"/>
    </xf>
    <xf numFmtId="167" fontId="0" fillId="0" borderId="10" xfId="3" applyNumberFormat="1" applyFont="1" applyFill="1" applyBorder="1" applyAlignment="1">
      <alignment horizontal="center" vertical="center"/>
    </xf>
    <xf numFmtId="164" fontId="0" fillId="0" borderId="10" xfId="3" applyFont="1" applyFill="1" applyBorder="1"/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166" fontId="0" fillId="0" borderId="1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7" fontId="0" fillId="0" borderId="1" xfId="3" applyNumberFormat="1" applyFont="1" applyFill="1" applyBorder="1" applyAlignment="1">
      <alignment horizontal="center" vertical="center"/>
    </xf>
    <xf numFmtId="164" fontId="0" fillId="0" borderId="1" xfId="3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3" xfId="0" applyBorder="1"/>
    <xf numFmtId="0" fontId="11" fillId="0" borderId="17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7" fontId="0" fillId="0" borderId="1" xfId="3" applyNumberFormat="1" applyFont="1" applyBorder="1" applyAlignment="1">
      <alignment horizontal="center"/>
    </xf>
    <xf numFmtId="164" fontId="0" fillId="0" borderId="1" xfId="3" applyFont="1" applyBorder="1"/>
    <xf numFmtId="0" fontId="3" fillId="3" borderId="1" xfId="0" applyFont="1" applyFill="1" applyBorder="1" applyAlignment="1">
      <alignment horizontal="center" vertical="center"/>
    </xf>
    <xf numFmtId="0" fontId="0" fillId="8" borderId="0" xfId="0" applyFill="1"/>
    <xf numFmtId="0" fontId="11" fillId="8" borderId="17" xfId="0" applyFont="1" applyFill="1" applyBorder="1" applyAlignment="1">
      <alignment horizontal="center" vertical="center"/>
    </xf>
    <xf numFmtId="166" fontId="0" fillId="0" borderId="18" xfId="0" applyNumberFormat="1" applyBorder="1"/>
    <xf numFmtId="166" fontId="0" fillId="0" borderId="4" xfId="0" applyNumberFormat="1" applyBorder="1"/>
    <xf numFmtId="164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166" fontId="0" fillId="0" borderId="19" xfId="0" applyNumberFormat="1" applyBorder="1"/>
    <xf numFmtId="166" fontId="0" fillId="0" borderId="1" xfId="0" applyNumberFormat="1" applyBorder="1"/>
    <xf numFmtId="166" fontId="0" fillId="3" borderId="2" xfId="0" applyNumberFormat="1" applyFill="1" applyBorder="1" applyAlignment="1">
      <alignment horizontal="center" vertical="center"/>
    </xf>
    <xf numFmtId="167" fontId="0" fillId="0" borderId="1" xfId="3" applyNumberFormat="1" applyFont="1" applyBorder="1" applyAlignment="1">
      <alignment horizontal="center" vertical="center"/>
    </xf>
    <xf numFmtId="164" fontId="0" fillId="0" borderId="1" xfId="3" applyFont="1" applyBorder="1" applyAlignment="1">
      <alignment horizontal="center" vertical="center"/>
    </xf>
    <xf numFmtId="0" fontId="0" fillId="4" borderId="1" xfId="0" applyFill="1" applyBorder="1" applyAlignment="1">
      <alignment vertical="top" wrapText="1"/>
    </xf>
    <xf numFmtId="0" fontId="3" fillId="6" borderId="2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7" fontId="3" fillId="3" borderId="10" xfId="3" applyNumberFormat="1" applyFont="1" applyFill="1" applyBorder="1" applyAlignment="1">
      <alignment horizontal="center" vertical="center"/>
    </xf>
    <xf numFmtId="167" fontId="3" fillId="6" borderId="10" xfId="3" applyNumberFormat="1" applyFont="1" applyFill="1" applyBorder="1" applyAlignment="1">
      <alignment horizontal="center" vertical="center"/>
    </xf>
    <xf numFmtId="164" fontId="3" fillId="6" borderId="10" xfId="3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top" wrapText="1"/>
    </xf>
    <xf numFmtId="0" fontId="11" fillId="8" borderId="21" xfId="0" applyFont="1" applyFill="1" applyBorder="1" applyAlignment="1">
      <alignment horizontal="center" vertical="center"/>
    </xf>
    <xf numFmtId="167" fontId="0" fillId="0" borderId="4" xfId="3" applyNumberFormat="1" applyFont="1" applyFill="1" applyBorder="1" applyAlignment="1">
      <alignment horizontal="center" vertical="center"/>
    </xf>
    <xf numFmtId="164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166" fontId="0" fillId="4" borderId="12" xfId="0" applyNumberFormat="1" applyFill="1" applyBorder="1" applyAlignment="1">
      <alignment horizontal="center" vertical="center"/>
    </xf>
    <xf numFmtId="166" fontId="0" fillId="4" borderId="2" xfId="0" applyNumberFormat="1" applyFill="1" applyBorder="1" applyAlignment="1">
      <alignment horizontal="center" vertical="center"/>
    </xf>
    <xf numFmtId="167" fontId="0" fillId="4" borderId="1" xfId="3" applyNumberFormat="1" applyFont="1" applyFill="1" applyBorder="1" applyAlignment="1">
      <alignment horizontal="center" vertical="center"/>
    </xf>
    <xf numFmtId="164" fontId="0" fillId="4" borderId="1" xfId="3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8" borderId="13" xfId="0" applyFill="1" applyBorder="1"/>
    <xf numFmtId="0" fontId="0" fillId="0" borderId="3" xfId="0" applyBorder="1" applyAlignment="1">
      <alignment wrapText="1"/>
    </xf>
    <xf numFmtId="167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12" fillId="0" borderId="2" xfId="3" applyNumberFormat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/>
    </xf>
    <xf numFmtId="0" fontId="0" fillId="0" borderId="23" xfId="0" applyBorder="1" applyAlignment="1">
      <alignment vertical="top" wrapText="1"/>
    </xf>
    <xf numFmtId="167" fontId="0" fillId="0" borderId="2" xfId="3" applyNumberFormat="1" applyFont="1" applyBorder="1" applyAlignment="1">
      <alignment horizontal="center" vertical="center"/>
    </xf>
    <xf numFmtId="164" fontId="0" fillId="0" borderId="2" xfId="3" applyFont="1" applyBorder="1" applyAlignment="1">
      <alignment horizontal="center" vertical="center"/>
    </xf>
    <xf numFmtId="0" fontId="0" fillId="7" borderId="23" xfId="0" applyFill="1" applyBorder="1" applyAlignment="1">
      <alignment vertical="top" wrapText="1"/>
    </xf>
    <xf numFmtId="0" fontId="13" fillId="9" borderId="1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/>
    </xf>
    <xf numFmtId="0" fontId="0" fillId="3" borderId="2" xfId="0" applyFill="1" applyBorder="1"/>
    <xf numFmtId="0" fontId="3" fillId="6" borderId="24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left"/>
    </xf>
    <xf numFmtId="0" fontId="3" fillId="8" borderId="13" xfId="0" applyFont="1" applyFill="1" applyBorder="1"/>
    <xf numFmtId="0" fontId="3" fillId="10" borderId="26" xfId="0" applyFont="1" applyFill="1" applyBorder="1" applyAlignment="1">
      <alignment horizontal="center" vertical="center"/>
    </xf>
    <xf numFmtId="0" fontId="3" fillId="10" borderId="27" xfId="0" applyFont="1" applyFill="1" applyBorder="1" applyAlignment="1">
      <alignment horizontal="center" vertical="center"/>
    </xf>
    <xf numFmtId="167" fontId="3" fillId="10" borderId="27" xfId="3" applyNumberFormat="1" applyFont="1" applyFill="1" applyBorder="1" applyAlignment="1">
      <alignment horizontal="center" vertical="center"/>
    </xf>
    <xf numFmtId="164" fontId="3" fillId="10" borderId="27" xfId="3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0" fillId="3" borderId="29" xfId="0" applyFill="1" applyBorder="1"/>
    <xf numFmtId="10" fontId="14" fillId="11" borderId="7" xfId="0" applyNumberFormat="1" applyFont="1" applyFill="1" applyBorder="1" applyAlignment="1">
      <alignment horizontal="center" vertical="center" wrapText="1"/>
    </xf>
    <xf numFmtId="10" fontId="14" fillId="11" borderId="8" xfId="0" applyNumberFormat="1" applyFont="1" applyFill="1" applyBorder="1" applyAlignment="1">
      <alignment horizontal="center" vertical="center" wrapText="1"/>
    </xf>
    <xf numFmtId="10" fontId="14" fillId="11" borderId="30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13" fillId="9" borderId="26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left" vertical="center" wrapText="1"/>
    </xf>
    <xf numFmtId="0" fontId="11" fillId="8" borderId="1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top"/>
    </xf>
    <xf numFmtId="0" fontId="0" fillId="12" borderId="27" xfId="0" applyFill="1" applyBorder="1" applyAlignment="1">
      <alignment horizontal="left" vertical="top"/>
    </xf>
    <xf numFmtId="0" fontId="18" fillId="0" borderId="0" xfId="0" applyFont="1"/>
    <xf numFmtId="165" fontId="4" fillId="0" borderId="2" xfId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0" fillId="0" borderId="0" xfId="0" applyAlignment="1">
      <alignment horizontal="right"/>
    </xf>
    <xf numFmtId="168" fontId="0" fillId="0" borderId="5" xfId="0" applyNumberFormat="1" applyBorder="1"/>
    <xf numFmtId="169" fontId="0" fillId="0" borderId="5" xfId="0" applyNumberFormat="1" applyBorder="1"/>
    <xf numFmtId="169" fontId="0" fillId="0" borderId="0" xfId="0" applyNumberFormat="1"/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10" fillId="8" borderId="31" xfId="0" applyFont="1" applyFill="1" applyBorder="1" applyAlignment="1">
      <alignment horizontal="left" wrapText="1"/>
    </xf>
    <xf numFmtId="0" fontId="15" fillId="0" borderId="3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10" fillId="8" borderId="15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left" vertical="center" wrapText="1"/>
    </xf>
    <xf numFmtId="0" fontId="17" fillId="11" borderId="34" xfId="0" applyFont="1" applyFill="1" applyBorder="1" applyAlignment="1">
      <alignment horizontal="center" vertical="center" wrapText="1"/>
    </xf>
    <xf numFmtId="0" fontId="16" fillId="11" borderId="33" xfId="0" applyFont="1" applyFill="1" applyBorder="1" applyAlignment="1">
      <alignment horizontal="center" vertical="center" wrapText="1"/>
    </xf>
    <xf numFmtId="0" fontId="16" fillId="11" borderId="3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5" xfId="0" applyBorder="1" applyAlignment="1">
      <alignment vertical="top" wrapText="1"/>
    </xf>
    <xf numFmtId="0" fontId="10" fillId="0" borderId="2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7" fillId="11" borderId="32" xfId="0" applyFont="1" applyFill="1" applyBorder="1" applyAlignment="1">
      <alignment horizontal="center" vertical="center" wrapText="1"/>
    </xf>
    <xf numFmtId="0" fontId="21" fillId="11" borderId="34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4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3" fontId="3" fillId="0" borderId="1" xfId="0" applyNumberFormat="1" applyFont="1" applyBorder="1" applyAlignment="1">
      <alignment vertical="center"/>
    </xf>
  </cellXfs>
  <cellStyles count="4">
    <cellStyle name="Comma 4" xfId="1" xr:uid="{D192EA61-A303-476D-A0B7-AC2698BCFD41}"/>
    <cellStyle name="Currency 2" xfId="3" xr:uid="{D3C5396D-119D-4E3B-8CA8-409402CBD837}"/>
    <cellStyle name="Normal" xfId="0" builtinId="0"/>
    <cellStyle name="Normal 10 2 2" xfId="2" xr:uid="{0CE5E76B-2E26-4051-8A08-EAA1F960F2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_redirect$\Documents%20and%20Settings\bd-adija\Local%20Settings\Temporary%20Internet%20Files\Content.Outlook\U63RD855\MK_izdev_samaz_2las_2009_31%2010%2008_arES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su_planosanas_nodala\BUD&#381;ETS\2019\33_finansejums_2018_2021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is.skrastins\Desktop\Ivita\8_centralizeto_medikamentu_aprekin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_Sandra_Kasparenko\Downloads\VManotp_150221_L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1piel"/>
      <sheetName val="2piel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  <sheetName val="pec_str__PL"/>
      <sheetName val="pec_str__PL1"/>
      <sheetName val="pēc_izm_p__PL"/>
      <sheetName val="CITO_PL"/>
      <sheetName val="pamatlidzekli_(2)"/>
      <sheetName val="PT_mazv_inv_"/>
      <sheetName val="pēc_izm_p__MI"/>
      <sheetName val="pec_str_MI"/>
      <sheetName val="mazv_inventars"/>
      <sheetName val="CITO_MI"/>
      <sheetName val="mazv_inventars_(2)"/>
      <sheetName val="izm_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noZinojuma"/>
      <sheetName val="detalizēti"/>
      <sheetName val="ATSKAITE_likums_par_budžetu"/>
      <sheetName val="ATSKAITE_2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"/>
      <sheetName val="8.2."/>
      <sheetName val="8.3."/>
      <sheetName val="8.4."/>
      <sheetName val="8.5."/>
      <sheetName val="Sheet9"/>
      <sheetName val="Sheet10"/>
      <sheetName val="Sheet11"/>
      <sheetName val="Sheet1"/>
    </sheetNames>
    <sheetDataSet>
      <sheetData sheetId="0">
        <row r="5">
          <cell r="C5">
            <v>36540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ēšana"/>
      <sheetName val="sekvencēšana"/>
    </sheetNames>
    <sheetDataSet>
      <sheetData sheetId="0"/>
      <sheetData sheetId="1">
        <row r="34">
          <cell r="F34">
            <v>192088</v>
          </cell>
        </row>
        <row r="36">
          <cell r="F36">
            <v>3597118.9219999998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B243-F3AA-4A9A-9960-B68F21F40E3F}">
  <dimension ref="A1:O28"/>
  <sheetViews>
    <sheetView tabSelected="1" topLeftCell="D1" zoomScale="80" zoomScaleNormal="80" zoomScaleSheetLayoutView="100" workbookViewId="0">
      <selection activeCell="N9" sqref="N9"/>
    </sheetView>
  </sheetViews>
  <sheetFormatPr defaultColWidth="11.42578125" defaultRowHeight="15" x14ac:dyDescent="0.25"/>
  <cols>
    <col min="1" max="1" width="33" style="1" customWidth="1"/>
    <col min="2" max="2" width="11.42578125" style="1"/>
    <col min="3" max="3" width="14" style="1" customWidth="1"/>
    <col min="4" max="4" width="11.42578125" style="1"/>
    <col min="5" max="5" width="25" style="1" customWidth="1"/>
    <col min="6" max="7" width="18.140625" style="1" customWidth="1"/>
    <col min="8" max="8" width="19.140625" style="1" customWidth="1"/>
    <col min="9" max="9" width="16.85546875" style="1" customWidth="1"/>
    <col min="10" max="10" width="17.42578125" style="1" customWidth="1"/>
    <col min="11" max="11" width="19.140625" style="1" customWidth="1"/>
    <col min="12" max="13" width="26.140625" style="1" customWidth="1"/>
    <col min="14" max="14" width="16.85546875" style="1" customWidth="1"/>
    <col min="15" max="15" width="12.42578125" style="1" bestFit="1" customWidth="1"/>
    <col min="16" max="16384" width="11.42578125" style="1"/>
  </cols>
  <sheetData>
    <row r="1" spans="1:14" ht="75.75" customHeight="1" x14ac:dyDescent="0.25">
      <c r="A1" s="108" t="s">
        <v>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 t="s">
        <v>41</v>
      </c>
      <c r="N1" s="109"/>
    </row>
    <row r="2" spans="1:14" ht="20.25" customHeight="1" x14ac:dyDescent="0.25">
      <c r="A2" s="103" t="s">
        <v>87</v>
      </c>
      <c r="B2" s="10"/>
      <c r="C2" s="10"/>
      <c r="D2" s="10"/>
      <c r="E2" s="10"/>
      <c r="F2" s="10"/>
      <c r="G2" s="10"/>
      <c r="H2" s="12">
        <v>1.1669895389384</v>
      </c>
      <c r="I2" s="12">
        <f>J2/7743</f>
        <v>1.5247320160144646</v>
      </c>
      <c r="J2" s="12">
        <f>ROUND(SUM(((16300*5)+(10900*2))/7)*0.8,0)</f>
        <v>11806</v>
      </c>
      <c r="K2" s="12"/>
      <c r="L2" s="12"/>
      <c r="M2" s="12"/>
      <c r="N2" s="10"/>
    </row>
    <row r="3" spans="1:14" ht="114.75" customHeight="1" x14ac:dyDescent="0.25">
      <c r="A3" s="135"/>
      <c r="B3" s="136" t="s">
        <v>83</v>
      </c>
      <c r="C3" s="136" t="s">
        <v>26</v>
      </c>
      <c r="D3" s="136" t="s">
        <v>82</v>
      </c>
      <c r="E3" s="135"/>
      <c r="F3" s="136" t="s">
        <v>27</v>
      </c>
      <c r="G3" s="136" t="s">
        <v>38</v>
      </c>
      <c r="H3" s="136" t="s">
        <v>86</v>
      </c>
      <c r="I3" s="136" t="s">
        <v>39</v>
      </c>
      <c r="J3" s="136" t="s">
        <v>40</v>
      </c>
      <c r="K3" s="136" t="s">
        <v>42</v>
      </c>
      <c r="L3" s="136" t="s">
        <v>84</v>
      </c>
      <c r="M3" s="136" t="s">
        <v>85</v>
      </c>
      <c r="N3" s="9" t="s">
        <v>0</v>
      </c>
    </row>
    <row r="4" spans="1:14" s="4" customFormat="1" ht="45" x14ac:dyDescent="0.25">
      <c r="A4" s="135" t="s">
        <v>1</v>
      </c>
      <c r="B4" s="137">
        <v>47060</v>
      </c>
      <c r="C4" s="7">
        <v>4.8600000000000003</v>
      </c>
      <c r="D4" s="137">
        <v>47060</v>
      </c>
      <c r="E4" s="138" t="s">
        <v>2</v>
      </c>
      <c r="F4" s="7">
        <v>4.8600000000000003</v>
      </c>
      <c r="G4" s="6">
        <v>3349</v>
      </c>
      <c r="H4" s="7">
        <f>((G4*$H$2)*59)*F4</f>
        <v>1120651.0217435141</v>
      </c>
      <c r="I4" s="7">
        <f>ROUND(G4*$I$2,0)</f>
        <v>5106</v>
      </c>
      <c r="J4" s="7">
        <f t="shared" ref="J4:J13" si="0">ROUND(I4*0.87,0)</f>
        <v>4442</v>
      </c>
      <c r="K4" s="7">
        <f t="shared" ref="K4:K13" si="1">(J4*F4)*61</f>
        <v>1316875.32</v>
      </c>
      <c r="L4" s="7">
        <f t="shared" ref="L4:L13" si="2">((J4/2)*F4)*123</f>
        <v>1327669.3800000001</v>
      </c>
      <c r="M4" s="7">
        <f t="shared" ref="M4:M13" si="3">((J4/3)*F4)*122</f>
        <v>877916.88000000012</v>
      </c>
      <c r="N4" s="5">
        <f>H4+K4+L4+M4</f>
        <v>4643112.6017435137</v>
      </c>
    </row>
    <row r="5" spans="1:14" ht="45" x14ac:dyDescent="0.25">
      <c r="A5" s="139" t="s">
        <v>3</v>
      </c>
      <c r="B5" s="140">
        <v>47259</v>
      </c>
      <c r="C5" s="7">
        <v>25.83</v>
      </c>
      <c r="D5" s="140">
        <v>47259</v>
      </c>
      <c r="E5" s="139" t="s">
        <v>4</v>
      </c>
      <c r="F5" s="7"/>
      <c r="G5" s="6">
        <v>175</v>
      </c>
      <c r="H5" s="7">
        <f>((G5*$H$2)*59)*F5</f>
        <v>0</v>
      </c>
      <c r="I5" s="7"/>
      <c r="J5" s="7">
        <f t="shared" si="0"/>
        <v>0</v>
      </c>
      <c r="K5" s="7">
        <f t="shared" si="1"/>
        <v>0</v>
      </c>
      <c r="L5" s="7">
        <f t="shared" si="2"/>
        <v>0</v>
      </c>
      <c r="M5" s="7">
        <f t="shared" si="3"/>
        <v>0</v>
      </c>
      <c r="N5" s="5">
        <f>H5+I5+J5+K5+L5+M5</f>
        <v>0</v>
      </c>
    </row>
    <row r="6" spans="1:14" ht="30" x14ac:dyDescent="0.25">
      <c r="A6" s="141" t="s">
        <v>28</v>
      </c>
      <c r="B6" s="140">
        <v>60162</v>
      </c>
      <c r="C6" s="7"/>
      <c r="D6" s="140">
        <v>60162</v>
      </c>
      <c r="E6" s="139"/>
      <c r="F6" s="7">
        <v>5.13</v>
      </c>
      <c r="G6" s="6"/>
      <c r="H6" s="7">
        <f>((G5*$H$2)*59)*F6</f>
        <v>61812.226656334969</v>
      </c>
      <c r="I6" s="7">
        <f>ROUND(G5*$I$2,0)</f>
        <v>267</v>
      </c>
      <c r="J6" s="7">
        <f t="shared" si="0"/>
        <v>232</v>
      </c>
      <c r="K6" s="7">
        <f>(J6*F6)*61</f>
        <v>72599.760000000009</v>
      </c>
      <c r="L6" s="7">
        <f t="shared" si="2"/>
        <v>73194.840000000011</v>
      </c>
      <c r="M6" s="7">
        <f t="shared" si="3"/>
        <v>48399.839999999997</v>
      </c>
      <c r="N6" s="5">
        <f>H6+K6+L6+M6</f>
        <v>256006.66665633497</v>
      </c>
    </row>
    <row r="7" spans="1:14" ht="60" x14ac:dyDescent="0.25">
      <c r="A7" s="141" t="s">
        <v>97</v>
      </c>
      <c r="B7" s="140">
        <v>60164</v>
      </c>
      <c r="C7" s="7"/>
      <c r="D7" s="140">
        <v>60164</v>
      </c>
      <c r="E7" s="139"/>
      <c r="F7" s="7">
        <v>2.73</v>
      </c>
      <c r="G7" s="6"/>
      <c r="H7" s="7">
        <f>((G5*$H$2)*59)*F7</f>
        <v>32894.225881441416</v>
      </c>
      <c r="I7" s="7">
        <f>ROUND(G5*$I$2,0)</f>
        <v>267</v>
      </c>
      <c r="J7" s="7">
        <f t="shared" si="0"/>
        <v>232</v>
      </c>
      <c r="K7" s="7">
        <f t="shared" si="1"/>
        <v>38634.959999999999</v>
      </c>
      <c r="L7" s="7">
        <f t="shared" si="2"/>
        <v>38951.64</v>
      </c>
      <c r="M7" s="7">
        <f t="shared" si="3"/>
        <v>25756.639999999996</v>
      </c>
      <c r="N7" s="5">
        <f>H7+K7+L7+M7</f>
        <v>136237.4658814414</v>
      </c>
    </row>
    <row r="8" spans="1:14" s="4" customFormat="1" ht="45" x14ac:dyDescent="0.25">
      <c r="A8" s="139" t="s">
        <v>5</v>
      </c>
      <c r="B8" s="140">
        <v>47079</v>
      </c>
      <c r="C8" s="7">
        <v>1.86</v>
      </c>
      <c r="D8" s="140">
        <v>47079</v>
      </c>
      <c r="E8" s="139" t="s">
        <v>6</v>
      </c>
      <c r="F8" s="7">
        <v>1.86</v>
      </c>
      <c r="G8" s="6">
        <v>3613</v>
      </c>
      <c r="H8" s="7">
        <f t="shared" ref="H8:H13" si="4">((G8*$H$2)*59)*F8</f>
        <v>462700.40582720033</v>
      </c>
      <c r="I8" s="7">
        <f t="shared" ref="I8:I13" si="5">ROUND(G8*$I$2,0)</f>
        <v>5509</v>
      </c>
      <c r="J8" s="7">
        <f t="shared" si="0"/>
        <v>4793</v>
      </c>
      <c r="K8" s="7">
        <f t="shared" si="1"/>
        <v>543813.78</v>
      </c>
      <c r="L8" s="7">
        <f t="shared" si="2"/>
        <v>548271.27</v>
      </c>
      <c r="M8" s="7">
        <f t="shared" si="3"/>
        <v>362542.52</v>
      </c>
      <c r="N8" s="5">
        <f>H8+K8+L8+M8</f>
        <v>1917327.9758272003</v>
      </c>
    </row>
    <row r="9" spans="1:14" s="4" customFormat="1" ht="49.5" customHeight="1" x14ac:dyDescent="0.25">
      <c r="A9" s="140" t="s">
        <v>7</v>
      </c>
      <c r="B9" s="140">
        <v>47073</v>
      </c>
      <c r="C9" s="7">
        <v>34.81</v>
      </c>
      <c r="D9" s="140">
        <v>47073</v>
      </c>
      <c r="E9" s="141" t="s">
        <v>8</v>
      </c>
      <c r="F9" s="7">
        <v>34.81</v>
      </c>
      <c r="G9" s="6">
        <v>5121</v>
      </c>
      <c r="H9" s="7">
        <f t="shared" si="4"/>
        <v>12273764.150747815</v>
      </c>
      <c r="I9" s="7">
        <f t="shared" si="5"/>
        <v>7808</v>
      </c>
      <c r="J9" s="7">
        <f t="shared" si="0"/>
        <v>6793</v>
      </c>
      <c r="K9" s="7">
        <f t="shared" si="1"/>
        <v>14424324.130000001</v>
      </c>
      <c r="L9" s="7">
        <f t="shared" si="2"/>
        <v>14542556.295000002</v>
      </c>
      <c r="M9" s="7">
        <f t="shared" si="3"/>
        <v>9616216.0866666678</v>
      </c>
      <c r="N9" s="5">
        <f t="shared" ref="N9:N21" si="6">H9+K9+L9+M9</f>
        <v>50856860.662414484</v>
      </c>
    </row>
    <row r="10" spans="1:14" ht="66.75" customHeight="1" x14ac:dyDescent="0.25">
      <c r="A10" s="141" t="s">
        <v>9</v>
      </c>
      <c r="B10" s="142">
        <v>47075</v>
      </c>
      <c r="C10" s="8">
        <v>41.84</v>
      </c>
      <c r="D10" s="142">
        <v>47075</v>
      </c>
      <c r="E10" s="143" t="s">
        <v>10</v>
      </c>
      <c r="F10" s="8">
        <v>41.84</v>
      </c>
      <c r="G10" s="11">
        <v>678</v>
      </c>
      <c r="H10" s="7">
        <f t="shared" si="4"/>
        <v>1953171.3460519246</v>
      </c>
      <c r="I10" s="7">
        <f t="shared" si="5"/>
        <v>1034</v>
      </c>
      <c r="J10" s="7">
        <f t="shared" si="0"/>
        <v>900</v>
      </c>
      <c r="K10" s="7">
        <f t="shared" si="1"/>
        <v>2297016</v>
      </c>
      <c r="L10" s="7">
        <f t="shared" si="2"/>
        <v>2315844</v>
      </c>
      <c r="M10" s="7">
        <f t="shared" si="3"/>
        <v>1531344.0000000002</v>
      </c>
      <c r="N10" s="5">
        <f t="shared" si="6"/>
        <v>8097375.3460519249</v>
      </c>
    </row>
    <row r="11" spans="1:14" ht="40.5" customHeight="1" x14ac:dyDescent="0.25">
      <c r="A11" s="141"/>
      <c r="B11" s="142"/>
      <c r="C11" s="8"/>
      <c r="D11" s="142" t="s">
        <v>32</v>
      </c>
      <c r="E11" s="143" t="s">
        <v>33</v>
      </c>
      <c r="F11" s="8">
        <v>1.3</v>
      </c>
      <c r="G11" s="11">
        <v>17</v>
      </c>
      <c r="H11" s="7">
        <f t="shared" si="4"/>
        <v>1521.6376598217796</v>
      </c>
      <c r="I11" s="7">
        <f t="shared" si="5"/>
        <v>26</v>
      </c>
      <c r="J11" s="7">
        <f t="shared" si="0"/>
        <v>23</v>
      </c>
      <c r="K11" s="7">
        <f t="shared" si="1"/>
        <v>1823.9</v>
      </c>
      <c r="L11" s="7">
        <f t="shared" si="2"/>
        <v>1838.8500000000001</v>
      </c>
      <c r="M11" s="7">
        <f t="shared" si="3"/>
        <v>1215.9333333333334</v>
      </c>
      <c r="N11" s="5">
        <f t="shared" si="6"/>
        <v>6400.3209931551137</v>
      </c>
    </row>
    <row r="12" spans="1:14" ht="51.75" customHeight="1" x14ac:dyDescent="0.25">
      <c r="A12" s="140" t="s">
        <v>11</v>
      </c>
      <c r="B12" s="140" t="s">
        <v>12</v>
      </c>
      <c r="C12" s="7">
        <v>55.76</v>
      </c>
      <c r="D12" s="140">
        <v>47078</v>
      </c>
      <c r="E12" s="141" t="s">
        <v>13</v>
      </c>
      <c r="F12" s="7">
        <v>55.76</v>
      </c>
      <c r="G12" s="6">
        <v>17</v>
      </c>
      <c r="H12" s="7">
        <f t="shared" si="4"/>
        <v>65266.550701278793</v>
      </c>
      <c r="I12" s="7">
        <f t="shared" si="5"/>
        <v>26</v>
      </c>
      <c r="J12" s="7">
        <f t="shared" si="0"/>
        <v>23</v>
      </c>
      <c r="K12" s="7">
        <f t="shared" si="1"/>
        <v>78231.28</v>
      </c>
      <c r="L12" s="7">
        <f t="shared" si="2"/>
        <v>78872.52</v>
      </c>
      <c r="M12" s="7">
        <f t="shared" si="3"/>
        <v>52154.186666666668</v>
      </c>
      <c r="N12" s="5">
        <f t="shared" si="6"/>
        <v>274524.53736794542</v>
      </c>
    </row>
    <row r="13" spans="1:14" s="4" customFormat="1" ht="60" customHeight="1" x14ac:dyDescent="0.25">
      <c r="A13" s="140" t="s">
        <v>14</v>
      </c>
      <c r="B13" s="137" t="s">
        <v>15</v>
      </c>
      <c r="C13" s="101">
        <v>171.06</v>
      </c>
      <c r="D13" s="137" t="s">
        <v>15</v>
      </c>
      <c r="E13" s="144" t="s">
        <v>16</v>
      </c>
      <c r="F13" s="101">
        <v>171.06</v>
      </c>
      <c r="G13" s="102">
        <v>4</v>
      </c>
      <c r="H13" s="7">
        <f t="shared" si="4"/>
        <v>47111.554405269431</v>
      </c>
      <c r="I13" s="7">
        <f t="shared" si="5"/>
        <v>6</v>
      </c>
      <c r="J13" s="7">
        <f t="shared" si="0"/>
        <v>5</v>
      </c>
      <c r="K13" s="7">
        <f t="shared" si="1"/>
        <v>52173.299999999996</v>
      </c>
      <c r="L13" s="7">
        <f t="shared" si="2"/>
        <v>52600.95</v>
      </c>
      <c r="M13" s="7">
        <f t="shared" si="3"/>
        <v>34782.200000000004</v>
      </c>
      <c r="N13" s="5">
        <f t="shared" si="6"/>
        <v>186668.00440526946</v>
      </c>
    </row>
    <row r="14" spans="1:14" ht="45" x14ac:dyDescent="0.25">
      <c r="A14" s="145"/>
      <c r="B14" s="140"/>
      <c r="C14" s="7"/>
      <c r="D14" s="144" t="s">
        <v>34</v>
      </c>
      <c r="E14" s="144" t="s">
        <v>35</v>
      </c>
      <c r="F14" s="101">
        <v>14.04</v>
      </c>
      <c r="G14" s="102"/>
      <c r="H14" s="7">
        <f>(400*F14)*2</f>
        <v>11232</v>
      </c>
      <c r="I14" s="7">
        <f>1000*2</f>
        <v>2000</v>
      </c>
      <c r="J14" s="7">
        <f>I14</f>
        <v>2000</v>
      </c>
      <c r="K14" s="7">
        <f>(J14*F14)</f>
        <v>28080</v>
      </c>
      <c r="L14" s="7">
        <f>(500*4)*F14</f>
        <v>28080</v>
      </c>
      <c r="M14" s="7">
        <f>(300*4)*F14</f>
        <v>16848</v>
      </c>
      <c r="N14" s="5">
        <f t="shared" si="6"/>
        <v>84240</v>
      </c>
    </row>
    <row r="15" spans="1:14" ht="105" x14ac:dyDescent="0.25">
      <c r="A15" s="145"/>
      <c r="B15" s="140"/>
      <c r="C15" s="7"/>
      <c r="D15" s="144" t="s">
        <v>36</v>
      </c>
      <c r="E15" s="144" t="s">
        <v>37</v>
      </c>
      <c r="F15" s="101">
        <v>12.200000000000001</v>
      </c>
      <c r="G15" s="102"/>
      <c r="H15" s="7">
        <f>(400*F15)*2</f>
        <v>9760</v>
      </c>
      <c r="I15" s="7">
        <f>1000*2</f>
        <v>2000</v>
      </c>
      <c r="J15" s="7">
        <f>I15</f>
        <v>2000</v>
      </c>
      <c r="K15" s="7">
        <f>(J15*F15)</f>
        <v>24400.000000000004</v>
      </c>
      <c r="L15" s="7">
        <f>(500*4)*F15</f>
        <v>24400.000000000004</v>
      </c>
      <c r="M15" s="7">
        <f>(300*4)*F15</f>
        <v>14640.000000000002</v>
      </c>
      <c r="N15" s="5">
        <f t="shared" si="6"/>
        <v>73200</v>
      </c>
    </row>
    <row r="16" spans="1:14" s="4" customFormat="1" ht="56.25" customHeight="1" x14ac:dyDescent="0.25">
      <c r="A16" s="140" t="s">
        <v>17</v>
      </c>
      <c r="B16" s="141" t="s">
        <v>18</v>
      </c>
      <c r="C16" s="7">
        <v>6.79</v>
      </c>
      <c r="D16" s="141" t="s">
        <v>18</v>
      </c>
      <c r="E16" s="141" t="s">
        <v>19</v>
      </c>
      <c r="F16" s="7">
        <v>6.79</v>
      </c>
      <c r="G16" s="6">
        <v>2</v>
      </c>
      <c r="H16" s="7">
        <f t="shared" ref="H16:H21" si="7">((G16*$H$2)*59)*F16</f>
        <v>935.01535838822474</v>
      </c>
      <c r="I16" s="7">
        <f>G16*$I$2</f>
        <v>3.0494640320289292</v>
      </c>
      <c r="J16" s="7">
        <f>ROUND(I16*0.87,0)</f>
        <v>3</v>
      </c>
      <c r="K16" s="7">
        <f t="shared" ref="K16:K21" si="8">(J16*F16)*61</f>
        <v>1242.5700000000002</v>
      </c>
      <c r="L16" s="7">
        <f t="shared" ref="L16:L21" si="9">((J16/2)*F16)*123</f>
        <v>1252.7550000000001</v>
      </c>
      <c r="M16" s="7">
        <f t="shared" ref="M16:M21" si="10">((J16/3)*F16)*122</f>
        <v>828.38</v>
      </c>
      <c r="N16" s="5">
        <f t="shared" si="6"/>
        <v>4258.7203583882247</v>
      </c>
    </row>
    <row r="17" spans="1:15" s="4" customFormat="1" ht="88.5" customHeight="1" x14ac:dyDescent="0.25">
      <c r="A17" s="140" t="s">
        <v>20</v>
      </c>
      <c r="B17" s="141" t="s">
        <v>21</v>
      </c>
      <c r="C17" s="7">
        <v>20.48</v>
      </c>
      <c r="D17" s="141" t="s">
        <v>21</v>
      </c>
      <c r="E17" s="141" t="s">
        <v>22</v>
      </c>
      <c r="F17" s="7">
        <v>20.48</v>
      </c>
      <c r="G17" s="6">
        <v>8</v>
      </c>
      <c r="H17" s="7">
        <f t="shared" si="7"/>
        <v>11280.774397520379</v>
      </c>
      <c r="I17" s="7">
        <f>ROUND(G17*$I$2,0)</f>
        <v>12</v>
      </c>
      <c r="J17" s="7">
        <f>ROUND(I17*0.87,0)</f>
        <v>10</v>
      </c>
      <c r="K17" s="7">
        <f t="shared" si="8"/>
        <v>12492.800000000001</v>
      </c>
      <c r="L17" s="7">
        <f t="shared" si="9"/>
        <v>12595.2</v>
      </c>
      <c r="M17" s="7">
        <f t="shared" si="10"/>
        <v>8328.5333333333328</v>
      </c>
      <c r="N17" s="5">
        <f t="shared" si="6"/>
        <v>44697.30773085371</v>
      </c>
    </row>
    <row r="18" spans="1:15" s="4" customFormat="1" ht="90" x14ac:dyDescent="0.25">
      <c r="A18" s="141" t="s">
        <v>23</v>
      </c>
      <c r="B18" s="141" t="s">
        <v>24</v>
      </c>
      <c r="C18" s="7">
        <v>13.32</v>
      </c>
      <c r="D18" s="141" t="s">
        <v>24</v>
      </c>
      <c r="E18" s="141" t="s">
        <v>25</v>
      </c>
      <c r="F18" s="7">
        <v>13.32</v>
      </c>
      <c r="G18" s="6">
        <f>25+22+2</f>
        <v>49</v>
      </c>
      <c r="H18" s="7">
        <f t="shared" si="7"/>
        <v>44938.573204184577</v>
      </c>
      <c r="I18" s="7">
        <f>ROUND(G18*$I$2,0)</f>
        <v>75</v>
      </c>
      <c r="J18" s="7">
        <f>ROUND(I18*0.87,0)</f>
        <v>65</v>
      </c>
      <c r="K18" s="7">
        <f t="shared" si="8"/>
        <v>52813.8</v>
      </c>
      <c r="L18" s="7">
        <f t="shared" si="9"/>
        <v>53246.700000000004</v>
      </c>
      <c r="M18" s="7">
        <f t="shared" si="10"/>
        <v>35209.200000000004</v>
      </c>
      <c r="N18" s="5">
        <f t="shared" si="6"/>
        <v>186208.2732041846</v>
      </c>
    </row>
    <row r="19" spans="1:15" ht="75" x14ac:dyDescent="0.25">
      <c r="A19" s="146"/>
      <c r="B19" s="146"/>
      <c r="C19" s="146"/>
      <c r="D19" s="141">
        <v>47403</v>
      </c>
      <c r="E19" s="141" t="s">
        <v>29</v>
      </c>
      <c r="F19" s="7">
        <v>8.26</v>
      </c>
      <c r="G19" s="6">
        <v>287</v>
      </c>
      <c r="H19" s="7">
        <f t="shared" si="7"/>
        <v>163222.83570709082</v>
      </c>
      <c r="I19" s="7">
        <f>ROUND(G19*$I$2,0)</f>
        <v>438</v>
      </c>
      <c r="J19" s="7">
        <f>ROUND(I19*1.13,0)</f>
        <v>495</v>
      </c>
      <c r="K19" s="7">
        <f t="shared" si="8"/>
        <v>249410.69999999998</v>
      </c>
      <c r="L19" s="7">
        <f t="shared" si="9"/>
        <v>251455.05</v>
      </c>
      <c r="M19" s="7">
        <f t="shared" si="10"/>
        <v>166273.79999999999</v>
      </c>
      <c r="N19" s="5">
        <f t="shared" si="6"/>
        <v>830362.38570709084</v>
      </c>
    </row>
    <row r="20" spans="1:15" ht="75" x14ac:dyDescent="0.25">
      <c r="A20" s="146"/>
      <c r="B20" s="146"/>
      <c r="C20" s="147"/>
      <c r="D20" s="141">
        <v>47405</v>
      </c>
      <c r="E20" s="141" t="s">
        <v>30</v>
      </c>
      <c r="F20" s="7">
        <v>3.36</v>
      </c>
      <c r="G20" s="6">
        <v>2545</v>
      </c>
      <c r="H20" s="7">
        <f t="shared" si="7"/>
        <v>588770.49577683269</v>
      </c>
      <c r="I20" s="7">
        <f>ROUND(G20*$I$2,0)</f>
        <v>3880</v>
      </c>
      <c r="J20" s="7">
        <f>ROUND(I20*1.13,0)</f>
        <v>4384</v>
      </c>
      <c r="K20" s="7">
        <f t="shared" si="8"/>
        <v>898544.64000000001</v>
      </c>
      <c r="L20" s="7">
        <f t="shared" si="9"/>
        <v>905909.76000000001</v>
      </c>
      <c r="M20" s="7">
        <f t="shared" si="10"/>
        <v>599029.76000000001</v>
      </c>
      <c r="N20" s="5">
        <f t="shared" si="6"/>
        <v>2992254.6557768323</v>
      </c>
    </row>
    <row r="21" spans="1:15" ht="60" x14ac:dyDescent="0.25">
      <c r="A21" s="146"/>
      <c r="B21" s="146"/>
      <c r="C21" s="146"/>
      <c r="D21" s="141">
        <v>47409</v>
      </c>
      <c r="E21" s="141" t="s">
        <v>31</v>
      </c>
      <c r="F21" s="7">
        <v>11.21</v>
      </c>
      <c r="G21" s="6">
        <v>2257</v>
      </c>
      <c r="H21" s="7">
        <f t="shared" si="7"/>
        <v>1742032.0715846634</v>
      </c>
      <c r="I21" s="7">
        <f>ROUND(G21*$I$2,0)</f>
        <v>3441</v>
      </c>
      <c r="J21" s="7">
        <f>ROUND(I21*1.13,0)</f>
        <v>3888</v>
      </c>
      <c r="K21" s="7">
        <f t="shared" si="8"/>
        <v>2658653.2800000003</v>
      </c>
      <c r="L21" s="7">
        <f t="shared" si="9"/>
        <v>2680445.52</v>
      </c>
      <c r="M21" s="7">
        <f t="shared" si="10"/>
        <v>1772435.5200000003</v>
      </c>
      <c r="N21" s="5">
        <f t="shared" si="6"/>
        <v>8853566.3915846627</v>
      </c>
    </row>
    <row r="22" spans="1:15" x14ac:dyDescent="0.25">
      <c r="A22" s="148"/>
      <c r="B22" s="148"/>
      <c r="C22" s="148"/>
      <c r="D22" s="148"/>
      <c r="E22" s="148"/>
      <c r="F22" s="148"/>
      <c r="G22" s="149"/>
      <c r="H22" s="149">
        <f>SUM(H4:H21)</f>
        <v>18591064.885703281</v>
      </c>
      <c r="I22" s="149"/>
      <c r="J22" s="149"/>
      <c r="K22" s="149">
        <f>SUM(K4:K21)</f>
        <v>22751130.220000006</v>
      </c>
      <c r="L22" s="149">
        <f>SUM(L4:L21)</f>
        <v>22937184.730000004</v>
      </c>
      <c r="M22" s="149">
        <f>SUM(M4:M21)</f>
        <v>15163921.480000002</v>
      </c>
      <c r="N22" s="3">
        <f>ROUND(SUM(N4:N21),0)</f>
        <v>79443301</v>
      </c>
    </row>
    <row r="24" spans="1:15" x14ac:dyDescent="0.25">
      <c r="A24" s="1" t="s">
        <v>44</v>
      </c>
      <c r="N24" s="3"/>
      <c r="O24" s="3"/>
    </row>
    <row r="25" spans="1:15" x14ac:dyDescent="0.25">
      <c r="H25" s="2"/>
    </row>
    <row r="26" spans="1:15" x14ac:dyDescent="0.25">
      <c r="C26" s="2"/>
      <c r="F26" s="2"/>
      <c r="G26" s="2"/>
      <c r="H26" s="2"/>
      <c r="I26" s="2"/>
      <c r="J26" s="2"/>
      <c r="K26" s="2"/>
      <c r="L26" s="150" t="s">
        <v>98</v>
      </c>
      <c r="M26" s="150"/>
      <c r="N26" s="151">
        <f>N22+[8]sekvencēšana!F36</f>
        <v>83040419.922000006</v>
      </c>
    </row>
    <row r="27" spans="1:15" x14ac:dyDescent="0.25">
      <c r="L27" s="150" t="s">
        <v>99</v>
      </c>
      <c r="M27" s="150"/>
      <c r="N27" s="151">
        <f>[8]sekvencēšana!F34</f>
        <v>192088</v>
      </c>
    </row>
    <row r="28" spans="1:15" x14ac:dyDescent="0.25">
      <c r="L28" s="152" t="s">
        <v>100</v>
      </c>
      <c r="M28" s="152"/>
      <c r="N28" s="153">
        <f>N27+N26</f>
        <v>83232507.922000006</v>
      </c>
    </row>
  </sheetData>
  <mergeCells count="5">
    <mergeCell ref="L27:M27"/>
    <mergeCell ref="L28:M28"/>
    <mergeCell ref="A1:L1"/>
    <mergeCell ref="M1:N1"/>
    <mergeCell ref="L26:M26"/>
  </mergeCells>
  <pageMargins left="0.23622047244094491" right="0.23622047244094491" top="0.74803149606299213" bottom="0.74803149606299213" header="0.31496062992125984" footer="0.31496062992125984"/>
  <pageSetup paperSize="9" scale="50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AD45-E92C-4CA8-B3E7-59F840DA5584}">
  <dimension ref="A1:P42"/>
  <sheetViews>
    <sheetView topLeftCell="C21" zoomScale="80" zoomScaleNormal="80" workbookViewId="0">
      <selection activeCell="F45" sqref="F45"/>
    </sheetView>
  </sheetViews>
  <sheetFormatPr defaultColWidth="8.85546875" defaultRowHeight="15" x14ac:dyDescent="0.25"/>
  <cols>
    <col min="1" max="1" width="7" customWidth="1"/>
    <col min="2" max="2" width="5.85546875" customWidth="1"/>
    <col min="3" max="3" width="38" customWidth="1"/>
    <col min="4" max="4" width="14.28515625" customWidth="1"/>
    <col min="5" max="5" width="14.42578125" customWidth="1"/>
    <col min="6" max="6" width="17" customWidth="1"/>
    <col min="7" max="7" width="13.5703125" customWidth="1"/>
    <col min="8" max="8" width="14.28515625" customWidth="1"/>
    <col min="9" max="9" width="14.7109375" customWidth="1"/>
    <col min="10" max="10" width="14.42578125" customWidth="1"/>
    <col min="11" max="11" width="13.5703125" customWidth="1"/>
    <col min="12" max="12" width="13.7109375" customWidth="1"/>
    <col min="13" max="13" width="13.85546875" customWidth="1"/>
    <col min="14" max="15" width="14" customWidth="1"/>
    <col min="16" max="16" width="13" customWidth="1"/>
  </cols>
  <sheetData>
    <row r="1" spans="1:16" ht="80.25" customHeight="1" thickBot="1" x14ac:dyDescent="0.45">
      <c r="D1" s="115" t="s">
        <v>81</v>
      </c>
      <c r="E1" s="115"/>
      <c r="F1" s="115"/>
      <c r="G1" s="115"/>
      <c r="H1" s="115"/>
      <c r="I1" s="115"/>
      <c r="J1" s="115"/>
      <c r="K1" s="115"/>
      <c r="L1" s="115"/>
      <c r="M1" s="100"/>
      <c r="N1" s="100"/>
      <c r="O1" s="109" t="s">
        <v>80</v>
      </c>
      <c r="P1" s="110"/>
    </row>
    <row r="2" spans="1:16" ht="57.75" customHeight="1" x14ac:dyDescent="0.25">
      <c r="A2" s="125" t="s">
        <v>79</v>
      </c>
      <c r="B2" s="125"/>
      <c r="C2" s="126"/>
      <c r="D2" s="99">
        <v>900</v>
      </c>
    </row>
    <row r="3" spans="1:16" ht="60" customHeight="1" thickBot="1" x14ac:dyDescent="0.3">
      <c r="A3" s="125" t="s">
        <v>78</v>
      </c>
      <c r="B3" s="125"/>
      <c r="C3" s="126"/>
      <c r="D3" s="98">
        <f>D2*31</f>
        <v>27900</v>
      </c>
    </row>
    <row r="4" spans="1:16" ht="24" customHeight="1" thickBot="1" x14ac:dyDescent="0.3">
      <c r="A4" s="97"/>
      <c r="B4" s="96"/>
      <c r="C4" s="96"/>
      <c r="D4" s="96"/>
      <c r="E4" s="96"/>
      <c r="F4" s="96"/>
      <c r="G4" s="122" t="s">
        <v>77</v>
      </c>
      <c r="H4" s="123"/>
      <c r="I4" s="123"/>
      <c r="J4" s="123"/>
      <c r="K4" s="123"/>
      <c r="L4" s="123"/>
      <c r="M4" s="123"/>
      <c r="N4" s="123"/>
      <c r="O4" s="123"/>
      <c r="P4" s="124"/>
    </row>
    <row r="5" spans="1:16" ht="48.75" customHeight="1" thickBot="1" x14ac:dyDescent="0.3">
      <c r="A5" s="97"/>
      <c r="B5" s="96"/>
      <c r="C5" s="96"/>
      <c r="D5" s="96"/>
      <c r="E5" s="96"/>
      <c r="F5" s="96"/>
      <c r="G5" s="122" t="s">
        <v>89</v>
      </c>
      <c r="H5" s="130"/>
      <c r="I5" s="131"/>
      <c r="J5" s="132" t="s">
        <v>88</v>
      </c>
      <c r="K5" s="133"/>
      <c r="L5" s="133"/>
      <c r="M5" s="133"/>
      <c r="N5" s="133"/>
      <c r="O5" s="133"/>
      <c r="P5" s="134"/>
    </row>
    <row r="6" spans="1:16" ht="21" customHeight="1" x14ac:dyDescent="0.25">
      <c r="A6" s="97"/>
      <c r="B6" s="96"/>
      <c r="C6" s="96"/>
      <c r="D6" s="96"/>
      <c r="E6" s="96"/>
      <c r="F6" s="96"/>
      <c r="G6" s="95" t="s">
        <v>70</v>
      </c>
      <c r="H6" s="94" t="s">
        <v>69</v>
      </c>
      <c r="I6" s="94" t="s">
        <v>68</v>
      </c>
      <c r="J6" s="94" t="s">
        <v>67</v>
      </c>
      <c r="K6" s="94" t="s">
        <v>66</v>
      </c>
      <c r="L6" s="94" t="s">
        <v>65</v>
      </c>
      <c r="M6" s="94" t="s">
        <v>64</v>
      </c>
      <c r="N6" s="94" t="s">
        <v>63</v>
      </c>
      <c r="O6" s="94" t="s">
        <v>62</v>
      </c>
      <c r="P6" s="93" t="s">
        <v>61</v>
      </c>
    </row>
    <row r="7" spans="1:16" ht="45" customHeight="1" thickBot="1" x14ac:dyDescent="0.45">
      <c r="A7" s="92">
        <v>1</v>
      </c>
      <c r="B7" s="111" t="s">
        <v>76</v>
      </c>
      <c r="C7" s="111"/>
      <c r="D7" s="111"/>
      <c r="E7" s="111"/>
      <c r="F7" s="112"/>
      <c r="G7" s="91">
        <v>1</v>
      </c>
      <c r="H7" s="90">
        <v>1</v>
      </c>
      <c r="I7" s="90">
        <v>0.5</v>
      </c>
      <c r="J7" s="90">
        <v>0.5</v>
      </c>
      <c r="K7" s="90">
        <v>0.5</v>
      </c>
      <c r="L7" s="90">
        <v>0.5</v>
      </c>
      <c r="M7" s="90">
        <v>0.33</v>
      </c>
      <c r="N7" s="90">
        <v>0.33</v>
      </c>
      <c r="O7" s="90">
        <v>0.33</v>
      </c>
      <c r="P7" s="89">
        <v>0.33</v>
      </c>
    </row>
    <row r="8" spans="1:16" ht="57" customHeight="1" x14ac:dyDescent="0.25">
      <c r="A8" s="65"/>
      <c r="B8" s="88"/>
      <c r="C8" s="87" t="s">
        <v>75</v>
      </c>
      <c r="D8" s="86" t="s">
        <v>55</v>
      </c>
      <c r="E8" s="85">
        <f>SUM(G8:P8)</f>
        <v>148428</v>
      </c>
      <c r="F8" s="85"/>
      <c r="G8" s="84">
        <f>G7*D3</f>
        <v>27900</v>
      </c>
      <c r="H8" s="84">
        <f>H7*D3</f>
        <v>27900</v>
      </c>
      <c r="I8" s="84">
        <f>I7*D3</f>
        <v>13950</v>
      </c>
      <c r="J8" s="84">
        <f>J7*D3</f>
        <v>13950</v>
      </c>
      <c r="K8" s="84">
        <f>K7*D3</f>
        <v>13950</v>
      </c>
      <c r="L8" s="84">
        <f>L7*D3</f>
        <v>13950</v>
      </c>
      <c r="M8" s="84">
        <f>M7*D3</f>
        <v>9207</v>
      </c>
      <c r="N8" s="84">
        <f>N7*D3</f>
        <v>9207</v>
      </c>
      <c r="O8" s="84">
        <f>O7*D3</f>
        <v>9207</v>
      </c>
      <c r="P8" s="83">
        <f>P7*D3</f>
        <v>9207</v>
      </c>
    </row>
    <row r="9" spans="1:16" ht="49.5" customHeight="1" thickBot="1" x14ac:dyDescent="0.3">
      <c r="A9" s="82"/>
      <c r="B9" s="81"/>
      <c r="C9" s="80" t="s">
        <v>56</v>
      </c>
      <c r="D9" s="54" t="s">
        <v>55</v>
      </c>
      <c r="E9" s="53">
        <f>SUM(G9:P9)</f>
        <v>15360</v>
      </c>
      <c r="F9" s="53"/>
      <c r="G9" s="51">
        <f>384*4</f>
        <v>1536</v>
      </c>
      <c r="H9" s="51">
        <f t="shared" ref="H9:P9" si="0">384*4</f>
        <v>1536</v>
      </c>
      <c r="I9" s="51">
        <f t="shared" si="0"/>
        <v>1536</v>
      </c>
      <c r="J9" s="51">
        <f t="shared" si="0"/>
        <v>1536</v>
      </c>
      <c r="K9" s="51">
        <f t="shared" si="0"/>
        <v>1536</v>
      </c>
      <c r="L9" s="51">
        <f t="shared" si="0"/>
        <v>1536</v>
      </c>
      <c r="M9" s="51">
        <f t="shared" si="0"/>
        <v>1536</v>
      </c>
      <c r="N9" s="51">
        <f t="shared" si="0"/>
        <v>1536</v>
      </c>
      <c r="O9" s="51">
        <f t="shared" si="0"/>
        <v>1536</v>
      </c>
      <c r="P9" s="51">
        <f t="shared" si="0"/>
        <v>1536</v>
      </c>
    </row>
    <row r="10" spans="1:16" ht="72" customHeight="1" x14ac:dyDescent="0.25">
      <c r="A10" s="65"/>
      <c r="B10" s="79"/>
      <c r="C10" s="78" t="s">
        <v>74</v>
      </c>
      <c r="D10" s="77" t="s">
        <v>73</v>
      </c>
      <c r="E10" s="77" t="s">
        <v>72</v>
      </c>
      <c r="F10" s="77" t="s">
        <v>71</v>
      </c>
      <c r="G10" s="76" t="s">
        <v>70</v>
      </c>
      <c r="H10" s="76" t="s">
        <v>69</v>
      </c>
      <c r="I10" s="76" t="s">
        <v>68</v>
      </c>
      <c r="J10" s="76" t="s">
        <v>67</v>
      </c>
      <c r="K10" s="76" t="s">
        <v>66</v>
      </c>
      <c r="L10" s="76" t="s">
        <v>65</v>
      </c>
      <c r="M10" s="76" t="s">
        <v>64</v>
      </c>
      <c r="N10" s="76" t="s">
        <v>63</v>
      </c>
      <c r="O10" s="76" t="s">
        <v>62</v>
      </c>
      <c r="P10" s="75" t="s">
        <v>61</v>
      </c>
    </row>
    <row r="11" spans="1:16" ht="38.1" customHeight="1" x14ac:dyDescent="0.25">
      <c r="A11" s="65"/>
      <c r="B11" s="37">
        <v>1</v>
      </c>
      <c r="C11" s="74" t="s">
        <v>60</v>
      </c>
      <c r="D11" s="73">
        <f>0.65*1.21</f>
        <v>0.78649999999999998</v>
      </c>
      <c r="E11" s="72">
        <f>E8</f>
        <v>148428</v>
      </c>
      <c r="F11" s="46">
        <f t="shared" ref="F11:F16" si="1">D11*E11</f>
        <v>116738.622</v>
      </c>
      <c r="G11" s="27">
        <f>G8*D11</f>
        <v>21943.35</v>
      </c>
      <c r="H11" s="27">
        <f>H8*D11</f>
        <v>21943.35</v>
      </c>
      <c r="I11" s="27">
        <f>I8*D11</f>
        <v>10971.674999999999</v>
      </c>
      <c r="J11" s="27">
        <f>J8*D11</f>
        <v>10971.674999999999</v>
      </c>
      <c r="K11" s="27">
        <f>K8*D11</f>
        <v>10971.674999999999</v>
      </c>
      <c r="L11" s="27">
        <f>L8*D11</f>
        <v>10971.674999999999</v>
      </c>
      <c r="M11" s="27">
        <f>M8*D11</f>
        <v>7241.3054999999995</v>
      </c>
      <c r="N11" s="27">
        <f>N8*D11</f>
        <v>7241.3054999999995</v>
      </c>
      <c r="O11" s="27">
        <f>O8*D11</f>
        <v>7241.3054999999995</v>
      </c>
      <c r="P11" s="26">
        <f>P8*D11</f>
        <v>7241.3054999999995</v>
      </c>
    </row>
    <row r="12" spans="1:16" ht="41.25" customHeight="1" x14ac:dyDescent="0.25">
      <c r="A12" s="65"/>
      <c r="B12" s="37">
        <v>2</v>
      </c>
      <c r="C12" s="71" t="s">
        <v>91</v>
      </c>
      <c r="D12" s="70">
        <f>39350*1.21</f>
        <v>47613.5</v>
      </c>
      <c r="E12" s="69">
        <v>1</v>
      </c>
      <c r="F12" s="46">
        <f t="shared" si="1"/>
        <v>47613.5</v>
      </c>
      <c r="G12" s="27">
        <f>D12*E12</f>
        <v>47613.5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6">
        <v>0</v>
      </c>
    </row>
    <row r="13" spans="1:16" x14ac:dyDescent="0.25">
      <c r="A13" s="65"/>
      <c r="B13" s="37">
        <v>3</v>
      </c>
      <c r="C13" s="66" t="s">
        <v>92</v>
      </c>
      <c r="D13" s="68">
        <f>700*1.21</f>
        <v>847</v>
      </c>
      <c r="E13" s="67">
        <v>2</v>
      </c>
      <c r="F13" s="46">
        <f t="shared" si="1"/>
        <v>1694</v>
      </c>
      <c r="G13" s="27">
        <f>D13*E13</f>
        <v>1694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6">
        <v>0</v>
      </c>
    </row>
    <row r="14" spans="1:16" x14ac:dyDescent="0.25">
      <c r="A14" s="65"/>
      <c r="B14" s="37">
        <v>4</v>
      </c>
      <c r="C14" s="66" t="s">
        <v>93</v>
      </c>
      <c r="D14" s="42">
        <f>35000*1.21</f>
        <v>42350</v>
      </c>
      <c r="E14" s="28">
        <v>1</v>
      </c>
      <c r="F14" s="46">
        <f t="shared" si="1"/>
        <v>42350</v>
      </c>
      <c r="G14" s="27">
        <f>D14*E14</f>
        <v>42350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6">
        <v>0</v>
      </c>
    </row>
    <row r="15" spans="1:16" ht="60" x14ac:dyDescent="0.25">
      <c r="A15" s="65"/>
      <c r="B15" s="37">
        <v>5</v>
      </c>
      <c r="C15" s="66" t="s">
        <v>94</v>
      </c>
      <c r="D15" s="48">
        <f>7000*1.21</f>
        <v>8470</v>
      </c>
      <c r="E15" s="47">
        <v>5</v>
      </c>
      <c r="F15" s="46">
        <f t="shared" si="1"/>
        <v>42350</v>
      </c>
      <c r="G15" s="27">
        <f>D15*E15</f>
        <v>42350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6">
        <v>0</v>
      </c>
    </row>
    <row r="16" spans="1:16" ht="51" customHeight="1" x14ac:dyDescent="0.25">
      <c r="A16" s="65"/>
      <c r="B16" s="37">
        <v>6</v>
      </c>
      <c r="C16" s="64" t="s">
        <v>95</v>
      </c>
      <c r="D16" s="63">
        <f>24000*1.21</f>
        <v>29040</v>
      </c>
      <c r="E16" s="62">
        <v>2</v>
      </c>
      <c r="F16" s="46">
        <f t="shared" si="1"/>
        <v>58080</v>
      </c>
      <c r="G16" s="61">
        <f>D16*E16</f>
        <v>58080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0">
        <v>0</v>
      </c>
    </row>
    <row r="17" spans="1:16" ht="33" customHeight="1" x14ac:dyDescent="0.25">
      <c r="A17" s="33">
        <v>2</v>
      </c>
      <c r="B17" s="127" t="s">
        <v>59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</row>
    <row r="18" spans="1:16" ht="78" customHeight="1" x14ac:dyDescent="0.25">
      <c r="A18" s="32"/>
      <c r="B18" s="31">
        <v>1</v>
      </c>
      <c r="C18" s="59" t="s">
        <v>58</v>
      </c>
      <c r="D18" s="58">
        <f>25000*1.21</f>
        <v>30250</v>
      </c>
      <c r="E18" s="57">
        <v>1</v>
      </c>
      <c r="F18" s="46">
        <f>D18*E18</f>
        <v>30250</v>
      </c>
      <c r="G18" s="27">
        <f>25000*1.21</f>
        <v>30250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6">
        <v>0</v>
      </c>
    </row>
    <row r="19" spans="1:16" ht="33" customHeight="1" x14ac:dyDescent="0.25">
      <c r="A19" s="56">
        <v>3</v>
      </c>
      <c r="B19" s="119" t="s">
        <v>57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</row>
    <row r="20" spans="1:16" ht="33" customHeight="1" thickBot="1" x14ac:dyDescent="0.3">
      <c r="A20" s="38"/>
      <c r="B20" s="37">
        <v>1</v>
      </c>
      <c r="C20" s="55" t="s">
        <v>56</v>
      </c>
      <c r="D20" s="54" t="s">
        <v>55</v>
      </c>
      <c r="E20" s="53">
        <f>SUM(G20:P20)</f>
        <v>15360</v>
      </c>
      <c r="F20" s="52"/>
      <c r="G20" s="51">
        <f t="shared" ref="G20:P20" si="2">G9</f>
        <v>1536</v>
      </c>
      <c r="H20" s="51">
        <f t="shared" si="2"/>
        <v>1536</v>
      </c>
      <c r="I20" s="51">
        <f t="shared" si="2"/>
        <v>1536</v>
      </c>
      <c r="J20" s="51">
        <f t="shared" si="2"/>
        <v>1536</v>
      </c>
      <c r="K20" s="51">
        <f t="shared" si="2"/>
        <v>1536</v>
      </c>
      <c r="L20" s="51">
        <f t="shared" si="2"/>
        <v>1536</v>
      </c>
      <c r="M20" s="51">
        <f t="shared" si="2"/>
        <v>1536</v>
      </c>
      <c r="N20" s="51">
        <f t="shared" si="2"/>
        <v>1536</v>
      </c>
      <c r="O20" s="51">
        <f t="shared" si="2"/>
        <v>1536</v>
      </c>
      <c r="P20" s="50">
        <f t="shared" si="2"/>
        <v>1536</v>
      </c>
    </row>
    <row r="21" spans="1:16" ht="35.1" customHeight="1" x14ac:dyDescent="0.25">
      <c r="A21" s="38"/>
      <c r="B21" s="37">
        <v>2</v>
      </c>
      <c r="C21" s="49" t="s">
        <v>54</v>
      </c>
      <c r="D21" s="48">
        <f>8*1.21</f>
        <v>9.68</v>
      </c>
      <c r="E21" s="47">
        <f>E20</f>
        <v>15360</v>
      </c>
      <c r="F21" s="46">
        <f>D21*E21</f>
        <v>148684.79999999999</v>
      </c>
      <c r="G21" s="45">
        <f>G20*D21</f>
        <v>14868.48</v>
      </c>
      <c r="H21" s="45">
        <f>H20*D21</f>
        <v>14868.48</v>
      </c>
      <c r="I21" s="45">
        <f>I20*D21</f>
        <v>14868.48</v>
      </c>
      <c r="J21" s="45">
        <f>J20*D21</f>
        <v>14868.48</v>
      </c>
      <c r="K21" s="45">
        <f>K20*D21</f>
        <v>14868.48</v>
      </c>
      <c r="L21" s="45">
        <f>L20*D21</f>
        <v>14868.48</v>
      </c>
      <c r="M21" s="45">
        <f>M20*D21</f>
        <v>14868.48</v>
      </c>
      <c r="N21" s="45">
        <f>N20*D21</f>
        <v>14868.48</v>
      </c>
      <c r="O21" s="45">
        <f>O20*D21</f>
        <v>14868.48</v>
      </c>
      <c r="P21" s="44">
        <f>P20*D21</f>
        <v>14868.48</v>
      </c>
    </row>
    <row r="22" spans="1:16" ht="24.95" customHeight="1" x14ac:dyDescent="0.25">
      <c r="B22" s="31">
        <v>3</v>
      </c>
      <c r="C22" s="43" t="s">
        <v>53</v>
      </c>
      <c r="D22" s="42">
        <f>160*1.21</f>
        <v>193.6</v>
      </c>
      <c r="E22" s="28">
        <f>E20</f>
        <v>15360</v>
      </c>
      <c r="F22" s="27">
        <f>D22*E22</f>
        <v>2973696</v>
      </c>
      <c r="G22" s="41">
        <f>G20*D22</f>
        <v>297369.59999999998</v>
      </c>
      <c r="H22" s="41">
        <f>H20*D22</f>
        <v>297369.59999999998</v>
      </c>
      <c r="I22" s="41">
        <f>I20*D22</f>
        <v>297369.59999999998</v>
      </c>
      <c r="J22" s="41">
        <f>J20*D22</f>
        <v>297369.59999999998</v>
      </c>
      <c r="K22" s="41">
        <f>K20*D22</f>
        <v>297369.59999999998</v>
      </c>
      <c r="L22" s="41">
        <f>L20*D22</f>
        <v>297369.59999999998</v>
      </c>
      <c r="M22" s="41">
        <f>M20*D22</f>
        <v>297369.59999999998</v>
      </c>
      <c r="N22" s="41">
        <f>N20*D22</f>
        <v>297369.59999999998</v>
      </c>
      <c r="O22" s="41">
        <f>O20*D22</f>
        <v>297369.59999999998</v>
      </c>
      <c r="P22" s="40">
        <f>P20*D22</f>
        <v>297369.59999999998</v>
      </c>
    </row>
    <row r="23" spans="1:16" ht="26.25" x14ac:dyDescent="0.25">
      <c r="A23" s="39">
        <v>4</v>
      </c>
      <c r="B23" s="119" t="s">
        <v>52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1"/>
    </row>
    <row r="24" spans="1:16" x14ac:dyDescent="0.25">
      <c r="A24" s="38"/>
      <c r="B24" s="37">
        <v>1</v>
      </c>
      <c r="C24" s="30" t="s">
        <v>51</v>
      </c>
      <c r="D24" s="36">
        <v>3500</v>
      </c>
      <c r="E24" s="35">
        <v>2</v>
      </c>
      <c r="F24" s="20">
        <f>SUM(G24:P24)</f>
        <v>70000</v>
      </c>
      <c r="G24" s="34">
        <f>D24*E24</f>
        <v>7000</v>
      </c>
      <c r="H24" s="34">
        <f>D24*E24</f>
        <v>7000</v>
      </c>
      <c r="I24" s="34">
        <f>D24*E24</f>
        <v>7000</v>
      </c>
      <c r="J24" s="34">
        <f>D24*E24</f>
        <v>7000</v>
      </c>
      <c r="K24" s="34">
        <f>D24*E24</f>
        <v>7000</v>
      </c>
      <c r="L24" s="34">
        <f>D24*E24</f>
        <v>7000</v>
      </c>
      <c r="M24" s="34">
        <f>D24*E24</f>
        <v>7000</v>
      </c>
      <c r="N24" s="34">
        <f>D24*E24</f>
        <v>7000</v>
      </c>
      <c r="O24" s="34">
        <f>D24*E24</f>
        <v>7000</v>
      </c>
      <c r="P24" s="34">
        <f>D24*E24</f>
        <v>7000</v>
      </c>
    </row>
    <row r="25" spans="1:16" ht="30" x14ac:dyDescent="0.25">
      <c r="A25" s="38"/>
      <c r="B25" s="37">
        <v>2</v>
      </c>
      <c r="C25" s="30" t="s">
        <v>50</v>
      </c>
      <c r="D25" s="36">
        <v>3000</v>
      </c>
      <c r="E25" s="35">
        <v>6</v>
      </c>
      <c r="F25" s="20">
        <f>SUM(G25:P25)</f>
        <v>180000</v>
      </c>
      <c r="G25" s="34">
        <f>D25*E25</f>
        <v>18000</v>
      </c>
      <c r="H25" s="34">
        <f>D25*E25</f>
        <v>18000</v>
      </c>
      <c r="I25" s="34">
        <f>D25*E25</f>
        <v>18000</v>
      </c>
      <c r="J25" s="34">
        <f>D25*E25</f>
        <v>18000</v>
      </c>
      <c r="K25" s="34">
        <f>D25*E25</f>
        <v>18000</v>
      </c>
      <c r="L25" s="34">
        <f>D25*E25</f>
        <v>18000</v>
      </c>
      <c r="M25" s="34">
        <f>D25*E25</f>
        <v>18000</v>
      </c>
      <c r="N25" s="34">
        <f>D25*E25</f>
        <v>18000</v>
      </c>
      <c r="O25" s="34">
        <f>D25*E25</f>
        <v>18000</v>
      </c>
      <c r="P25" s="34">
        <f>D25*E25</f>
        <v>18000</v>
      </c>
    </row>
    <row r="26" spans="1:16" x14ac:dyDescent="0.25">
      <c r="A26" s="38"/>
      <c r="B26" s="37">
        <v>3</v>
      </c>
      <c r="C26" s="30" t="s">
        <v>49</v>
      </c>
      <c r="D26" s="36">
        <v>1800</v>
      </c>
      <c r="E26" s="35">
        <v>6</v>
      </c>
      <c r="F26" s="20">
        <f>SUM(G26:P26)</f>
        <v>108000</v>
      </c>
      <c r="G26" s="34">
        <f>D26*E26</f>
        <v>10800</v>
      </c>
      <c r="H26" s="34">
        <f>D26*E26</f>
        <v>10800</v>
      </c>
      <c r="I26" s="34">
        <f>D26*E26</f>
        <v>10800</v>
      </c>
      <c r="J26" s="34">
        <f>D26*E26</f>
        <v>10800</v>
      </c>
      <c r="K26" s="34">
        <f>D26*E26</f>
        <v>10800</v>
      </c>
      <c r="L26" s="34">
        <f>D26*E26</f>
        <v>10800</v>
      </c>
      <c r="M26" s="34">
        <f>D26*E26</f>
        <v>10800</v>
      </c>
      <c r="N26" s="34">
        <f>D26*E26</f>
        <v>10800</v>
      </c>
      <c r="O26" s="34">
        <f>D26*E26</f>
        <v>10800</v>
      </c>
      <c r="P26" s="34">
        <f>D26*E26</f>
        <v>10800</v>
      </c>
    </row>
    <row r="27" spans="1:16" ht="26.25" x14ac:dyDescent="0.25">
      <c r="A27" s="33">
        <v>5</v>
      </c>
      <c r="B27" s="116" t="s">
        <v>48</v>
      </c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8"/>
    </row>
    <row r="28" spans="1:16" ht="30" customHeight="1" thickBot="1" x14ac:dyDescent="0.3">
      <c r="A28" s="32"/>
      <c r="B28" s="31">
        <v>1</v>
      </c>
      <c r="C28" s="30" t="s">
        <v>47</v>
      </c>
      <c r="D28" s="29">
        <f>420000*1.21</f>
        <v>508200</v>
      </c>
      <c r="E28" s="28">
        <v>1</v>
      </c>
      <c r="F28" s="20">
        <f>D28*E28</f>
        <v>508200</v>
      </c>
      <c r="G28" s="27">
        <v>0</v>
      </c>
      <c r="H28" s="19">
        <f>D28*E28</f>
        <v>508200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6">
        <v>0</v>
      </c>
    </row>
    <row r="29" spans="1:16" ht="15.75" thickBot="1" x14ac:dyDescent="0.3">
      <c r="A29" s="25"/>
      <c r="B29" s="24">
        <v>2</v>
      </c>
      <c r="C29" s="23" t="s">
        <v>46</v>
      </c>
      <c r="D29" s="22">
        <f>37000*1.21</f>
        <v>44770</v>
      </c>
      <c r="E29" s="21">
        <v>1</v>
      </c>
      <c r="F29" s="20">
        <f>D29*E29</f>
        <v>44770</v>
      </c>
      <c r="G29" s="18">
        <v>0</v>
      </c>
      <c r="H29" s="19">
        <f>D29</f>
        <v>44770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v>0</v>
      </c>
    </row>
    <row r="30" spans="1:16" x14ac:dyDescent="0.25">
      <c r="C30" s="16" t="s">
        <v>45</v>
      </c>
      <c r="D30" s="15"/>
      <c r="E30" s="15"/>
    </row>
    <row r="31" spans="1:16" ht="15.75" thickBot="1" x14ac:dyDescent="0.3">
      <c r="C31" s="14"/>
    </row>
    <row r="32" spans="1:16" ht="15.75" thickBot="1" x14ac:dyDescent="0.3">
      <c r="C32" s="13"/>
      <c r="D32" s="113" t="s">
        <v>96</v>
      </c>
      <c r="E32" s="114"/>
      <c r="F32" s="106">
        <f>F11+F12+F13+F14+F15+F16+F21+F22+F24+F25+F26</f>
        <v>3789206.9219999998</v>
      </c>
    </row>
    <row r="33" spans="5:6" ht="15.75" thickBot="1" x14ac:dyDescent="0.3"/>
    <row r="34" spans="5:6" ht="15.75" thickBot="1" x14ac:dyDescent="0.3">
      <c r="E34" s="104" t="s">
        <v>90</v>
      </c>
      <c r="F34" s="105">
        <f>ROUNDUP(F12+F13+F14+F15+F16,0)</f>
        <v>192088</v>
      </c>
    </row>
    <row r="36" spans="5:6" x14ac:dyDescent="0.25">
      <c r="F36" s="107">
        <f>F32-F34</f>
        <v>3597118.9219999998</v>
      </c>
    </row>
    <row r="40" spans="5:6" x14ac:dyDescent="0.25">
      <c r="F40" s="107"/>
    </row>
    <row r="42" spans="5:6" x14ac:dyDescent="0.25">
      <c r="F42" s="107"/>
    </row>
  </sheetData>
  <mergeCells count="13">
    <mergeCell ref="B7:F7"/>
    <mergeCell ref="D32:E32"/>
    <mergeCell ref="D1:L1"/>
    <mergeCell ref="O1:P1"/>
    <mergeCell ref="B27:P27"/>
    <mergeCell ref="B23:P23"/>
    <mergeCell ref="G4:P4"/>
    <mergeCell ref="A2:C2"/>
    <mergeCell ref="A3:C3"/>
    <mergeCell ref="B17:P17"/>
    <mergeCell ref="B19:P19"/>
    <mergeCell ref="G5:I5"/>
    <mergeCell ref="J5:P5"/>
  </mergeCells>
  <pageMargins left="0.25" right="0.25" top="0.75" bottom="0.75" header="0.3" footer="0.3"/>
  <pageSetup paperSize="9" scale="55" orientation="landscape" verticalDpi="90" r:id="rId1"/>
  <headerFooter>
    <oddHeader>&amp;CCovid-19 ierosinātāja SARS-CoV-2 ģenētisko variantu uzraudzības sistēma Latvijā
Tāme, uzmetums</oddHeader>
    <oddFooter>&amp;L&amp;D&amp;C&amp;P no &amp;N</oddFooter>
  </headerFooter>
  <rowBreaks count="1" manualBreakCount="1">
    <brk id="2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Testēšana</vt:lpstr>
      <vt:lpstr>sekvencēšana</vt:lpstr>
      <vt:lpstr>sekvencēšana!Print_Area</vt:lpstr>
      <vt:lpstr>Testēšana!Print_Titles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Sandra Kasparenko</cp:lastModifiedBy>
  <cp:revision/>
  <cp:lastPrinted>2021-02-16T07:25:15Z</cp:lastPrinted>
  <dcterms:created xsi:type="dcterms:W3CDTF">2021-02-11T10:08:50Z</dcterms:created>
  <dcterms:modified xsi:type="dcterms:W3CDTF">2021-02-16T07:25:20Z</dcterms:modified>
  <cp:category/>
  <cp:contentStatus/>
</cp:coreProperties>
</file>