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vnozare.pri\vm\Redirect_profiles\VM_Igors_Belovs\My Documents\Darba mape\MK_rīkojuma_projekti\2021\Vakcīnācijas_plāns\Precizēts_fails\Lāsma_prec_110421\Precizēts_150421\"/>
    </mc:Choice>
  </mc:AlternateContent>
  <xr:revisionPtr revIDLastSave="0" documentId="13_ncr:1_{674C522F-8A79-4BE8-A208-47B7EC7153CB}" xr6:coauthVersionLast="46" xr6:coauthVersionMax="46" xr10:uidLastSave="{00000000-0000-0000-0000-000000000000}"/>
  <bookViews>
    <workbookView xWindow="57480" yWindow="-120" windowWidth="29040" windowHeight="15840" activeTab="3" xr2:uid="{727A592D-6BB2-422F-9545-A16B35246C8E}"/>
  </bookViews>
  <sheets>
    <sheet name="Kopsavilkums" sheetId="1" r:id="rId1"/>
    <sheet name="Citi_pasākumi" sheetId="9" r:id="rId2"/>
    <sheet name="NMPD" sheetId="2" r:id="rId3"/>
    <sheet name="vakcinas_iegade" sheetId="8" r:id="rId4"/>
    <sheet name="Ievades_izmaksas" sheetId="3" r:id="rId5"/>
  </sheets>
  <externalReferences>
    <externalReference r:id="rId6"/>
    <externalReference r:id="rId7"/>
    <externalReference r:id="rId8"/>
    <externalReference r:id="rId9"/>
    <externalReference r:id="rId10"/>
    <externalReference r:id="rId11"/>
    <externalReference r:id="rId12"/>
  </externalReferences>
  <definedNames>
    <definedName name="_1_2_d_NMP_lim">#REF!</definedName>
    <definedName name="aa">#REF!</definedName>
    <definedName name="_xlnm.Auto_Open">#REF!</definedName>
    <definedName name="b">#REF!</definedName>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CQGR4Z3D1E5XRGMT5VWBAFBXW" hidden="1">[1]ZQZBC_PLN__04_03_10!#REF!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5I577AMALET6AIZ4P1LRV9CU" hidden="1">[1]ZQZBC_PLN__04_03_10!#REF!</definedName>
    <definedName name="BExU7EBQBMZVYUSS9YS0I4JESH9L" hidden="1">[1]HEADER!#REF!</definedName>
    <definedName name="BExUC9I2YXGSCVE8W0KZ56D3E9UX" hidden="1">[1]HEADER!#REF!</definedName>
    <definedName name="BExZJQJI4H09EC94GXCLZDAB05VB" hidden="1">[1]HEADER!#REF!</definedName>
    <definedName name="bt">#REF!</definedName>
    <definedName name="BX">#REF!</definedName>
    <definedName name="CalendarYear">#REF!</definedName>
    <definedName name="ccc">#REF!</definedName>
    <definedName name="d">#REF!</definedName>
    <definedName name="D_Evija3">#REF!</definedName>
    <definedName name="DaysAndWeeks">{0,1,2,3,4,5,6} + {0;1;2;3;4;5}*7</definedName>
    <definedName name="de">#REF!</definedName>
    <definedName name="dff">#NAME?</definedName>
    <definedName name="DRGNAMES">#REF!</definedName>
    <definedName name="e">#REF!</definedName>
    <definedName name="ee">#REF!</definedName>
    <definedName name="Excel_BuiltIn__FilterDatabase_2">#REF!</definedName>
    <definedName name="Excel_BuiltIn__FilterDatabase_3">#REF!</definedName>
    <definedName name="Excel_BuiltIn_Print_Titles_2">#REF!</definedName>
    <definedName name="Excel_BuiltIn_Print_Titles_3">#REF!</definedName>
    <definedName name="gad_skaits">#REF!</definedName>
    <definedName name="gad_skaits_1">#REF!</definedName>
    <definedName name="gggg">#REF!</definedName>
    <definedName name="ghy">#REF!</definedName>
    <definedName name="h">#REF!</definedName>
    <definedName name="hh">#REF!</definedName>
    <definedName name="hjh">#REF!</definedName>
    <definedName name="hyh">#REF!</definedName>
    <definedName name="i">#REF!</definedName>
    <definedName name="izm.kods">#REF!</definedName>
    <definedName name="izm.kods_1">[2]izm.posteni!$A$2:$A$216</definedName>
    <definedName name="izm.nos">#REF!</definedName>
    <definedName name="izm.nos_1">[2]izm.posteni!$B$2:$B$216</definedName>
    <definedName name="jhg">#REF!</definedName>
    <definedName name="kk">#REF!</definedName>
    <definedName name="l">#REF!</definedName>
    <definedName name="Limeni_7_9group">#REF!</definedName>
    <definedName name="mmm" hidden="1">[1]ZQZBC_PLN__04_03_10!#REF!</definedName>
    <definedName name="n">#REF!</definedName>
    <definedName name="P_Dati_rikojums">#REF!</definedName>
    <definedName name="pp">#REF!</definedName>
    <definedName name="_xlnm.Print_Area" localSheetId="2">NMPD!$D$1:$O$23</definedName>
    <definedName name="Recover">[3]Macro1!$A$80</definedName>
    <definedName name="Rikojums2222">[4]Macro1!$A$106</definedName>
    <definedName name="rr">#REF!</definedName>
    <definedName name="rt">#REF!</definedName>
    <definedName name="rty">#REF!</definedName>
    <definedName name="S5\">#REF!</definedName>
    <definedName name="ss">#REF!</definedName>
    <definedName name="Str.">#REF!</definedName>
    <definedName name="Str.vien.nos.">#REF!</definedName>
    <definedName name="Struktura">#REF!</definedName>
    <definedName name="Struktūrvien.kodi2">#REF!</definedName>
    <definedName name="Struktūrvien.kodi2_1">[2]strukturkodi!$B$2:$B$232</definedName>
    <definedName name="Struktūrvien.kods">#REF!</definedName>
    <definedName name="Struktūrvien.kods_1">[2]strukturkodi!$A$2:$A$232</definedName>
    <definedName name="T13l6">[5]ATSKAITE_2v!#REF!</definedName>
    <definedName name="TableName">"Dummy"</definedName>
    <definedName name="TWO_LINKS">'[6]8.1.'!$C$5</definedName>
    <definedName name="ty">#REF!</definedName>
    <definedName name="tyuj">#REF!</definedName>
    <definedName name="u">#REF!</definedName>
    <definedName name="U_N_A">#REF!</definedName>
    <definedName name="wedr">#REF!</definedName>
    <definedName name="WeekStart">#REF!</definedName>
    <definedName name="x">#REF!</definedName>
    <definedName name="XBD">[7]Dati!$B$6</definedName>
    <definedName name="XDD">[7]Dati!$B$4</definedName>
    <definedName name="XDS">[7]Dati!$B$5</definedName>
    <definedName name="XSVD">[7]Dati!$B$7</definedName>
    <definedName name="xxxx">#REF!</definedName>
    <definedName name="yuh">#REF!</definedName>
    <definedName name="yy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 i="8" l="1"/>
  <c r="R8" i="8"/>
  <c r="R9" i="8"/>
  <c r="O9" i="8"/>
  <c r="O8" i="8"/>
  <c r="Q8" i="8"/>
  <c r="B18" i="8" l="1"/>
  <c r="X7" i="8"/>
  <c r="X6" i="8"/>
  <c r="N8" i="8" s="1"/>
  <c r="B21" i="8"/>
  <c r="B22" i="8"/>
  <c r="N19" i="8"/>
  <c r="O19" i="8" s="1"/>
  <c r="R19" i="8" s="1"/>
  <c r="X16" i="8"/>
  <c r="N9" i="8" s="1"/>
  <c r="W16" i="8"/>
  <c r="W6" i="8"/>
  <c r="Y15" i="8"/>
  <c r="J40" i="8"/>
  <c r="P40" i="8" s="1"/>
  <c r="K8" i="8"/>
  <c r="Y16" i="8" l="1"/>
  <c r="AA16" i="8" s="1"/>
  <c r="AD16" i="8" s="1"/>
  <c r="AD17" i="8" s="1"/>
  <c r="Y6" i="8"/>
  <c r="Z6" i="8" s="1"/>
  <c r="W17" i="8"/>
  <c r="Y17" i="8"/>
  <c r="Z15" i="8"/>
  <c r="AA15" i="8"/>
  <c r="J10" i="8"/>
  <c r="P10" i="8" s="1"/>
  <c r="J8" i="8"/>
  <c r="P8" i="8" s="1"/>
  <c r="J5" i="8"/>
  <c r="P5" i="8" s="1"/>
  <c r="N16" i="8"/>
  <c r="D31" i="9"/>
  <c r="J31" i="9" s="1"/>
  <c r="J32" i="9" s="1"/>
  <c r="J25" i="9"/>
  <c r="J24" i="9"/>
  <c r="J23" i="9"/>
  <c r="J22" i="9"/>
  <c r="J21" i="9"/>
  <c r="J20" i="9"/>
  <c r="J18" i="9"/>
  <c r="J14" i="9"/>
  <c r="J15" i="9" s="1"/>
  <c r="C10" i="9"/>
  <c r="J10" i="9" s="1"/>
  <c r="C9" i="9"/>
  <c r="J9" i="9" s="1"/>
  <c r="C8" i="9"/>
  <c r="J8" i="9" s="1"/>
  <c r="P45" i="8"/>
  <c r="R45" i="8" s="1"/>
  <c r="G45" i="8"/>
  <c r="K45" i="8" s="1"/>
  <c r="D45" i="8"/>
  <c r="P42" i="8"/>
  <c r="R42" i="8" s="1"/>
  <c r="L42" i="8"/>
  <c r="R40" i="8"/>
  <c r="G36" i="8"/>
  <c r="J36" i="8" s="1"/>
  <c r="P36" i="8" s="1"/>
  <c r="R36" i="8" s="1"/>
  <c r="G33" i="8"/>
  <c r="J33" i="8" s="1"/>
  <c r="P33" i="8" s="1"/>
  <c r="R33" i="8" s="1"/>
  <c r="G30" i="8"/>
  <c r="J30" i="8" s="1"/>
  <c r="P30" i="8" s="1"/>
  <c r="R30" i="8" s="1"/>
  <c r="K26" i="8"/>
  <c r="J26" i="8"/>
  <c r="P26" i="8" s="1"/>
  <c r="S22" i="8"/>
  <c r="A22" i="8"/>
  <c r="N21" i="8"/>
  <c r="C21" i="8"/>
  <c r="N20" i="8"/>
  <c r="O20" i="8" s="1"/>
  <c r="R20" i="8" s="1"/>
  <c r="N18" i="8"/>
  <c r="C18" i="8"/>
  <c r="N17" i="8"/>
  <c r="O17" i="8" s="1"/>
  <c r="R17" i="8" s="1"/>
  <c r="S13" i="8"/>
  <c r="S53" i="8" s="1"/>
  <c r="B13" i="8"/>
  <c r="Q12" i="8"/>
  <c r="O12" i="8"/>
  <c r="K12" i="8"/>
  <c r="J12" i="8"/>
  <c r="P12" i="8" s="1"/>
  <c r="A12" i="8"/>
  <c r="Q11" i="8"/>
  <c r="O11" i="8"/>
  <c r="K11" i="8"/>
  <c r="J11" i="8"/>
  <c r="P11" i="8" s="1"/>
  <c r="Q10" i="8"/>
  <c r="O10" i="8"/>
  <c r="K10" i="8"/>
  <c r="A10" i="8"/>
  <c r="D9" i="8"/>
  <c r="A8" i="8"/>
  <c r="C8" i="8" s="1"/>
  <c r="W7" i="8" s="1"/>
  <c r="Y7" i="8" s="1"/>
  <c r="Q7" i="8"/>
  <c r="O7" i="8"/>
  <c r="K7" i="8"/>
  <c r="J7" i="8"/>
  <c r="P7" i="8" s="1"/>
  <c r="V32" i="8" s="1"/>
  <c r="A7" i="8"/>
  <c r="Q6" i="8"/>
  <c r="O6" i="8"/>
  <c r="K6" i="8"/>
  <c r="J6" i="8"/>
  <c r="P6" i="8" s="1"/>
  <c r="V29" i="8" s="1"/>
  <c r="A6" i="8"/>
  <c r="Q5" i="8"/>
  <c r="O5" i="8"/>
  <c r="K5" i="8"/>
  <c r="AA6" i="8" l="1"/>
  <c r="AC6" i="8" s="1"/>
  <c r="Z16" i="8"/>
  <c r="AC16" i="8" s="1"/>
  <c r="Z7" i="8"/>
  <c r="Z8" i="8" s="1"/>
  <c r="O16" i="8"/>
  <c r="R16" i="8" s="1"/>
  <c r="J19" i="9"/>
  <c r="L6" i="8"/>
  <c r="L12" i="8"/>
  <c r="L7" i="8"/>
  <c r="W8" i="8"/>
  <c r="Y8" i="8"/>
  <c r="AA7" i="8"/>
  <c r="AE7" i="8" s="1"/>
  <c r="AE8" i="8" s="1"/>
  <c r="AE9" i="8" s="1"/>
  <c r="AB6" i="8"/>
  <c r="AA17" i="8"/>
  <c r="AB15" i="8"/>
  <c r="AC15" i="8" s="1"/>
  <c r="AB16" i="8"/>
  <c r="K30" i="8"/>
  <c r="C22" i="8"/>
  <c r="K33" i="8"/>
  <c r="L33" i="8" s="1"/>
  <c r="K36" i="8"/>
  <c r="Q13" i="8"/>
  <c r="Q53" i="8" s="1"/>
  <c r="R6" i="8"/>
  <c r="D8" i="8"/>
  <c r="D13" i="8" s="1"/>
  <c r="A13" i="8"/>
  <c r="L26" i="8"/>
  <c r="V31" i="8"/>
  <c r="O21" i="8"/>
  <c r="R21" i="8" s="1"/>
  <c r="L11" i="8"/>
  <c r="O18" i="8"/>
  <c r="R18" i="8" s="1"/>
  <c r="R11" i="8"/>
  <c r="P13" i="8"/>
  <c r="J11" i="9"/>
  <c r="J28" i="9"/>
  <c r="H33" i="9" s="1"/>
  <c r="D5" i="1" s="1"/>
  <c r="V30" i="8"/>
  <c r="V26" i="8"/>
  <c r="R10" i="8"/>
  <c r="V28" i="8"/>
  <c r="V27" i="8"/>
  <c r="R26" i="8"/>
  <c r="R46" i="8" s="1"/>
  <c r="P46" i="8"/>
  <c r="R12" i="8"/>
  <c r="R7" i="8"/>
  <c r="L5" i="8"/>
  <c r="L40" i="8"/>
  <c r="J45" i="8"/>
  <c r="L45" i="8" s="1"/>
  <c r="C13" i="8"/>
  <c r="L8" i="8"/>
  <c r="L10" i="8"/>
  <c r="R5" i="8"/>
  <c r="Z17" i="8" l="1"/>
  <c r="AA8" i="8"/>
  <c r="AD7" i="8"/>
  <c r="AC7" i="8"/>
  <c r="AC8" i="8" s="1"/>
  <c r="AC9" i="8" s="1"/>
  <c r="L36" i="8"/>
  <c r="AB7" i="8"/>
  <c r="AB8" i="8" s="1"/>
  <c r="L30" i="8"/>
  <c r="AB17" i="8"/>
  <c r="AC17" i="8"/>
  <c r="AD6" i="8"/>
  <c r="O22" i="8"/>
  <c r="R22" i="8" s="1"/>
  <c r="V33" i="8"/>
  <c r="P53" i="8"/>
  <c r="AD8" i="8" l="1"/>
  <c r="AD9" i="8"/>
  <c r="V34" i="8"/>
  <c r="H5" i="2" l="1"/>
  <c r="R13" i="8" l="1"/>
  <c r="R53" i="8" s="1"/>
  <c r="O53" i="8"/>
  <c r="F10" i="3"/>
  <c r="F9" i="3"/>
  <c r="R54" i="8" l="1"/>
  <c r="D6" i="1" s="1"/>
  <c r="D7" i="1" s="1"/>
  <c r="E10" i="3"/>
  <c r="E7" i="3"/>
  <c r="E6" i="3"/>
  <c r="D6" i="3" s="1"/>
  <c r="E11" i="3" l="1"/>
  <c r="C5" i="3" s="1"/>
  <c r="G5" i="3" s="1"/>
  <c r="C10" i="3" l="1"/>
  <c r="G10" i="3" s="1"/>
  <c r="C9" i="3"/>
  <c r="G9" i="3" s="1"/>
  <c r="C6" i="3"/>
  <c r="G6" i="3" s="1"/>
  <c r="H18" i="2"/>
  <c r="H22" i="2"/>
  <c r="H21" i="2"/>
  <c r="H20" i="2"/>
  <c r="H19" i="2"/>
  <c r="G11" i="2"/>
  <c r="H7" i="2"/>
  <c r="F7" i="2"/>
  <c r="G7" i="2" s="1"/>
  <c r="H6" i="2"/>
  <c r="F6" i="2"/>
  <c r="G6" i="2" s="1"/>
  <c r="H8" i="2"/>
  <c r="F5" i="2"/>
  <c r="G5" i="2" s="1"/>
  <c r="G11" i="3" l="1"/>
  <c r="H23" i="2"/>
  <c r="C11" i="3"/>
  <c r="J7" i="2"/>
  <c r="I7" i="2"/>
  <c r="J5" i="2"/>
  <c r="I5" i="2"/>
  <c r="G8" i="2"/>
  <c r="J6" i="2"/>
  <c r="I6" i="2"/>
  <c r="F8" i="2"/>
  <c r="K6" i="2" l="1"/>
  <c r="L6" i="2" s="1"/>
  <c r="M6" i="2" s="1"/>
  <c r="K7" i="2"/>
  <c r="L7" i="2" s="1"/>
  <c r="M7" i="2" s="1"/>
  <c r="I8" i="2"/>
  <c r="J8" i="2"/>
  <c r="K5" i="2"/>
  <c r="L5" i="2" l="1"/>
  <c r="L8" i="2" s="1"/>
  <c r="K8" i="2"/>
  <c r="M5" i="2" l="1"/>
  <c r="M8" i="2" s="1"/>
  <c r="G15" i="2" s="1"/>
  <c r="K11" i="2" s="1"/>
</calcChain>
</file>

<file path=xl/sharedStrings.xml><?xml version="1.0" encoding="utf-8"?>
<sst xmlns="http://schemas.openxmlformats.org/spreadsheetml/2006/main" count="260" uniqueCount="171">
  <si>
    <t>Papildu nepieciešams</t>
  </si>
  <si>
    <t>Ievades izmaksas</t>
  </si>
  <si>
    <t>AstraZeneca</t>
  </si>
  <si>
    <t>CureVac</t>
  </si>
  <si>
    <t>Novavax</t>
  </si>
  <si>
    <t>x</t>
  </si>
  <si>
    <t>Tarifs</t>
  </si>
  <si>
    <t>Papildus nepieciešamais indikatīvais finansējums ģimenes ārstiem par senioru un hronisko pacientu vakcinācijas aptveri</t>
  </si>
  <si>
    <t>Vienas vienības izmaksas (EUR)</t>
  </si>
  <si>
    <t>Iedzīvotāju skaits</t>
  </si>
  <si>
    <t>Ģimenes ārsts (pirmie 60%)</t>
  </si>
  <si>
    <t>Ģimenes ārsts (nākamie 61-80%)</t>
  </si>
  <si>
    <t>Ģimenes ārsts (nākamie 81-100%)</t>
  </si>
  <si>
    <t>Adrenalīna injekciju indikatīvas izmaksas</t>
  </si>
  <si>
    <t>Manipulāciju skaits kaits</t>
  </si>
  <si>
    <t>Adrenalīna (epinefrīna) (epinephrinum) 300 µg injekcija ar pildspalvveida pilnšļirci</t>
  </si>
  <si>
    <t>Komunikācijas pasākumiem nepieciešamais indikatīvais finansējums</t>
  </si>
  <si>
    <t>Aktivitātes</t>
  </si>
  <si>
    <t>Izglītojošās aktivitātes</t>
  </si>
  <si>
    <t>Drukas materiāli</t>
  </si>
  <si>
    <t>Mediju attiecības</t>
  </si>
  <si>
    <t>Sociālo mediju komunikācija</t>
  </si>
  <si>
    <t>Reklāmas kampaņa</t>
  </si>
  <si>
    <t>NMPD brigādes nepieciešamais indikatīvais finansējums centros</t>
  </si>
  <si>
    <t>Brigādes skaits</t>
  </si>
  <si>
    <t>NMPD brigāde</t>
  </si>
  <si>
    <t>Vakcinācijas centru skaits</t>
  </si>
  <si>
    <t>Maiņu skaits</t>
  </si>
  <si>
    <t>Mediju iepirkums</t>
  </si>
  <si>
    <t>Gab</t>
  </si>
  <si>
    <t>Izdales materiāls</t>
  </si>
  <si>
    <t>Informatīvais materiāls</t>
  </si>
  <si>
    <t>Informatīvais izdales materiāls</t>
  </si>
  <si>
    <t>Vides materiāli</t>
  </si>
  <si>
    <t xml:space="preserve"> NMP brigādes izmaksas dienā vakcinēšanas centrā</t>
  </si>
  <si>
    <t>Darba samaksa</t>
  </si>
  <si>
    <t>Amats</t>
  </si>
  <si>
    <t>Stundas algas likme</t>
  </si>
  <si>
    <t>NMP brigādes  pavadītais laiks vakcinācijas centrā 1 dienā, stundas</t>
  </si>
  <si>
    <t>Mēnešalga EUR</t>
  </si>
  <si>
    <t>Piemaksa par stāžu, EUR</t>
  </si>
  <si>
    <t>Piemaksa par risku, EUR</t>
  </si>
  <si>
    <t>Atalgojums (1 diena), EUR</t>
  </si>
  <si>
    <t>VSAOI, EUR</t>
  </si>
  <si>
    <t>Atlīdzība (1 diena), EUR</t>
  </si>
  <si>
    <t>BRIG brigādes vadītājs - NM ārsta palīgs</t>
  </si>
  <si>
    <t>BRIG brigādes otrā ārstniecības persona - ārsta palīgs</t>
  </si>
  <si>
    <t>OMT vadītājs</t>
  </si>
  <si>
    <t>Kopā EKK 1000:</t>
  </si>
  <si>
    <t>Pārējās izmaksas</t>
  </si>
  <si>
    <t>Nosaukums</t>
  </si>
  <si>
    <t>Darbinieku skaits 1 brigādē</t>
  </si>
  <si>
    <t>Vienas ēdienreizes cena, EUR</t>
  </si>
  <si>
    <r>
      <t xml:space="preserve">Ēdināšanas izdevumi </t>
    </r>
    <r>
      <rPr>
        <b/>
        <sz val="10"/>
        <color rgb="FF000000"/>
        <rFont val="Times New Roman"/>
        <family val="1"/>
        <charset val="186"/>
      </rPr>
      <t>dienā</t>
    </r>
    <r>
      <rPr>
        <sz val="10"/>
        <color rgb="FF000000"/>
        <rFont val="Times New Roman"/>
        <family val="1"/>
        <charset val="186"/>
      </rPr>
      <t xml:space="preserve"> </t>
    </r>
    <r>
      <rPr>
        <b/>
        <sz val="10"/>
        <color rgb="FF000000"/>
        <rFont val="Times New Roman"/>
        <family val="1"/>
        <charset val="186"/>
      </rPr>
      <t>vienai</t>
    </r>
    <r>
      <rPr>
        <sz val="10"/>
        <color rgb="FF000000"/>
        <rFont val="Times New Roman"/>
        <family val="1"/>
        <charset val="186"/>
      </rPr>
      <t xml:space="preserve"> brigādei </t>
    </r>
  </si>
  <si>
    <t>Darbinieku ēdināšanas izmaksas (EKK 2000)</t>
  </si>
  <si>
    <t>Kopējās izmaksas atkarīgas no iesaistīto brigāžu skaita un vakcinācijas centros nostrādāto dienu skaita</t>
  </si>
  <si>
    <t>Pielikums Nr.1
Ministru kabineta rīkojuma “Par finanšu līdzekļu piešķiršanu no valsts budžeta programmas “Līdzekļi neparedzētiem gadījumiem”” projekta sākotnējās ietekmes novērtējuma ziņojumam (anotācijai)</t>
  </si>
  <si>
    <t>Pielikums Nr.2
Ministru kabineta rīkojuma “Par finanšu līdzekļu piešķiršanu no valsts budžeta programmas “Līdzekļi neparedzētiem gadījumiem”” projekta sākotnējās ietekmes novērtējuma ziņojumam (anotācijai)</t>
  </si>
  <si>
    <t>Dienu skaits</t>
  </si>
  <si>
    <t>Stundas</t>
  </si>
  <si>
    <t>Centru skaits</t>
  </si>
  <si>
    <t>Maiņas skaits</t>
  </si>
  <si>
    <t>Datumi</t>
  </si>
  <si>
    <t>12. aprīlis – 2. maijs</t>
  </si>
  <si>
    <t>3. maijs – 30. maijs</t>
  </si>
  <si>
    <t>31. maijs – 18. jūlijs</t>
  </si>
  <si>
    <t>19. jūlijs – 15. augusts</t>
  </si>
  <si>
    <t>16. augusts – 29. augusts</t>
  </si>
  <si>
    <t>Indikatīvais finansējums</t>
  </si>
  <si>
    <t>Vienas vakcīnas ievades vidējās izmaksas no 2021.gada 1.marta</t>
  </si>
  <si>
    <t>Īpatsvars</t>
  </si>
  <si>
    <t>Kapacitāte nedēļā</t>
  </si>
  <si>
    <t>Ģimenes ārstes prakses</t>
  </si>
  <si>
    <t>Privātās ārstniecības iestādes</t>
  </si>
  <si>
    <t xml:space="preserve">Pašvaldību ārstniecības iestādes </t>
  </si>
  <si>
    <t>Universitāšu slimnīcas</t>
  </si>
  <si>
    <t>Pielikums Nr.3
Ministru kabineta rīkojuma “Par finanšu līdzekļu piešķiršanu no valsts budžeta programmas “Līdzekļi neparedzētiem gadījumiem”” projekta sākotnējās ietekmes novērtējuma ziņojumam (anotācijai)</t>
  </si>
  <si>
    <t>Pielikums Nr.4
Ministru kabineta rīkojuma “Par finanšu līdzekļu piešķiršanu no valsts budžeta programmas “Līdzekļi neparedzētiem gadījumiem”” projekta sākotnējās ietekmes novērtējuma ziņojumam (anotācijai)</t>
  </si>
  <si>
    <t>Vakcīnu ievades vieta</t>
  </si>
  <si>
    <t>Tarifs, euro</t>
  </si>
  <si>
    <t>Vidējās ievades izmaksas, euro</t>
  </si>
  <si>
    <t>Covid-19 vakcinācijas plāna indikatīvā finansējuma daļa 2021.gada pirmajam pusgadam, kas attiecināma uz šo MK rīkojuma projektu "Par finanšu līdzekļu piešķiršanu no valsts budžeta programmas "Līdzekļi neparedzētiem gadījumiem""</t>
  </si>
  <si>
    <t xml:space="preserve">Latvija </t>
  </si>
  <si>
    <t>Perspektīvais līgums(loģistika papildus devu piegādei Pfizer)</t>
  </si>
  <si>
    <t>Latvija</t>
  </si>
  <si>
    <t>Oribalt Rīga</t>
  </si>
  <si>
    <t>Vakcīna</t>
  </si>
  <si>
    <t>Bijušie līgumi (pēc fakta)piegāde un noliktava (izpildīts)</t>
  </si>
  <si>
    <t>Recipe Plus</t>
  </si>
  <si>
    <t>Magnum Medical</t>
  </si>
  <si>
    <t>Pfizer (pamatd.)</t>
  </si>
  <si>
    <t>Loģistika Latvijā (cena mēnesī)</t>
  </si>
  <si>
    <t>Šļirces</t>
  </si>
  <si>
    <t>Tamro</t>
  </si>
  <si>
    <t>Injekc.šķīd.</t>
  </si>
  <si>
    <t>Pfizer (papilddevas.)</t>
  </si>
  <si>
    <t>NovaVax</t>
  </si>
  <si>
    <t>Janssen</t>
  </si>
  <si>
    <t>Cena</t>
  </si>
  <si>
    <t>Izmaksas kopā (bez PVN)</t>
  </si>
  <si>
    <t>Izmaksas Q3-Q4 2021 (bez PVN)</t>
  </si>
  <si>
    <t>Izmaksas Q1-Q2 2021 (bez PVN)</t>
  </si>
  <si>
    <t>Mēnešu skaits (izpilde Q3-Q4 2021)</t>
  </si>
  <si>
    <t>Mēnešu skaits (izpilde Q1-Q2 2021)</t>
  </si>
  <si>
    <t>Noliktava (cena mēnesī)</t>
  </si>
  <si>
    <t>Vakcīnas ražotājs</t>
  </si>
  <si>
    <t>Loģstikas pak.sniedzējs</t>
  </si>
  <si>
    <t>Flak.skaits</t>
  </si>
  <si>
    <t>Devu skaits Q3 - Q4 2021</t>
  </si>
  <si>
    <t>Devu skaits Q1 - Q2 2021</t>
  </si>
  <si>
    <t>Devu skaits 2021.gadā</t>
  </si>
  <si>
    <t>Spēkā esošie līgumi</t>
  </si>
  <si>
    <t>Kopējais indikatīvais finansējums 2021.gada pirmajam pusgadam</t>
  </si>
  <si>
    <t>Vakcīnu iegāde un to uzglabāšanas pakalpojumi</t>
  </si>
  <si>
    <t>Šļirces un injekcijas šķīdums</t>
  </si>
  <si>
    <t>Loģistikas izdevumi vakcīnu izvadāšanai pa Latviju</t>
  </si>
  <si>
    <t>KOPĀ</t>
  </si>
  <si>
    <t>Valsts asinsdonoru centrs segtu izdevumus, kas radušies nodrošinot  vakcīnu ražotāja “Pfizer-BioNTech” vakcīnas uzglabāšanu atbilstoši vakcīnas lietošanas instrukcijā paredzētajiem vakcīnas uzglabāšanas nosacījumiem</t>
  </si>
  <si>
    <t>Pavisam kopā 2021.gada pirmajam pusgadam nepieciešams</t>
  </si>
  <si>
    <t>Pavisam kopā pirms korekcijas</t>
  </si>
  <si>
    <t>Loģistika un piegāde (ar PVN)</t>
  </si>
  <si>
    <t>Vakcīnu iegādes izmaksas</t>
  </si>
  <si>
    <t>Korekcija atbilstoši MK rīkojumam Nr.112 (2021.gada 24.februāra prot. Nr. 19 11. §)</t>
  </si>
  <si>
    <t>ASTRA</t>
  </si>
  <si>
    <t>PFIZER (PAMATDEVAS)</t>
  </si>
  <si>
    <t>curevak</t>
  </si>
  <si>
    <t>Moderna pamatdevas</t>
  </si>
  <si>
    <t>PFIZER (PapildDEVAS)</t>
  </si>
  <si>
    <t>Jansen</t>
  </si>
  <si>
    <t>2021.gada pusgadam vakcīnu iegādei, loģistikai un ievadei nepieciešamais finansējums</t>
  </si>
  <si>
    <t>Izbraukuma vakcinācija*</t>
  </si>
  <si>
    <t>Nacionāla mēroga vakcinācijas kompleksi**</t>
  </si>
  <si>
    <t>* Izbraukuma vakcinācijas tarifs ir veidots skaitot kopā četrus manipulāciju tarifus (Vakcinācijas izbraukuma tarifs ar ārsta palīga apskati līdz 50km, Vakcinācijas izbraukuma tarifs ar ārsta apskati līdz 50km, Vakcinācijas izbraukuma tarifs ar ārsta palīga apskati virs 50km un Vakcinācijas izbraukuma tarifs ar ārsta apskati virs 50km) izdalot ar četri un pareizinot ar piecām darba dienām, tālāk pieskaitot divās brīvdienās pielietotos divus manipulāciju tarifus (Piemaksa manipulācijai 01018 par ārsta darbu Covid-19 vakcinācijas kabinetā brīvdienās un svētku dienās un Piemaksa manipulācijām 03081 un 01019 par māsas, ārsta palīga darbu Covid-19 vakcinācijas kabinetā brīvdienās un svētku dienās) un darba dienu vidējo četru manipulāciju tarifu, beigās izdalot ar nedēļas dienu skaitu iegūstot 12.83 euro.</t>
  </si>
  <si>
    <t>**Nacionāla mēroga vakcinācijas kompleksu tarifs ir veidots pielietojot divus manipulāciju tarifus (Masveida vakcinācija ar ārsta apskati un Masveida vakcinācija ar ārsta palīga apskati), pirmo gradējot 80% gadījumos pielietošanu, otro izmantos 20% gadījumos.</t>
  </si>
  <si>
    <t xml:space="preserve">Vienas NMP brigādes  izmaksas  vakcinēšanas centrā dienā (euro)*: </t>
  </si>
  <si>
    <t>Piemaksa par virsstundām un darbu svētku dienā, EUR*</t>
  </si>
  <si>
    <t>* Virsstundu darbs rēķināts brigādēm, kas dežūrēs pie Vakcinācijas centriem, jo brigāžu darbinieki tiks piesaistīti papildus saviem plānotajiem grafikiem.</t>
  </si>
  <si>
    <t>Pielikums Nr.5
Ministru kabineta rīkojuma “Par finanšu līdzekļu piešķiršanu no valsts budžeta programmas “Līdzekļi neparedzētiem gadījumiem”” projekta sākotnējās ietekmes novērtējuma ziņojumam (anotācijai)</t>
  </si>
  <si>
    <t>2021.gada pirmajam pusgadam citiem pasākumiem nepieciešamais finansējums</t>
  </si>
  <si>
    <t>Reģions</t>
  </si>
  <si>
    <t>Maksimālais piegāžu vietu skaits</t>
  </si>
  <si>
    <t>Vienas vienības izmakas (ar PVN)</t>
  </si>
  <si>
    <t>Vidzeme/Latgale</t>
  </si>
  <si>
    <t>Kurzeme/ Zemgale</t>
  </si>
  <si>
    <t>Rīga</t>
  </si>
  <si>
    <t>KOPĀ:</t>
  </si>
  <si>
    <t>Dienu skaits (izpilde Q1-Q2 2021)</t>
  </si>
  <si>
    <t>Nedēļu skaits (izpilde Q3-Q4 2021)</t>
  </si>
  <si>
    <t>Kopā</t>
  </si>
  <si>
    <t>40% priekšapmaksa</t>
  </si>
  <si>
    <t>vakcīnu skaits</t>
  </si>
  <si>
    <t>cena</t>
  </si>
  <si>
    <t>1.pusgads</t>
  </si>
  <si>
    <t>2.pusgads</t>
  </si>
  <si>
    <t>Nedēļu skaits (izpilde Q1-Q2 2021)</t>
  </si>
  <si>
    <t>40% otrā puse</t>
  </si>
  <si>
    <t>20% atlaide</t>
  </si>
  <si>
    <t>Atlikums (jāmaksā gadā)</t>
  </si>
  <si>
    <t>Jāmaksā 1.pusgadā</t>
  </si>
  <si>
    <t>Jāmaksā 2.pusgadā</t>
  </si>
  <si>
    <t>Modernas pamatdevas aprēķins</t>
  </si>
  <si>
    <t>Modernas papildevas aprēķins</t>
  </si>
  <si>
    <t>60% otrā puse</t>
  </si>
  <si>
    <t>Lieltirgotava X (Pfizer)**</t>
  </si>
  <si>
    <t>Piešķirts no LNG (MK rīkojums Nr.112, FM rīkojums Nr.127)</t>
  </si>
  <si>
    <t>*** - iepirkuma piedāvājumu atvēršana 12.04.2021. plkst.12:00 (provizoriskajā aprēķinā ietverta iepriekšejo piedāvājumu vidējā cena starp reģioniem)</t>
  </si>
  <si>
    <t>Ņemot vērā samazinājumu atbilstoši FM 2021.gada 3.marta rīkojumam Nr.127</t>
  </si>
  <si>
    <t>Moderna*</t>
  </si>
  <si>
    <t>Moderna (papilddevas)**</t>
  </si>
  <si>
    <t>** - Tātad, plānot kopā gadā 631 060 papilddevas, kas pa ceturkšņiem sadalās – 2021.gada 1.ceturksnī 0 devas, bet 2021.gada 2.ceturksnī – 631 060 devas. Kopējā summa 631 060 pamatdevām veido 14 777 101.01 euro (23,416317 (28,50USD/1,2171) *631 060=14 777 101,01) apmērā. Par Moderna vakcīnu (papilddevu) piegādi, kur ir saņemts avansa rēķins par kopējo summu 5 910 841 euro (14 777 101,01*0,4 = 5 910 840,40)</t>
  </si>
  <si>
    <r>
      <t xml:space="preserve">* Ņemot vērā, Eiropas Komisijas pirmpirkuma līguma nosacījumus ar ražotāju “Moderna” atrunāto maksāšanas kārtību par iegādājamo preci (vakcīnas pamatdevas), Latvijai ir noteikta sekojoša vakcīnu apmaksa:
-40% finansējuma no kopējās vakcīnas izmaksas sedz dalībvalsts 30 dienu laikā pēc vakcīnas (Moderna) reģistrēšanas dienas;
-40% finansējuma sedz dalībvalsts 30 dienu laikā pēc ražotāja pavaddokumenta (rēķina) saņemšanas.
-20% no konkrētajai valstij paredzamā finansējuma par vakcīnu (Moderna) iegādi sedz EK.
Tātad, plānot kopā gadā 503 779 pamatdevas, kas pa ceturkšņiem sadalās – 2021.gada 1.ceturksnī 283 457 devas, bet 2021.gada 2.ceturksnī – 220 322 devas. Kopējā summa 503 779 pamatdevām veido 9 926 462 </t>
    </r>
    <r>
      <rPr>
        <i/>
        <sz val="11"/>
        <color theme="1"/>
        <rFont val="Calibri"/>
        <family val="2"/>
        <scheme val="minor"/>
      </rPr>
      <t xml:space="preserve">euro </t>
    </r>
    <r>
      <rPr>
        <sz val="11"/>
        <color theme="1"/>
        <rFont val="Calibri"/>
        <family val="2"/>
        <scheme val="minor"/>
      </rPr>
      <t>apmērā</t>
    </r>
    <r>
      <rPr>
        <i/>
        <sz val="11"/>
        <color theme="1"/>
        <rFont val="Calibri"/>
        <family val="2"/>
        <scheme val="minor"/>
      </rPr>
      <t xml:space="preserve">. 
Pamatdevām tiek piemērota 20% atlaide, ņemot vērā, Latvijas iepriekš veiktās iemaksas Ārkārtas atbalsta instrumentā. Informācija par Latvijas iemaksu apmēru ir iekļauta 2020.gada 22.septembrī Ministru kabinetā (protokola Nr.55 46.§) izskatītajā informatīvajā ziņojumā “Par nepieciešamību nodrošināt papildus iemaksas Ārkārtas atbalsta instrumentā, lai nodrošinātu plašāku Covid-19 vakcīnu portfeļa pieejamību” un šim mērķim Ministru kabinets 2020.gada 13.oktobra sēdē ir apstiprinājis Veselības ministrijai finansējumu 1 638 064 euro apmērā no valsts budžeta programmas 02.00.00 “Līdzekļi neparedzētiem gadījumiem” (protokols Nr.61 34.§). </t>
    </r>
    <r>
      <rPr>
        <sz val="11"/>
        <color theme="1"/>
        <rFont val="Calibri"/>
        <family val="2"/>
        <scheme val="minor"/>
      </rPr>
      <t>Līdz ar to 503 779 devām pēc 20% atlaides kopā ir jāmaksā 7 941 170</t>
    </r>
    <r>
      <rPr>
        <i/>
        <sz val="11"/>
        <color theme="1"/>
        <rFont val="Calibri"/>
        <family val="2"/>
        <scheme val="minor"/>
      </rPr>
      <t xml:space="preserve"> euro</t>
    </r>
    <r>
      <rPr>
        <sz val="11"/>
        <color theme="1"/>
        <rFont val="Calibri"/>
        <family val="2"/>
        <scheme val="minor"/>
      </rPr>
      <t xml:space="preserve"> apmērā.</t>
    </r>
    <r>
      <rPr>
        <i/>
        <sz val="11"/>
        <color theme="1"/>
        <rFont val="Calibri"/>
        <family val="2"/>
        <scheme val="minor"/>
      </rPr>
      <t xml:space="preserve">
</t>
    </r>
    <r>
      <rPr>
        <sz val="11"/>
        <color theme="1"/>
        <rFont val="Calibri"/>
        <family val="2"/>
        <scheme val="minor"/>
      </rPr>
      <t xml:space="preserve">Saskaņā ar iepriekš minētajiem nosacījumiem Latvijas valstij noteiktā laikā pēc vakcīnas reģistrācijas ir jāsamaksā 40 % no kopējās visa gada vakcīnu devu izmaksas, kas ir 3 970 585 euro (503 779 *0,4*19,704 euro). Savukārt saskaņā ar vakcīnu piegādes grafiku 2021.gada 1.pusgadā ir plānota 283 457 vakcīnu devu piegāde, par kuriem ir jāsamaksā atlikušie 40 % jeb 2 234 095 euro (283 457*0,4*19,704 euro), tādējādi 2021.gada 1.pusgada plānotajam vakcīnu apmēram 283 457 nodrošinot 80 % apmaksu no kopējās vakcīnu izmaksas. Kopā nepieciešamais finansējums vakcīnu ražotāju “Moderna” priekšapmaksas rēķinu apmaksai un piegādāto vakcīnu apmaksai nepieciešamai 6 204 680 euro (3 970 585 euro + 2 234 095 euro = 6 204 680). Aprēķinos ir jāņem vērā, ka uz šo brīdi ir saņemts un apmaksāts priekšapmaksas rēķins par pirmajām 336 566 ražotāja “Moderna” pamatdevām, kopsummā  2 652 762 euro (saskaņā ar MK rīkojumu Nr.112, detalizēta informācija iekļauta minētajā rīkojumā), kā arī 1200 devām ir samaksāti otrie 40 % kopsummā par  9 458 euro, līdz ar to kopējais nepieciešamais finansējums ir samazināms par 2 662 220 euro saskaņā ar MK rīkojumu Nr.112. Ņemot vērā, ka ar MK rīkojumu Nr.112 jau piešķirto papildus finansējumu 2 662 220 euro, papildus ražotāja Modernu vakcīnu apmaksai 2021.gada 1.pusgadā (tai skaitā priekšapmaksas rēķiniem par visu gadu) ir nepieciešams papildus finansējums 3 542 460 (6 204 680 – 2 662 220 = 3 542 460) euro.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</si>
</sst>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0.00000"/>
    <numFmt numFmtId="166" formatCode="#,##0.00000000"/>
    <numFmt numFmtId="167" formatCode="0.0000"/>
    <numFmt numFmtId="168" formatCode="#,##0.000"/>
    <numFmt numFmtId="169" formatCode="#,##0.000000"/>
    <numFmt numFmtId="170" formatCode="0.000"/>
    <numFmt numFmtId="172" formatCode="0.000000"/>
  </numFmts>
  <fonts count="63" x14ac:knownFonts="1">
    <font>
      <sz val="11"/>
      <color theme="1"/>
      <name val="Calibri"/>
      <family val="2"/>
      <charset val="186"/>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charset val="186"/>
      <scheme val="minor"/>
    </font>
    <font>
      <b/>
      <sz val="36"/>
      <color theme="1"/>
      <name val="Calibri"/>
      <family val="2"/>
      <scheme val="minor"/>
    </font>
    <font>
      <b/>
      <sz val="14"/>
      <color theme="1"/>
      <name val="Times New Roman"/>
      <family val="1"/>
      <charset val="186"/>
    </font>
    <font>
      <b/>
      <sz val="16"/>
      <color theme="1"/>
      <name val="Calibri"/>
      <family val="2"/>
      <scheme val="minor"/>
    </font>
    <font>
      <sz val="12"/>
      <name val="Times New Roman"/>
      <family val="1"/>
      <charset val="186"/>
    </font>
    <font>
      <sz val="11"/>
      <name val="Calibri"/>
      <family val="2"/>
      <charset val="186"/>
      <scheme val="minor"/>
    </font>
    <font>
      <sz val="14"/>
      <name val="Times New Roman"/>
      <family val="1"/>
      <charset val="186"/>
    </font>
    <font>
      <sz val="12"/>
      <name val="Times New Roman"/>
      <family val="1"/>
    </font>
    <font>
      <sz val="12"/>
      <color theme="1"/>
      <name val="Times New Roman"/>
      <family val="1"/>
      <charset val="186"/>
    </font>
    <font>
      <b/>
      <sz val="12"/>
      <name val="Times New Roman"/>
      <family val="1"/>
      <charset val="186"/>
    </font>
    <font>
      <b/>
      <sz val="18"/>
      <name val="Times New Roman"/>
      <family val="1"/>
    </font>
    <font>
      <b/>
      <sz val="12"/>
      <name val="Times New Roman"/>
      <family val="1"/>
    </font>
    <font>
      <b/>
      <sz val="16"/>
      <name val="Times New Roman"/>
      <family val="1"/>
    </font>
    <font>
      <b/>
      <sz val="14"/>
      <name val="Times New Roman"/>
      <family val="1"/>
      <charset val="186"/>
    </font>
    <font>
      <b/>
      <sz val="14"/>
      <name val="Times New Roman"/>
      <family val="1"/>
    </font>
    <font>
      <b/>
      <sz val="20"/>
      <color theme="4"/>
      <name val="Times New Roman"/>
      <family val="1"/>
    </font>
    <font>
      <sz val="11"/>
      <color theme="1"/>
      <name val="Calibri"/>
      <family val="2"/>
      <scheme val="minor"/>
    </font>
    <font>
      <sz val="16"/>
      <color theme="1"/>
      <name val="Calibri"/>
      <family val="2"/>
      <charset val="186"/>
      <scheme val="minor"/>
    </font>
    <font>
      <sz val="14"/>
      <color theme="1"/>
      <name val="Times New Roman"/>
      <family val="1"/>
    </font>
    <font>
      <sz val="14"/>
      <name val="Times New Roman"/>
      <family val="1"/>
    </font>
    <font>
      <i/>
      <sz val="12"/>
      <name val="Times New Roman"/>
      <family val="1"/>
    </font>
    <font>
      <i/>
      <sz val="14"/>
      <name val="Times New Roman"/>
      <family val="1"/>
    </font>
    <font>
      <b/>
      <i/>
      <sz val="12"/>
      <name val="Times New Roman"/>
      <family val="1"/>
    </font>
    <font>
      <sz val="11"/>
      <color theme="1"/>
      <name val="Calibri"/>
      <family val="2"/>
      <charset val="186"/>
      <scheme val="minor"/>
    </font>
    <font>
      <sz val="10"/>
      <color rgb="FF000000"/>
      <name val="Arial"/>
      <family val="2"/>
      <charset val="186"/>
    </font>
    <font>
      <b/>
      <sz val="12"/>
      <color rgb="FF000000"/>
      <name val="Times New Roman"/>
      <family val="1"/>
      <charset val="186"/>
    </font>
    <font>
      <sz val="10"/>
      <color rgb="FF000000"/>
      <name val="Times New Roman"/>
      <family val="1"/>
      <charset val="186"/>
    </font>
    <font>
      <b/>
      <sz val="10"/>
      <name val="Times New Roman"/>
      <family val="1"/>
      <charset val="186"/>
    </font>
    <font>
      <b/>
      <sz val="10"/>
      <color rgb="FF000000"/>
      <name val="Times New Roman"/>
      <family val="1"/>
      <charset val="186"/>
    </font>
    <font>
      <sz val="10"/>
      <name val="Times New Roman"/>
      <family val="1"/>
      <charset val="186"/>
    </font>
    <font>
      <b/>
      <sz val="14"/>
      <color rgb="FF000000"/>
      <name val="Times New Roman"/>
      <family val="1"/>
      <charset val="186"/>
    </font>
    <font>
      <b/>
      <i/>
      <sz val="10"/>
      <color rgb="FF000000"/>
      <name val="Times New Roman"/>
      <family val="1"/>
    </font>
    <font>
      <b/>
      <sz val="10"/>
      <color rgb="FF000000"/>
      <name val="Times New Roman"/>
      <family val="1"/>
    </font>
    <font>
      <b/>
      <sz val="11"/>
      <color rgb="FF000000"/>
      <name val="Times New Roman"/>
      <family val="1"/>
    </font>
    <font>
      <sz val="11"/>
      <color rgb="FF7030A0"/>
      <name val="Calibri"/>
      <family val="2"/>
      <charset val="186"/>
      <scheme val="minor"/>
    </font>
    <font>
      <b/>
      <i/>
      <sz val="20"/>
      <color theme="1"/>
      <name val="Calibri"/>
      <family val="2"/>
      <scheme val="minor"/>
    </font>
    <font>
      <sz val="11"/>
      <color rgb="FF0070C0"/>
      <name val="Calibri"/>
      <family val="2"/>
      <charset val="186"/>
      <scheme val="minor"/>
    </font>
    <font>
      <b/>
      <sz val="11"/>
      <color theme="1"/>
      <name val="Calibri"/>
      <family val="2"/>
      <charset val="186"/>
      <scheme val="minor"/>
    </font>
    <font>
      <sz val="12"/>
      <color theme="1"/>
      <name val="Times New Roman"/>
      <family val="1"/>
    </font>
    <font>
      <b/>
      <sz val="11"/>
      <color theme="1"/>
      <name val="Calibri"/>
      <family val="2"/>
      <scheme val="minor"/>
    </font>
    <font>
      <sz val="11"/>
      <color rgb="FFFF0000"/>
      <name val="Calibri"/>
      <family val="2"/>
      <scheme val="minor"/>
    </font>
    <font>
      <sz val="14"/>
      <color theme="1"/>
      <name val="Times New Roman"/>
      <family val="1"/>
      <charset val="186"/>
    </font>
    <font>
      <sz val="12"/>
      <color rgb="FF000000"/>
      <name val="Times New Roman"/>
      <family val="1"/>
      <charset val="186"/>
    </font>
    <font>
      <b/>
      <sz val="14"/>
      <color rgb="FF7030A0"/>
      <name val="Times New Roman"/>
      <family val="1"/>
      <charset val="186"/>
    </font>
    <font>
      <sz val="14"/>
      <color rgb="FF7030A0"/>
      <name val="Times New Roman"/>
      <family val="1"/>
      <charset val="186"/>
    </font>
    <font>
      <sz val="11"/>
      <name val="Calibri"/>
      <family val="2"/>
      <scheme val="minor"/>
    </font>
    <font>
      <b/>
      <sz val="12"/>
      <color theme="1"/>
      <name val="Calibri"/>
      <family val="2"/>
      <scheme val="minor"/>
    </font>
    <font>
      <b/>
      <i/>
      <sz val="12"/>
      <color theme="1"/>
      <name val="Calibri"/>
      <family val="2"/>
      <scheme val="minor"/>
    </font>
    <font>
      <i/>
      <sz val="11"/>
      <color theme="1"/>
      <name val="Calibri"/>
      <family val="2"/>
      <scheme val="minor"/>
    </font>
    <font>
      <i/>
      <sz val="11"/>
      <name val="Calibri"/>
      <family val="2"/>
      <scheme val="minor"/>
    </font>
    <font>
      <b/>
      <sz val="11"/>
      <name val="Calibri"/>
      <family val="2"/>
      <scheme val="minor"/>
    </font>
    <font>
      <b/>
      <sz val="14"/>
      <color theme="1"/>
      <name val="Calibri"/>
      <family val="2"/>
      <charset val="186"/>
      <scheme val="minor"/>
    </font>
    <font>
      <b/>
      <sz val="14"/>
      <color theme="1"/>
      <name val="Calibri"/>
      <family val="2"/>
      <scheme val="minor"/>
    </font>
    <font>
      <sz val="14"/>
      <color theme="1"/>
      <name val="Calibri"/>
      <family val="2"/>
      <scheme val="minor"/>
    </font>
    <font>
      <b/>
      <sz val="11"/>
      <color rgb="FF000000"/>
      <name val="Calibri"/>
      <family val="2"/>
    </font>
    <font>
      <b/>
      <sz val="11"/>
      <name val="Calibri"/>
      <family val="2"/>
    </font>
    <font>
      <b/>
      <sz val="12"/>
      <name val="Calibri"/>
      <family val="2"/>
    </font>
    <font>
      <b/>
      <sz val="24"/>
      <color theme="1"/>
      <name val="Calibri"/>
      <family val="2"/>
      <scheme val="minor"/>
    </font>
    <font>
      <b/>
      <i/>
      <sz val="11"/>
      <color theme="1"/>
      <name val="Calibri"/>
      <family val="2"/>
      <scheme val="minor"/>
    </font>
  </fonts>
  <fills count="18">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79998168889431442"/>
        <bgColor indexed="64"/>
      </patternFill>
    </fill>
    <fill>
      <patternFill patternType="solid">
        <fgColor rgb="FF00B050"/>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bgColor indexed="64"/>
      </patternFill>
    </fill>
    <fill>
      <patternFill patternType="solid">
        <fgColor rgb="FF00B0F0"/>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s>
  <cellStyleXfs count="4">
    <xf numFmtId="0" fontId="0" fillId="0" borderId="0"/>
    <xf numFmtId="0" fontId="20" fillId="0" borderId="0"/>
    <xf numFmtId="0" fontId="28" fillId="0" borderId="0"/>
    <xf numFmtId="0" fontId="27" fillId="0" borderId="0"/>
  </cellStyleXfs>
  <cellXfs count="300">
    <xf numFmtId="0" fontId="0" fillId="0" borderId="0" xfId="0"/>
    <xf numFmtId="0" fontId="9" fillId="0" borderId="1" xfId="0" applyFont="1" applyBorder="1"/>
    <xf numFmtId="3" fontId="11" fillId="0" borderId="1" xfId="0" applyNumberFormat="1" applyFont="1" applyBorder="1" applyAlignment="1">
      <alignment horizontal="center" vertical="center" wrapText="1"/>
    </xf>
    <xf numFmtId="0" fontId="0" fillId="0" borderId="1" xfId="0" applyBorder="1"/>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3" fontId="11" fillId="0" borderId="2" xfId="0" applyNumberFormat="1" applyFont="1" applyBorder="1" applyAlignment="1">
      <alignment horizontal="center" vertical="center" wrapText="1"/>
    </xf>
    <xf numFmtId="3" fontId="14" fillId="2"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2" fontId="11" fillId="0" borderId="2"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1" fillId="0" borderId="1" xfId="0" applyFont="1" applyBorder="1" applyAlignment="1">
      <alignment vertical="center" wrapText="1"/>
    </xf>
    <xf numFmtId="0" fontId="15" fillId="0" borderId="1" xfId="0" applyFont="1" applyBorder="1" applyAlignment="1">
      <alignment vertical="center" wrapText="1"/>
    </xf>
    <xf numFmtId="0" fontId="15" fillId="0" borderId="4" xfId="0" applyFont="1" applyBorder="1" applyAlignment="1">
      <alignment vertical="center" wrapText="1"/>
    </xf>
    <xf numFmtId="0" fontId="15" fillId="2" borderId="1" xfId="0" applyFont="1" applyFill="1" applyBorder="1" applyAlignment="1">
      <alignment vertical="center" wrapText="1"/>
    </xf>
    <xf numFmtId="0" fontId="19" fillId="0" borderId="0" xfId="0" applyFont="1" applyAlignment="1">
      <alignment horizontal="right" vertical="center" wrapText="1"/>
    </xf>
    <xf numFmtId="4" fontId="19" fillId="0" borderId="0" xfId="0" applyNumberFormat="1" applyFont="1" applyAlignment="1">
      <alignment horizontal="center" vertical="center" wrapText="1"/>
    </xf>
    <xf numFmtId="4" fontId="0" fillId="0" borderId="0" xfId="0" applyNumberFormat="1"/>
    <xf numFmtId="0" fontId="18" fillId="0" borderId="2" xfId="0" applyFont="1" applyBorder="1" applyAlignment="1">
      <alignment vertical="center" wrapText="1"/>
    </xf>
    <xf numFmtId="0" fontId="18" fillId="0" borderId="1" xfId="0" applyFont="1" applyBorder="1" applyAlignment="1">
      <alignment vertical="center" wrapText="1"/>
    </xf>
    <xf numFmtId="0" fontId="22" fillId="0" borderId="1" xfId="0" applyFont="1" applyBorder="1" applyAlignment="1">
      <alignment horizontal="center" vertical="center"/>
    </xf>
    <xf numFmtId="0" fontId="23"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5" fillId="0" borderId="1" xfId="0" applyFont="1" applyBorder="1" applyAlignment="1">
      <alignment horizontal="right" vertical="center" wrapText="1"/>
    </xf>
    <xf numFmtId="0" fontId="26" fillId="0" borderId="4" xfId="0" applyFont="1" applyBorder="1" applyAlignment="1">
      <alignment horizontal="right" vertical="center" wrapText="1"/>
    </xf>
    <xf numFmtId="0" fontId="26" fillId="0" borderId="1" xfId="0" applyFont="1" applyBorder="1" applyAlignment="1">
      <alignment horizontal="right" vertical="center" wrapText="1"/>
    </xf>
    <xf numFmtId="3" fontId="24" fillId="0" borderId="1" xfId="0" applyNumberFormat="1" applyFont="1" applyBorder="1" applyAlignment="1">
      <alignment horizontal="right" vertical="center" wrapText="1"/>
    </xf>
    <xf numFmtId="3" fontId="23" fillId="0" borderId="1" xfId="0" applyNumberFormat="1" applyFont="1" applyBorder="1" applyAlignment="1">
      <alignment horizontal="center" vertical="center" wrapText="1"/>
    </xf>
    <xf numFmtId="0" fontId="30" fillId="0" borderId="0" xfId="2" applyFont="1"/>
    <xf numFmtId="0" fontId="29" fillId="0" borderId="0" xfId="2" applyFont="1" applyAlignment="1">
      <alignment horizontal="left" vertical="center"/>
    </xf>
    <xf numFmtId="0" fontId="30" fillId="0" borderId="0" xfId="2" applyFont="1" applyAlignment="1">
      <alignment horizontal="center" vertical="center"/>
    </xf>
    <xf numFmtId="0" fontId="31" fillId="6" borderId="11" xfId="2" applyFont="1" applyFill="1" applyBorder="1" applyAlignment="1">
      <alignment horizontal="center" vertical="center" wrapText="1"/>
    </xf>
    <xf numFmtId="0" fontId="31" fillId="6" borderId="12" xfId="2" applyFont="1" applyFill="1" applyBorder="1" applyAlignment="1">
      <alignment horizontal="center" vertical="center" wrapText="1"/>
    </xf>
    <xf numFmtId="2" fontId="32" fillId="6" borderId="12" xfId="2" applyNumberFormat="1" applyFont="1" applyFill="1" applyBorder="1" applyAlignment="1">
      <alignment horizontal="center" vertical="center" wrapText="1"/>
    </xf>
    <xf numFmtId="4" fontId="32" fillId="6" borderId="12" xfId="2" applyNumberFormat="1" applyFont="1" applyFill="1" applyBorder="1" applyAlignment="1">
      <alignment horizontal="center" vertical="center" wrapText="1"/>
    </xf>
    <xf numFmtId="2" fontId="32" fillId="6" borderId="13" xfId="2" applyNumberFormat="1" applyFont="1" applyFill="1" applyBorder="1" applyAlignment="1">
      <alignment horizontal="center" vertical="center" wrapText="1"/>
    </xf>
    <xf numFmtId="0" fontId="30" fillId="0" borderId="14" xfId="2" applyFont="1" applyBorder="1" applyAlignment="1">
      <alignment vertical="center"/>
    </xf>
    <xf numFmtId="2" fontId="33" fillId="0" borderId="1" xfId="2" applyNumberFormat="1" applyFont="1" applyBorder="1" applyAlignment="1">
      <alignment horizontal="center" vertical="center"/>
    </xf>
    <xf numFmtId="3" fontId="30" fillId="0" borderId="1" xfId="2" applyNumberFormat="1" applyFont="1" applyBorder="1" applyAlignment="1">
      <alignment horizontal="center" vertical="center"/>
    </xf>
    <xf numFmtId="4" fontId="30" fillId="0" borderId="1" xfId="2" applyNumberFormat="1" applyFont="1" applyBorder="1" applyAlignment="1">
      <alignment horizontal="center" vertical="center"/>
    </xf>
    <xf numFmtId="4" fontId="30" fillId="0" borderId="15" xfId="2" applyNumberFormat="1" applyFont="1" applyBorder="1" applyAlignment="1">
      <alignment horizontal="center" vertical="center"/>
    </xf>
    <xf numFmtId="0" fontId="33" fillId="0" borderId="14" xfId="2" applyFont="1" applyBorder="1" applyAlignment="1">
      <alignment vertical="center" wrapText="1"/>
    </xf>
    <xf numFmtId="0" fontId="32" fillId="7" borderId="16" xfId="2" applyFont="1" applyFill="1" applyBorder="1" applyAlignment="1">
      <alignment vertical="center"/>
    </xf>
    <xf numFmtId="2" fontId="32" fillId="7" borderId="17" xfId="2" applyNumberFormat="1" applyFont="1" applyFill="1" applyBorder="1" applyAlignment="1">
      <alignment vertical="center"/>
    </xf>
    <xf numFmtId="3" fontId="32" fillId="7" borderId="17" xfId="2" applyNumberFormat="1" applyFont="1" applyFill="1" applyBorder="1" applyAlignment="1">
      <alignment horizontal="center" vertical="center"/>
    </xf>
    <xf numFmtId="4" fontId="32" fillId="7" borderId="17" xfId="2" applyNumberFormat="1" applyFont="1" applyFill="1" applyBorder="1" applyAlignment="1">
      <alignment horizontal="center" vertical="center"/>
    </xf>
    <xf numFmtId="165" fontId="32" fillId="7" borderId="18" xfId="2" applyNumberFormat="1" applyFont="1" applyFill="1" applyBorder="1" applyAlignment="1">
      <alignment horizontal="center" vertical="center"/>
    </xf>
    <xf numFmtId="0" fontId="32" fillId="0" borderId="19" xfId="2" applyFont="1" applyBorder="1" applyAlignment="1">
      <alignment vertical="center"/>
    </xf>
    <xf numFmtId="0" fontId="32" fillId="0" borderId="0" xfId="2" applyFont="1"/>
    <xf numFmtId="4" fontId="32" fillId="0" borderId="0" xfId="2" applyNumberFormat="1" applyFont="1"/>
    <xf numFmtId="0" fontId="30" fillId="0" borderId="11" xfId="2" applyFont="1" applyBorder="1" applyAlignment="1">
      <alignment horizontal="center" vertical="center"/>
    </xf>
    <xf numFmtId="0" fontId="30" fillId="0" borderId="12" xfId="2" applyFont="1" applyBorder="1" applyAlignment="1">
      <alignment horizontal="center" vertical="center" wrapText="1"/>
    </xf>
    <xf numFmtId="4" fontId="30" fillId="0" borderId="12" xfId="2" applyNumberFormat="1" applyFont="1" applyBorder="1" applyAlignment="1">
      <alignment horizontal="center" vertical="center" wrapText="1"/>
    </xf>
    <xf numFmtId="4" fontId="30" fillId="0" borderId="13" xfId="2" applyNumberFormat="1" applyFont="1" applyBorder="1" applyAlignment="1">
      <alignment horizontal="center" vertical="center" wrapText="1"/>
    </xf>
    <xf numFmtId="4" fontId="30" fillId="0" borderId="0" xfId="2" applyNumberFormat="1" applyFont="1" applyAlignment="1">
      <alignment horizontal="center" vertical="center" wrapText="1"/>
    </xf>
    <xf numFmtId="0" fontId="30" fillId="0" borderId="16" xfId="2" applyFont="1" applyBorder="1" applyAlignment="1">
      <alignment vertical="center"/>
    </xf>
    <xf numFmtId="0" fontId="30" fillId="0" borderId="17" xfId="2" applyFont="1" applyBorder="1" applyAlignment="1">
      <alignment horizontal="center" vertical="center"/>
    </xf>
    <xf numFmtId="3" fontId="30" fillId="0" borderId="17" xfId="2" applyNumberFormat="1" applyFont="1" applyBorder="1" applyAlignment="1">
      <alignment horizontal="center" vertical="center"/>
    </xf>
    <xf numFmtId="164" fontId="30" fillId="0" borderId="18" xfId="2" applyNumberFormat="1" applyFont="1" applyBorder="1" applyAlignment="1">
      <alignment horizontal="center" vertical="center"/>
    </xf>
    <xf numFmtId="4" fontId="30" fillId="0" borderId="0" xfId="2" applyNumberFormat="1" applyFont="1" applyAlignment="1">
      <alignment horizontal="center" vertical="center"/>
    </xf>
    <xf numFmtId="4" fontId="34" fillId="4" borderId="0" xfId="2" applyNumberFormat="1" applyFont="1" applyFill="1"/>
    <xf numFmtId="0" fontId="30" fillId="0" borderId="0" xfId="2" applyFont="1" applyAlignment="1">
      <alignment horizontal="center"/>
    </xf>
    <xf numFmtId="0" fontId="30" fillId="0" borderId="1" xfId="2" applyFont="1" applyBorder="1"/>
    <xf numFmtId="0" fontId="35" fillId="7" borderId="1" xfId="2" applyFont="1" applyFill="1" applyBorder="1"/>
    <xf numFmtId="0" fontId="36" fillId="0" borderId="1" xfId="2" applyFont="1" applyBorder="1"/>
    <xf numFmtId="0" fontId="36" fillId="0" borderId="14" xfId="2" applyFont="1" applyBorder="1"/>
    <xf numFmtId="0" fontId="36" fillId="0" borderId="15" xfId="2" applyFont="1" applyBorder="1"/>
    <xf numFmtId="0" fontId="36" fillId="0" borderId="16" xfId="2" applyFont="1" applyBorder="1"/>
    <xf numFmtId="0" fontId="36" fillId="0" borderId="17" xfId="2" applyFont="1" applyBorder="1"/>
    <xf numFmtId="0" fontId="36" fillId="0" borderId="18" xfId="2" applyFont="1" applyBorder="1"/>
    <xf numFmtId="0" fontId="37" fillId="0" borderId="11" xfId="2" applyFont="1" applyBorder="1" applyAlignment="1">
      <alignment horizontal="center"/>
    </xf>
    <xf numFmtId="0" fontId="37" fillId="0" borderId="12" xfId="2" applyFont="1" applyBorder="1" applyAlignment="1">
      <alignment horizontal="center"/>
    </xf>
    <xf numFmtId="0" fontId="37" fillId="0" borderId="12" xfId="2" applyFont="1" applyBorder="1" applyAlignment="1">
      <alignment horizontal="center" wrapText="1"/>
    </xf>
    <xf numFmtId="0" fontId="37" fillId="0" borderId="13" xfId="2" applyFont="1" applyBorder="1" applyAlignment="1">
      <alignment horizontal="center" wrapText="1"/>
    </xf>
    <xf numFmtId="0" fontId="38" fillId="0" borderId="0" xfId="0" applyFont="1"/>
    <xf numFmtId="0" fontId="0" fillId="0" borderId="0" xfId="0" applyAlignment="1">
      <alignment horizontal="center"/>
    </xf>
    <xf numFmtId="0" fontId="38" fillId="0" borderId="0" xfId="0" applyFont="1" applyAlignment="1">
      <alignment horizontal="center"/>
    </xf>
    <xf numFmtId="167" fontId="0" fillId="0" borderId="0" xfId="0" applyNumberFormat="1"/>
    <xf numFmtId="3" fontId="0" fillId="0" borderId="0" xfId="0" applyNumberFormat="1"/>
    <xf numFmtId="3" fontId="40" fillId="0" borderId="0" xfId="0" applyNumberFormat="1" applyFont="1"/>
    <xf numFmtId="0" fontId="4" fillId="0" borderId="0" xfId="0" applyFont="1"/>
    <xf numFmtId="3" fontId="20" fillId="0" borderId="0" xfId="1" applyNumberFormat="1"/>
    <xf numFmtId="3" fontId="20" fillId="0" borderId="1" xfId="1" applyNumberFormat="1" applyBorder="1"/>
    <xf numFmtId="3" fontId="20" fillId="10" borderId="1" xfId="1" applyNumberFormat="1" applyFill="1" applyBorder="1"/>
    <xf numFmtId="0" fontId="20" fillId="0" borderId="1" xfId="1" applyBorder="1"/>
    <xf numFmtId="0" fontId="20" fillId="0" borderId="1" xfId="1" applyBorder="1" applyAlignment="1">
      <alignment horizontal="center" vertical="center"/>
    </xf>
    <xf numFmtId="0" fontId="20" fillId="0" borderId="1" xfId="1" applyBorder="1" applyAlignment="1">
      <alignment horizontal="left" vertical="center"/>
    </xf>
    <xf numFmtId="0" fontId="20" fillId="0" borderId="1" xfId="1" applyBorder="1" applyAlignment="1">
      <alignment wrapText="1"/>
    </xf>
    <xf numFmtId="0" fontId="20" fillId="0" borderId="1" xfId="1" applyBorder="1" applyAlignment="1">
      <alignment horizontal="center" vertical="center" wrapText="1"/>
    </xf>
    <xf numFmtId="3" fontId="20" fillId="11" borderId="1" xfId="1" applyNumberFormat="1" applyFill="1" applyBorder="1"/>
    <xf numFmtId="0" fontId="20" fillId="11" borderId="1" xfId="1" applyFill="1" applyBorder="1"/>
    <xf numFmtId="3" fontId="43" fillId="0" borderId="0" xfId="1" applyNumberFormat="1" applyFont="1"/>
    <xf numFmtId="4" fontId="20" fillId="0" borderId="1" xfId="1" applyNumberFormat="1" applyBorder="1" applyAlignment="1">
      <alignment wrapText="1"/>
    </xf>
    <xf numFmtId="0" fontId="41" fillId="7" borderId="0" xfId="1" applyFont="1" applyFill="1"/>
    <xf numFmtId="0" fontId="20" fillId="7" borderId="0" xfId="1" applyFill="1"/>
    <xf numFmtId="3" fontId="20" fillId="7" borderId="0" xfId="1" applyNumberFormat="1" applyFill="1"/>
    <xf numFmtId="3" fontId="41" fillId="7" borderId="0" xfId="1" applyNumberFormat="1" applyFont="1" applyFill="1"/>
    <xf numFmtId="3" fontId="20" fillId="0" borderId="1" xfId="1" applyNumberFormat="1" applyBorder="1" applyAlignment="1">
      <alignment horizontal="right" vertical="center"/>
    </xf>
    <xf numFmtId="3" fontId="20" fillId="0" borderId="0" xfId="1" applyNumberFormat="1" applyBorder="1" applyAlignment="1">
      <alignment horizontal="right" vertical="center"/>
    </xf>
    <xf numFmtId="3" fontId="20" fillId="7" borderId="0" xfId="1" applyNumberFormat="1" applyFill="1" applyBorder="1" applyAlignment="1">
      <alignment horizontal="right" vertical="center"/>
    </xf>
    <xf numFmtId="0" fontId="20" fillId="7" borderId="0" xfId="1" applyFill="1" applyBorder="1" applyAlignment="1">
      <alignment horizontal="center" vertical="center"/>
    </xf>
    <xf numFmtId="0" fontId="20" fillId="0" borderId="0" xfId="1" applyBorder="1"/>
    <xf numFmtId="0" fontId="20" fillId="6" borderId="0" xfId="1" applyFill="1" applyBorder="1"/>
    <xf numFmtId="3" fontId="20" fillId="6" borderId="0" xfId="1" applyNumberFormat="1" applyFill="1" applyBorder="1"/>
    <xf numFmtId="3" fontId="43" fillId="7" borderId="0" xfId="1" applyNumberFormat="1" applyFont="1" applyFill="1" applyBorder="1"/>
    <xf numFmtId="0" fontId="20" fillId="7" borderId="0" xfId="1" applyFill="1" applyBorder="1"/>
    <xf numFmtId="3" fontId="20" fillId="7" borderId="0" xfId="1" applyNumberFormat="1" applyFill="1" applyBorder="1"/>
    <xf numFmtId="0" fontId="20" fillId="7" borderId="6" xfId="1" applyFill="1" applyBorder="1" applyAlignment="1">
      <alignment wrapText="1"/>
    </xf>
    <xf numFmtId="3" fontId="41" fillId="6" borderId="0" xfId="1" applyNumberFormat="1" applyFont="1" applyFill="1" applyBorder="1"/>
    <xf numFmtId="0" fontId="20" fillId="6" borderId="0" xfId="1" applyFill="1" applyBorder="1" applyAlignment="1">
      <alignment wrapText="1"/>
    </xf>
    <xf numFmtId="0" fontId="20" fillId="0" borderId="0" xfId="1" applyBorder="1" applyAlignment="1">
      <alignment wrapText="1"/>
    </xf>
    <xf numFmtId="3" fontId="20" fillId="0" borderId="0" xfId="1" applyNumberFormat="1" applyBorder="1"/>
    <xf numFmtId="0" fontId="20" fillId="0" borderId="0" xfId="1" applyBorder="1" applyAlignment="1">
      <alignment horizontal="center" vertical="center"/>
    </xf>
    <xf numFmtId="0" fontId="20" fillId="0" borderId="0" xfId="1" applyBorder="1" applyAlignment="1">
      <alignment horizontal="right" vertical="center"/>
    </xf>
    <xf numFmtId="0" fontId="20" fillId="6" borderId="0" xfId="1" applyFill="1"/>
    <xf numFmtId="0" fontId="43" fillId="11" borderId="1" xfId="1" applyFont="1" applyFill="1" applyBorder="1" applyAlignment="1">
      <alignment horizontal="center" vertical="center" wrapText="1"/>
    </xf>
    <xf numFmtId="3" fontId="43" fillId="11" borderId="1" xfId="1" applyNumberFormat="1" applyFont="1" applyFill="1" applyBorder="1" applyAlignment="1">
      <alignment horizontal="center" vertical="center" wrapText="1"/>
    </xf>
    <xf numFmtId="0" fontId="44" fillId="11" borderId="1" xfId="1" applyFont="1" applyFill="1" applyBorder="1"/>
    <xf numFmtId="3" fontId="20" fillId="7" borderId="6" xfId="1" applyNumberFormat="1" applyFill="1" applyBorder="1"/>
    <xf numFmtId="0" fontId="20" fillId="11" borderId="1" xfId="1" applyFill="1" applyBorder="1" applyAlignment="1">
      <alignment horizontal="center" vertical="center"/>
    </xf>
    <xf numFmtId="3" fontId="20" fillId="0" borderId="0" xfId="1" applyNumberFormat="1" applyFill="1"/>
    <xf numFmtId="0" fontId="20" fillId="0" borderId="0" xfId="1" applyFill="1"/>
    <xf numFmtId="3" fontId="20" fillId="0" borderId="1" xfId="1" applyNumberFormat="1" applyFill="1" applyBorder="1"/>
    <xf numFmtId="3" fontId="20" fillId="7" borderId="1" xfId="1" applyNumberFormat="1" applyFill="1" applyBorder="1"/>
    <xf numFmtId="3" fontId="41" fillId="7" borderId="1" xfId="1" applyNumberFormat="1" applyFont="1" applyFill="1" applyBorder="1"/>
    <xf numFmtId="0" fontId="20" fillId="0" borderId="4" xfId="1" applyBorder="1"/>
    <xf numFmtId="4" fontId="20" fillId="0" borderId="0" xfId="1" applyNumberFormat="1" applyBorder="1" applyAlignment="1">
      <alignment wrapText="1"/>
    </xf>
    <xf numFmtId="0" fontId="12" fillId="0" borderId="0" xfId="0" applyFont="1" applyAlignment="1">
      <alignment horizontal="right" wrapText="1"/>
    </xf>
    <xf numFmtId="0" fontId="12" fillId="0" borderId="0" xfId="0" applyFont="1" applyAlignment="1">
      <alignment wrapText="1"/>
    </xf>
    <xf numFmtId="0" fontId="6" fillId="0" borderId="1" xfId="0" applyFont="1" applyBorder="1" applyAlignment="1">
      <alignment horizontal="center" vertical="center"/>
    </xf>
    <xf numFmtId="0" fontId="6" fillId="0" borderId="1" xfId="0" applyFont="1" applyBorder="1"/>
    <xf numFmtId="0" fontId="47" fillId="0" borderId="1" xfId="0" applyFont="1" applyBorder="1"/>
    <xf numFmtId="0" fontId="45" fillId="0" borderId="1" xfId="0" applyFont="1" applyFill="1" applyBorder="1"/>
    <xf numFmtId="0" fontId="45" fillId="0" borderId="1" xfId="0" applyFont="1" applyFill="1" applyBorder="1" applyAlignment="1">
      <alignment horizontal="center" vertical="center"/>
    </xf>
    <xf numFmtId="3" fontId="45" fillId="0" borderId="1" xfId="0" applyNumberFormat="1" applyFont="1" applyFill="1" applyBorder="1" applyAlignment="1">
      <alignment horizontal="center" vertical="center"/>
    </xf>
    <xf numFmtId="0" fontId="10" fillId="0" borderId="1" xfId="0" applyFont="1" applyFill="1" applyBorder="1" applyAlignment="1">
      <alignment horizontal="center"/>
    </xf>
    <xf numFmtId="0" fontId="48" fillId="0" borderId="1" xfId="0" applyFont="1" applyFill="1" applyBorder="1" applyAlignment="1">
      <alignment horizontal="center"/>
    </xf>
    <xf numFmtId="0" fontId="45" fillId="0" borderId="1" xfId="0" applyFont="1" applyFill="1" applyBorder="1" applyAlignment="1">
      <alignment wrapText="1"/>
    </xf>
    <xf numFmtId="3" fontId="10"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0" fontId="48" fillId="0" borderId="1" xfId="0" applyFont="1" applyFill="1" applyBorder="1" applyAlignment="1">
      <alignment horizontal="center" vertical="center"/>
    </xf>
    <xf numFmtId="0" fontId="45" fillId="0" borderId="1" xfId="0" applyFont="1" applyBorder="1"/>
    <xf numFmtId="4" fontId="6" fillId="0" borderId="1" xfId="0" applyNumberFormat="1" applyFont="1" applyBorder="1" applyAlignment="1">
      <alignment horizontal="center"/>
    </xf>
    <xf numFmtId="3" fontId="6" fillId="0" borderId="1" xfId="0" applyNumberFormat="1" applyFont="1" applyBorder="1"/>
    <xf numFmtId="0" fontId="45" fillId="0" borderId="1" xfId="0" applyFont="1" applyBorder="1" applyAlignment="1">
      <alignment horizontal="center"/>
    </xf>
    <xf numFmtId="2" fontId="47" fillId="9" borderId="1" xfId="0" applyNumberFormat="1" applyFont="1" applyFill="1" applyBorder="1" applyAlignment="1">
      <alignment horizontal="center"/>
    </xf>
    <xf numFmtId="3" fontId="20" fillId="8" borderId="1" xfId="1" applyNumberFormat="1" applyFill="1" applyBorder="1"/>
    <xf numFmtId="3" fontId="20" fillId="5" borderId="1" xfId="1" applyNumberFormat="1" applyFill="1" applyBorder="1"/>
    <xf numFmtId="3" fontId="20" fillId="13" borderId="0" xfId="1" applyNumberFormat="1" applyFill="1"/>
    <xf numFmtId="3" fontId="20" fillId="13" borderId="1" xfId="1" applyNumberFormat="1" applyFill="1" applyBorder="1"/>
    <xf numFmtId="3" fontId="20" fillId="14" borderId="0" xfId="1" applyNumberFormat="1" applyFill="1"/>
    <xf numFmtId="3" fontId="20" fillId="14" borderId="1" xfId="1" applyNumberFormat="1" applyFill="1" applyBorder="1"/>
    <xf numFmtId="3" fontId="20" fillId="8" borderId="0" xfId="1" applyNumberFormat="1" applyFill="1"/>
    <xf numFmtId="3" fontId="20" fillId="10" borderId="0" xfId="1" applyNumberFormat="1" applyFill="1"/>
    <xf numFmtId="3" fontId="20" fillId="12" borderId="0" xfId="1" applyNumberFormat="1" applyFill="1"/>
    <xf numFmtId="3" fontId="20" fillId="12" borderId="1" xfId="1" applyNumberFormat="1" applyFill="1" applyBorder="1"/>
    <xf numFmtId="3" fontId="20" fillId="15" borderId="1" xfId="1" applyNumberFormat="1" applyFill="1" applyBorder="1"/>
    <xf numFmtId="3" fontId="20" fillId="15" borderId="0" xfId="1" applyNumberFormat="1" applyFill="1"/>
    <xf numFmtId="4" fontId="40" fillId="0" borderId="0" xfId="0" applyNumberFormat="1" applyFont="1"/>
    <xf numFmtId="0" fontId="49" fillId="11" borderId="1" xfId="1" applyFont="1" applyFill="1" applyBorder="1"/>
    <xf numFmtId="3" fontId="49" fillId="5" borderId="1" xfId="1" applyNumberFormat="1" applyFont="1" applyFill="1" applyBorder="1"/>
    <xf numFmtId="0" fontId="22" fillId="0" borderId="4" xfId="0" applyFont="1" applyBorder="1" applyAlignment="1">
      <alignment horizontal="center" vertical="center"/>
    </xf>
    <xf numFmtId="0" fontId="9" fillId="0" borderId="4" xfId="0" applyFont="1" applyBorder="1"/>
    <xf numFmtId="0" fontId="23" fillId="0" borderId="1" xfId="0" applyFont="1" applyBorder="1" applyAlignment="1">
      <alignment horizontal="center" vertical="center"/>
    </xf>
    <xf numFmtId="0" fontId="23" fillId="0" borderId="4" xfId="0" applyFont="1" applyBorder="1" applyAlignment="1">
      <alignment horizontal="center" vertical="center"/>
    </xf>
    <xf numFmtId="0" fontId="25" fillId="0" borderId="1" xfId="0" applyFont="1" applyBorder="1" applyAlignment="1">
      <alignment horizontal="right" vertical="center"/>
    </xf>
    <xf numFmtId="0" fontId="25" fillId="0" borderId="4" xfId="0" applyFont="1" applyBorder="1" applyAlignment="1">
      <alignment horizontal="right" vertical="center"/>
    </xf>
    <xf numFmtId="1" fontId="23" fillId="0" borderId="1" xfId="0" applyNumberFormat="1" applyFont="1" applyBorder="1" applyAlignment="1">
      <alignment horizontal="center" vertical="center"/>
    </xf>
    <xf numFmtId="1" fontId="23" fillId="0" borderId="4" xfId="0" applyNumberFormat="1" applyFont="1" applyBorder="1" applyAlignment="1">
      <alignment horizontal="center" vertical="center"/>
    </xf>
    <xf numFmtId="2" fontId="33" fillId="0" borderId="0" xfId="2" applyNumberFormat="1" applyFont="1"/>
    <xf numFmtId="0" fontId="33" fillId="0" borderId="0" xfId="2" applyFont="1"/>
    <xf numFmtId="0" fontId="20" fillId="16" borderId="0" xfId="1" applyFill="1"/>
    <xf numFmtId="3" fontId="20" fillId="0" borderId="1" xfId="1" applyNumberFormat="1" applyBorder="1" applyAlignment="1">
      <alignment horizontal="center" vertical="center"/>
    </xf>
    <xf numFmtId="3" fontId="20" fillId="0" borderId="5" xfId="1" applyNumberFormat="1" applyBorder="1" applyAlignment="1">
      <alignment horizontal="center" vertical="center"/>
    </xf>
    <xf numFmtId="0" fontId="14" fillId="2" borderId="4" xfId="0" applyFont="1" applyFill="1" applyBorder="1" applyAlignment="1">
      <alignment horizontal="right" vertical="center" wrapText="1"/>
    </xf>
    <xf numFmtId="0" fontId="14" fillId="2" borderId="10" xfId="0" applyFont="1" applyFill="1" applyBorder="1" applyAlignment="1">
      <alignment horizontal="right" vertical="center" wrapText="1"/>
    </xf>
    <xf numFmtId="0" fontId="20" fillId="0" borderId="0" xfId="1"/>
    <xf numFmtId="3" fontId="54" fillId="11" borderId="1" xfId="1" applyNumberFormat="1" applyFont="1" applyFill="1" applyBorder="1" applyAlignment="1">
      <alignment horizontal="center" vertical="center" wrapText="1"/>
    </xf>
    <xf numFmtId="0" fontId="20" fillId="0" borderId="0" xfId="1"/>
    <xf numFmtId="0" fontId="20" fillId="0" borderId="5" xfId="1" applyBorder="1"/>
    <xf numFmtId="0" fontId="43" fillId="0" borderId="1" xfId="1" applyFont="1" applyBorder="1" applyAlignment="1">
      <alignment horizontal="center" vertical="center"/>
    </xf>
    <xf numFmtId="0" fontId="43" fillId="0" borderId="1" xfId="1" applyFont="1" applyBorder="1" applyAlignment="1">
      <alignment horizontal="center" vertical="center" wrapText="1"/>
    </xf>
    <xf numFmtId="0" fontId="20" fillId="0" borderId="3" xfId="1" applyBorder="1"/>
    <xf numFmtId="0" fontId="20" fillId="0" borderId="3" xfId="1" applyBorder="1" applyAlignment="1">
      <alignment wrapText="1"/>
    </xf>
    <xf numFmtId="0" fontId="20" fillId="0" borderId="1" xfId="1" applyBorder="1" applyAlignment="1">
      <alignment horizontal="center"/>
    </xf>
    <xf numFmtId="3" fontId="55" fillId="7" borderId="1" xfId="1" applyNumberFormat="1" applyFont="1" applyFill="1" applyBorder="1" applyAlignment="1">
      <alignment vertical="center"/>
    </xf>
    <xf numFmtId="0" fontId="55" fillId="7" borderId="1" xfId="1" applyFont="1" applyFill="1" applyBorder="1" applyAlignment="1">
      <alignment vertical="center"/>
    </xf>
    <xf numFmtId="3" fontId="56" fillId="7" borderId="1" xfId="1" applyNumberFormat="1" applyFont="1" applyFill="1" applyBorder="1" applyAlignment="1">
      <alignment horizontal="center" vertical="center"/>
    </xf>
    <xf numFmtId="3" fontId="57" fillId="7" borderId="1" xfId="1" applyNumberFormat="1" applyFont="1" applyFill="1" applyBorder="1" applyAlignment="1">
      <alignment horizontal="center" vertical="center"/>
    </xf>
    <xf numFmtId="0" fontId="43" fillId="0" borderId="7" xfId="1" applyFont="1" applyBorder="1" applyAlignment="1">
      <alignment horizontal="center" vertical="center" wrapText="1"/>
    </xf>
    <xf numFmtId="0" fontId="20" fillId="0" borderId="5" xfId="1" applyBorder="1" applyAlignment="1">
      <alignment horizontal="center" vertical="center" wrapText="1"/>
    </xf>
    <xf numFmtId="0" fontId="20" fillId="0" borderId="5" xfId="1" applyBorder="1" applyAlignment="1">
      <alignment horizontal="center" vertical="center"/>
    </xf>
    <xf numFmtId="3" fontId="20" fillId="6" borderId="1" xfId="1" applyNumberFormat="1" applyFill="1" applyBorder="1" applyAlignment="1">
      <alignment horizontal="center"/>
    </xf>
    <xf numFmtId="3" fontId="20" fillId="6" borderId="1" xfId="1" applyNumberFormat="1" applyFill="1" applyBorder="1" applyAlignment="1">
      <alignment horizontal="center" vertical="center"/>
    </xf>
    <xf numFmtId="0" fontId="20" fillId="0" borderId="0" xfId="1" applyAlignment="1">
      <alignment horizontal="center" vertical="center"/>
    </xf>
    <xf numFmtId="0" fontId="20" fillId="7" borderId="1" xfId="1" applyFill="1" applyBorder="1" applyAlignment="1">
      <alignment horizontal="center" vertical="center"/>
    </xf>
    <xf numFmtId="3" fontId="20" fillId="11" borderId="1" xfId="1" applyNumberFormat="1" applyFill="1" applyBorder="1" applyAlignment="1">
      <alignment horizontal="center" vertical="center"/>
    </xf>
    <xf numFmtId="3" fontId="20" fillId="13" borderId="1" xfId="1" applyNumberFormat="1" applyFill="1" applyBorder="1" applyAlignment="1">
      <alignment horizontal="center" vertical="center"/>
    </xf>
    <xf numFmtId="3" fontId="20" fillId="8" borderId="1" xfId="1" applyNumberFormat="1" applyFill="1" applyBorder="1" applyAlignment="1">
      <alignment horizontal="center" vertical="center"/>
    </xf>
    <xf numFmtId="3" fontId="20" fillId="7" borderId="1" xfId="1" applyNumberFormat="1" applyFill="1" applyBorder="1" applyAlignment="1">
      <alignment horizontal="center" vertical="center"/>
    </xf>
    <xf numFmtId="3" fontId="20" fillId="10" borderId="1" xfId="1" applyNumberFormat="1" applyFill="1" applyBorder="1" applyAlignment="1">
      <alignment horizontal="center" vertical="center"/>
    </xf>
    <xf numFmtId="3" fontId="41" fillId="11" borderId="1" xfId="1" applyNumberFormat="1" applyFont="1" applyFill="1" applyBorder="1" applyAlignment="1">
      <alignment horizontal="center" vertical="center"/>
    </xf>
    <xf numFmtId="3" fontId="43" fillId="0" borderId="0" xfId="1" applyNumberFormat="1" applyFont="1" applyBorder="1" applyAlignment="1">
      <alignment horizontal="center" vertical="center"/>
    </xf>
    <xf numFmtId="3" fontId="20" fillId="0" borderId="0" xfId="1" applyNumberFormat="1" applyBorder="1" applyAlignment="1">
      <alignment horizontal="center" vertical="center"/>
    </xf>
    <xf numFmtId="3" fontId="50" fillId="0" borderId="0" xfId="1" applyNumberFormat="1" applyFont="1" applyBorder="1" applyAlignment="1">
      <alignment horizontal="center" vertical="center"/>
    </xf>
    <xf numFmtId="3" fontId="43" fillId="0" borderId="0" xfId="1" applyNumberFormat="1" applyFont="1" applyFill="1" applyBorder="1" applyAlignment="1">
      <alignment horizontal="center" vertical="center"/>
    </xf>
    <xf numFmtId="3" fontId="7" fillId="0" borderId="0" xfId="1" applyNumberFormat="1" applyFont="1" applyFill="1" applyBorder="1" applyAlignment="1">
      <alignment horizontal="center"/>
    </xf>
    <xf numFmtId="0" fontId="20" fillId="0" borderId="0" xfId="1" applyAlignment="1"/>
    <xf numFmtId="3" fontId="51" fillId="0" borderId="0" xfId="1" applyNumberFormat="1" applyFont="1" applyFill="1" applyBorder="1" applyAlignment="1">
      <alignment horizontal="left"/>
    </xf>
    <xf numFmtId="0" fontId="20" fillId="0" borderId="0" xfId="1" applyFill="1" applyBorder="1"/>
    <xf numFmtId="3" fontId="51" fillId="0" borderId="0" xfId="1" applyNumberFormat="1" applyFont="1" applyFill="1" applyBorder="1" applyAlignment="1">
      <alignment horizontal="right"/>
    </xf>
    <xf numFmtId="3" fontId="52" fillId="0" borderId="0" xfId="1" applyNumberFormat="1" applyFont="1" applyFill="1" applyBorder="1" applyAlignment="1">
      <alignment horizontal="left" wrapText="1"/>
    </xf>
    <xf numFmtId="3" fontId="53" fillId="0" borderId="0" xfId="1" applyNumberFormat="1" applyFont="1" applyFill="1" applyBorder="1" applyAlignment="1">
      <alignment horizontal="left" wrapText="1"/>
    </xf>
    <xf numFmtId="0" fontId="20" fillId="16" borderId="20" xfId="1" applyFill="1" applyBorder="1"/>
    <xf numFmtId="0" fontId="0" fillId="0" borderId="1" xfId="0" applyFill="1" applyBorder="1"/>
    <xf numFmtId="3" fontId="0" fillId="0" borderId="1" xfId="0" applyNumberFormat="1" applyFill="1" applyBorder="1"/>
    <xf numFmtId="3" fontId="58" fillId="0" borderId="1" xfId="0" applyNumberFormat="1" applyFont="1" applyFill="1" applyBorder="1"/>
    <xf numFmtId="164" fontId="0" fillId="0" borderId="1" xfId="0" applyNumberFormat="1" applyFill="1" applyBorder="1"/>
    <xf numFmtId="3" fontId="0" fillId="8" borderId="1" xfId="0" applyNumberFormat="1" applyFill="1" applyBorder="1"/>
    <xf numFmtId="3" fontId="58" fillId="8" borderId="1" xfId="0" applyNumberFormat="1" applyFont="1" applyFill="1" applyBorder="1"/>
    <xf numFmtId="3" fontId="59" fillId="8" borderId="1" xfId="0" applyNumberFormat="1" applyFont="1" applyFill="1" applyBorder="1"/>
    <xf numFmtId="0" fontId="43" fillId="8" borderId="1" xfId="0" applyFont="1" applyFill="1" applyBorder="1" applyAlignment="1">
      <alignment horizontal="right" vertical="center"/>
    </xf>
    <xf numFmtId="0" fontId="43" fillId="17" borderId="1" xfId="0" applyFont="1" applyFill="1" applyBorder="1" applyAlignment="1">
      <alignment horizontal="center" vertical="center" wrapText="1"/>
    </xf>
    <xf numFmtId="3" fontId="43" fillId="17" borderId="1" xfId="0" applyNumberFormat="1" applyFont="1" applyFill="1" applyBorder="1" applyAlignment="1">
      <alignment horizontal="center" vertical="center" wrapText="1"/>
    </xf>
    <xf numFmtId="0" fontId="43" fillId="17" borderId="1" xfId="0" applyFont="1" applyFill="1" applyBorder="1" applyAlignment="1">
      <alignment horizontal="center" vertical="center"/>
    </xf>
    <xf numFmtId="0" fontId="0" fillId="17" borderId="1" xfId="0" applyFill="1" applyBorder="1"/>
    <xf numFmtId="0" fontId="20" fillId="0" borderId="0" xfId="1" applyAlignment="1">
      <alignment wrapText="1"/>
    </xf>
    <xf numFmtId="0" fontId="61" fillId="0" borderId="21" xfId="1" applyFont="1" applyBorder="1" applyAlignment="1">
      <alignment vertical="center"/>
    </xf>
    <xf numFmtId="0" fontId="61" fillId="0" borderId="0" xfId="1" applyFont="1" applyBorder="1" applyAlignment="1">
      <alignment vertical="center"/>
    </xf>
    <xf numFmtId="3" fontId="62" fillId="16" borderId="1" xfId="0" applyNumberFormat="1" applyFont="1" applyFill="1" applyBorder="1" applyAlignment="1">
      <alignment horizontal="center" vertical="center"/>
    </xf>
    <xf numFmtId="3" fontId="0" fillId="0" borderId="1" xfId="0" applyNumberFormat="1" applyFill="1" applyBorder="1" applyAlignment="1">
      <alignment horizontal="center" vertical="center"/>
    </xf>
    <xf numFmtId="3" fontId="58" fillId="8" borderId="1" xfId="0" applyNumberFormat="1" applyFont="1" applyFill="1" applyBorder="1" applyAlignment="1">
      <alignment horizontal="center" vertical="center"/>
    </xf>
    <xf numFmtId="3" fontId="59" fillId="8" borderId="1" xfId="0" applyNumberFormat="1" applyFont="1" applyFill="1" applyBorder="1" applyAlignment="1">
      <alignment horizontal="center" vertical="center"/>
    </xf>
    <xf numFmtId="3" fontId="43" fillId="12" borderId="1" xfId="0" applyNumberFormat="1" applyFont="1" applyFill="1" applyBorder="1" applyAlignment="1">
      <alignment horizontal="center" vertical="center"/>
    </xf>
    <xf numFmtId="3" fontId="43" fillId="8" borderId="1" xfId="0" applyNumberFormat="1" applyFont="1" applyFill="1" applyBorder="1" applyAlignment="1">
      <alignment horizontal="center" vertical="center"/>
    </xf>
    <xf numFmtId="3" fontId="3" fillId="0" borderId="1" xfId="1" applyNumberFormat="1" applyFont="1" applyBorder="1" applyAlignment="1">
      <alignment horizontal="right" vertical="center"/>
    </xf>
    <xf numFmtId="3" fontId="41" fillId="0" borderId="1" xfId="1" applyNumberFormat="1" applyFont="1" applyBorder="1"/>
    <xf numFmtId="168" fontId="0" fillId="0" borderId="1" xfId="0" applyNumberFormat="1" applyFill="1" applyBorder="1" applyAlignment="1">
      <alignment horizontal="center" vertical="center"/>
    </xf>
    <xf numFmtId="0" fontId="20" fillId="0" borderId="0" xfId="1"/>
    <xf numFmtId="0" fontId="2" fillId="0" borderId="5" xfId="1" applyFont="1" applyBorder="1"/>
    <xf numFmtId="3" fontId="20" fillId="0" borderId="0" xfId="1" applyNumberFormat="1" applyBorder="1" applyAlignment="1">
      <alignment wrapText="1"/>
    </xf>
    <xf numFmtId="0" fontId="1" fillId="0" borderId="0" xfId="1" applyFont="1"/>
    <xf numFmtId="0" fontId="1" fillId="0" borderId="1" xfId="1" applyFont="1" applyBorder="1"/>
    <xf numFmtId="169" fontId="0" fillId="0" borderId="1" xfId="0" applyNumberFormat="1" applyFill="1" applyBorder="1"/>
    <xf numFmtId="3" fontId="43" fillId="0" borderId="1" xfId="0" applyNumberFormat="1" applyFont="1" applyFill="1" applyBorder="1" applyAlignment="1">
      <alignment horizontal="center" vertical="center"/>
    </xf>
    <xf numFmtId="0" fontId="0" fillId="0" borderId="1" xfId="0" applyFill="1" applyBorder="1" applyAlignment="1"/>
    <xf numFmtId="0" fontId="1" fillId="0" borderId="1" xfId="1" applyFont="1" applyBorder="1" applyAlignment="1">
      <alignment wrapText="1" shrinkToFit="1"/>
    </xf>
    <xf numFmtId="3" fontId="60" fillId="13" borderId="1" xfId="0" applyNumberFormat="1" applyFont="1" applyFill="1" applyBorder="1" applyAlignment="1">
      <alignment horizontal="center" vertical="center"/>
    </xf>
    <xf numFmtId="3" fontId="43" fillId="13" borderId="1" xfId="0" applyNumberFormat="1" applyFont="1" applyFill="1" applyBorder="1" applyAlignment="1">
      <alignment horizontal="center" vertical="center"/>
    </xf>
    <xf numFmtId="0" fontId="5" fillId="0" borderId="0" xfId="0" applyFont="1" applyAlignment="1">
      <alignment horizontal="center" wrapText="1"/>
    </xf>
    <xf numFmtId="0" fontId="45" fillId="0" borderId="0" xfId="0" applyFont="1" applyAlignment="1">
      <alignment horizontal="right" wrapText="1"/>
    </xf>
    <xf numFmtId="0" fontId="21" fillId="0" borderId="0" xfId="0" applyFont="1" applyAlignment="1">
      <alignment horizontal="right" wrapText="1"/>
    </xf>
    <xf numFmtId="0" fontId="21" fillId="0" borderId="0" xfId="0" applyFont="1" applyAlignment="1">
      <alignment horizontal="right"/>
    </xf>
    <xf numFmtId="0" fontId="14" fillId="15" borderId="1" xfId="0" applyFont="1" applyFill="1" applyBorder="1" applyAlignment="1">
      <alignment horizontal="right" vertical="center" wrapText="1"/>
    </xf>
    <xf numFmtId="3" fontId="14" fillId="15" borderId="1" xfId="0" applyNumberFormat="1" applyFont="1" applyFill="1" applyBorder="1" applyAlignment="1">
      <alignment horizontal="center" vertical="center" wrapText="1"/>
    </xf>
    <xf numFmtId="0" fontId="19" fillId="5" borderId="1" xfId="0" applyFont="1" applyFill="1" applyBorder="1" applyAlignment="1">
      <alignment horizontal="right" vertical="center" wrapText="1"/>
    </xf>
    <xf numFmtId="3" fontId="19" fillId="5" borderId="1" xfId="0" applyNumberFormat="1" applyFont="1" applyFill="1" applyBorder="1" applyAlignment="1">
      <alignment horizontal="center" vertical="center" wrapText="1"/>
    </xf>
    <xf numFmtId="0" fontId="14" fillId="15" borderId="2" xfId="0" applyFont="1" applyFill="1" applyBorder="1" applyAlignment="1">
      <alignment horizontal="right" vertical="center" wrapText="1"/>
    </xf>
    <xf numFmtId="0" fontId="14" fillId="15" borderId="3" xfId="0" applyFont="1" applyFill="1" applyBorder="1" applyAlignment="1">
      <alignment horizontal="right" vertical="center" wrapText="1"/>
    </xf>
    <xf numFmtId="3" fontId="14" fillId="15" borderId="3" xfId="0" applyNumberFormat="1" applyFont="1" applyFill="1" applyBorder="1" applyAlignment="1">
      <alignment horizontal="center" vertical="center" wrapText="1"/>
    </xf>
    <xf numFmtId="3" fontId="14" fillId="15" borderId="4" xfId="0" applyNumberFormat="1" applyFont="1" applyFill="1" applyBorder="1" applyAlignment="1">
      <alignment horizontal="center" vertical="center" wrapText="1"/>
    </xf>
    <xf numFmtId="0" fontId="14" fillId="2" borderId="2" xfId="0" applyFont="1" applyFill="1" applyBorder="1" applyAlignment="1">
      <alignment horizontal="right" vertical="center" wrapText="1"/>
    </xf>
    <xf numFmtId="0" fontId="14" fillId="2" borderId="3" xfId="0" applyFont="1" applyFill="1" applyBorder="1" applyAlignment="1">
      <alignment horizontal="right"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4" fillId="2" borderId="8" xfId="0" applyFont="1" applyFill="1" applyBorder="1" applyAlignment="1">
      <alignment horizontal="right" vertical="center" wrapText="1"/>
    </xf>
    <xf numFmtId="0" fontId="14" fillId="2" borderId="9" xfId="0" applyFont="1" applyFill="1" applyBorder="1" applyAlignment="1">
      <alignment horizontal="right" vertical="center" wrapText="1"/>
    </xf>
    <xf numFmtId="0" fontId="29" fillId="0" borderId="0" xfId="2" applyFont="1" applyAlignment="1">
      <alignment horizontal="center" vertical="center"/>
    </xf>
    <xf numFmtId="0" fontId="30" fillId="0" borderId="0" xfId="2" applyFont="1" applyAlignment="1">
      <alignment horizontal="center" vertical="center"/>
    </xf>
    <xf numFmtId="0" fontId="8" fillId="0" borderId="0" xfId="2" applyFont="1" applyAlignment="1">
      <alignment horizontal="left"/>
    </xf>
    <xf numFmtId="0" fontId="31" fillId="0" borderId="0" xfId="2" applyFont="1" applyAlignment="1">
      <alignment horizontal="left"/>
    </xf>
    <xf numFmtId="0" fontId="46" fillId="0" borderId="0" xfId="2" applyFont="1" applyAlignment="1">
      <alignment horizontal="right" wrapText="1"/>
    </xf>
    <xf numFmtId="0" fontId="12" fillId="0" borderId="0" xfId="0" applyFont="1" applyAlignment="1">
      <alignment horizontal="right" wrapText="1"/>
    </xf>
    <xf numFmtId="0" fontId="1" fillId="0" borderId="0" xfId="1" applyFont="1" applyAlignment="1">
      <alignment horizontal="left" wrapText="1"/>
    </xf>
    <xf numFmtId="0" fontId="61" fillId="0" borderId="1" xfId="1" applyFont="1" applyBorder="1" applyAlignment="1">
      <alignment horizontal="center" vertical="center"/>
    </xf>
    <xf numFmtId="0" fontId="62" fillId="16" borderId="2" xfId="0" applyFont="1" applyFill="1" applyBorder="1" applyAlignment="1">
      <alignment horizontal="center" wrapText="1"/>
    </xf>
    <xf numFmtId="0" fontId="62" fillId="16" borderId="4" xfId="0" applyFont="1" applyFill="1" applyBorder="1" applyAlignment="1">
      <alignment horizontal="center" wrapText="1"/>
    </xf>
    <xf numFmtId="0" fontId="61" fillId="0" borderId="2" xfId="1" applyFont="1" applyBorder="1" applyAlignment="1">
      <alignment horizontal="center" vertical="center"/>
    </xf>
    <xf numFmtId="0" fontId="61" fillId="0" borderId="3" xfId="1" applyFont="1" applyBorder="1" applyAlignment="1">
      <alignment horizontal="center" vertical="center"/>
    </xf>
    <xf numFmtId="0" fontId="61" fillId="0" borderId="4" xfId="1" applyFont="1" applyBorder="1" applyAlignment="1">
      <alignment horizontal="center" vertical="center"/>
    </xf>
    <xf numFmtId="0" fontId="42" fillId="0" borderId="0" xfId="1" applyFont="1" applyAlignment="1">
      <alignment horizontal="justify" vertical="center"/>
    </xf>
    <xf numFmtId="0" fontId="20" fillId="0" borderId="0" xfId="1"/>
    <xf numFmtId="0" fontId="20" fillId="7" borderId="0" xfId="1" applyFill="1" applyAlignment="1">
      <alignment horizontal="center" wrapText="1"/>
    </xf>
    <xf numFmtId="3" fontId="43" fillId="12" borderId="2" xfId="0" applyNumberFormat="1" applyFont="1" applyFill="1" applyBorder="1" applyAlignment="1">
      <alignment horizontal="center" vertical="center" wrapText="1"/>
    </xf>
    <xf numFmtId="3" fontId="43" fillId="12" borderId="3" xfId="0" applyNumberFormat="1" applyFont="1" applyFill="1" applyBorder="1" applyAlignment="1">
      <alignment horizontal="center" vertical="center" wrapText="1"/>
    </xf>
    <xf numFmtId="3" fontId="43" fillId="12" borderId="4" xfId="0" applyNumberFormat="1" applyFont="1" applyFill="1" applyBorder="1" applyAlignment="1">
      <alignment horizontal="center" vertical="center" wrapText="1"/>
    </xf>
    <xf numFmtId="0" fontId="0" fillId="0" borderId="0" xfId="0" applyAlignment="1">
      <alignment horizontal="left" vertical="top" wrapText="1"/>
    </xf>
    <xf numFmtId="0" fontId="39" fillId="0" borderId="0" xfId="0" applyFont="1" applyAlignment="1">
      <alignment horizontal="center"/>
    </xf>
    <xf numFmtId="0" fontId="6" fillId="0" borderId="1" xfId="0" applyFont="1" applyBorder="1" applyAlignment="1">
      <alignment horizontal="center"/>
    </xf>
    <xf numFmtId="166" fontId="45" fillId="0" borderId="1" xfId="0" applyNumberFormat="1" applyFont="1" applyFill="1" applyBorder="1" applyAlignment="1">
      <alignment horizontal="center" vertical="center"/>
    </xf>
    <xf numFmtId="3" fontId="45" fillId="0" borderId="1" xfId="0" applyNumberFormat="1" applyFont="1" applyFill="1" applyBorder="1" applyAlignment="1">
      <alignment horizontal="center" vertical="center"/>
    </xf>
    <xf numFmtId="0" fontId="45"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48" fillId="0" borderId="1" xfId="0" applyFont="1" applyFill="1" applyBorder="1" applyAlignment="1">
      <alignment horizontal="center" vertical="center"/>
    </xf>
    <xf numFmtId="170" fontId="49" fillId="11" borderId="1" xfId="1" applyNumberFormat="1" applyFont="1" applyFill="1" applyBorder="1"/>
    <xf numFmtId="172" fontId="49" fillId="11" borderId="1" xfId="1" applyNumberFormat="1" applyFont="1" applyFill="1" applyBorder="1"/>
  </cellXfs>
  <cellStyles count="4">
    <cellStyle name="Normal" xfId="0" builtinId="0"/>
    <cellStyle name="Normal 2" xfId="1" xr:uid="{403A6E3E-63B0-4992-9C7B-453C4ABD3A8B}"/>
    <cellStyle name="Normal 3" xfId="2" xr:uid="{6182C894-5280-489E-995A-9B2D7B1C48CE}"/>
    <cellStyle name="Normal 39" xfId="3" xr:uid="{CA2AB16C-F3DA-4363-A9A0-583E1C1B71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selibasministrija-my.sharepoint.com/profile_redirect$/Documents%20and%20Settings/bd-adija/Local%20Settings/Temporary%20Internet%20Files/Content.Outlook/U63RD855/MK_izdev_samaz_2las_2009_31%2010%2008_arES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selibasministrija-my.sharepoint.com/Documents%20and%20Settings/SilvijaJ/Local%20Settings/Temporary%20Internet%20Files/Content.IE5/F51GHD5U/KristineS/My%20Documents/Bud&#382;ets%202012/Budzeta%20forma%2014_05%2001%202012%20(2).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veselibasministrija-my.sharepoint.com/Documents%20and%20Settings/Svetlana.Supulniece/Local%20Settings/Temporary%20Internet%20Files/Content.Outlook/J21U5MYL/LIC%20PP%20parrekins%20pec%202012%209m%20DB/LIC%20laboratorija/R0032%20-LIC%20darbs%20laboratorija%20citam%20ar%20palidz%20veidu%20AI%2031102012.xls?504E799B" TargetMode="External"/><Relationship Id="rId1" Type="http://schemas.openxmlformats.org/officeDocument/2006/relationships/externalLinkPath" Target="file:///\\504E799B\R0032%20-LIC%20darbs%20laboratorija%20citam%20ar%20palidz%20veidu%20AI%20311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eselibasministrija-my.sharepoint.com/Ambulatoro_pakalpojumu_nodala/Planosana_2012/SAVA/!_Grozijumi%202012.gada%20laikaa/Egija_Grozijumi%20ar%2001.10.2012_NEPIENEMTIE/Apaksas%20SAVA%20rikojuma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Finansu_planosanas_nodala\BUD&#381;ETS\2019\33_finansejums_2018_2021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veselibasministrija-my.sharepoint.com/Users/andris.skrastins/Desktop/Ivita/8_centralizeto_medikamentu_aprekin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veselibasministrija-my.sharepoint.com/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sheetData sheetId="1"/>
      <sheetData sheetId="2"/>
      <sheetData sheetId="3">
        <row r="106">
          <cell r="A106" t="str">
            <v>Recover</v>
          </cell>
        </row>
      </sheetData>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2020"/>
      <sheetName val="noZinojuma"/>
      <sheetName val="detalizēti"/>
      <sheetName val="ATSKAITE_likums_par_budžetu"/>
      <sheetName val="ATSKAITE_2v"/>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
      <sheetName val="8.2."/>
      <sheetName val="8.3."/>
      <sheetName val="8.4."/>
      <sheetName val="8.5."/>
      <sheetName val="Sheet9"/>
      <sheetName val="Sheet10"/>
      <sheetName val="Sheet11"/>
      <sheetName val="Sheet1"/>
    </sheetNames>
    <sheetDataSet>
      <sheetData sheetId="0">
        <row r="5">
          <cell r="C5">
            <v>36540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43E18-348B-4187-A4AA-8444CA49C2E5}">
  <dimension ref="A1:F15"/>
  <sheetViews>
    <sheetView zoomScale="60" zoomScaleNormal="60" zoomScaleSheetLayoutView="55" workbookViewId="0">
      <selection activeCell="E11" sqref="E11:E15"/>
    </sheetView>
  </sheetViews>
  <sheetFormatPr defaultRowHeight="15" x14ac:dyDescent="0.25"/>
  <cols>
    <col min="1" max="1" width="22.7109375" customWidth="1"/>
    <col min="2" max="2" width="25.85546875" customWidth="1"/>
    <col min="3" max="3" width="19.85546875" customWidth="1"/>
    <col min="4" max="5" width="25.28515625" customWidth="1"/>
    <col min="6" max="6" width="23.140625" customWidth="1"/>
  </cols>
  <sheetData>
    <row r="1" spans="1:6" ht="105" customHeight="1" x14ac:dyDescent="0.35">
      <c r="D1" s="253" t="s">
        <v>56</v>
      </c>
      <c r="E1" s="254"/>
      <c r="F1" s="255"/>
    </row>
    <row r="3" spans="1:6" ht="89.25" customHeight="1" x14ac:dyDescent="0.7">
      <c r="A3" s="252" t="s">
        <v>81</v>
      </c>
      <c r="B3" s="252"/>
      <c r="C3" s="252"/>
      <c r="D3" s="252"/>
      <c r="E3" s="252"/>
      <c r="F3" s="252"/>
    </row>
    <row r="5" spans="1:6" ht="84" customHeight="1" x14ac:dyDescent="0.25">
      <c r="A5" s="256" t="s">
        <v>138</v>
      </c>
      <c r="B5" s="256"/>
      <c r="C5" s="256"/>
      <c r="D5" s="257">
        <f>Citi_pasākumi!H33</f>
        <v>1220703.3999999999</v>
      </c>
      <c r="E5" s="257"/>
      <c r="F5" s="257"/>
    </row>
    <row r="6" spans="1:6" ht="70.5" customHeight="1" x14ac:dyDescent="0.25">
      <c r="A6" s="256" t="s">
        <v>129</v>
      </c>
      <c r="B6" s="256"/>
      <c r="C6" s="256"/>
      <c r="D6" s="257">
        <f>vakcinas_iegade!R54</f>
        <v>51026999.995000005</v>
      </c>
      <c r="E6" s="257"/>
      <c r="F6" s="257"/>
    </row>
    <row r="7" spans="1:6" ht="54" customHeight="1" x14ac:dyDescent="0.25">
      <c r="A7" s="258" t="s">
        <v>112</v>
      </c>
      <c r="B7" s="258"/>
      <c r="C7" s="258"/>
      <c r="D7" s="259">
        <f>D5+D6</f>
        <v>52247703.395000003</v>
      </c>
      <c r="E7" s="259"/>
      <c r="F7" s="259"/>
    </row>
    <row r="8" spans="1:6" ht="22.5" customHeight="1" x14ac:dyDescent="0.25">
      <c r="A8" s="18"/>
      <c r="B8" s="18"/>
      <c r="C8" s="18"/>
      <c r="D8" s="19"/>
      <c r="E8" s="19"/>
      <c r="F8" s="19"/>
    </row>
    <row r="9" spans="1:6" ht="22.5" customHeight="1" x14ac:dyDescent="0.25">
      <c r="A9" s="18"/>
      <c r="B9" s="18"/>
      <c r="C9" s="18"/>
      <c r="D9" s="19"/>
      <c r="E9" s="19"/>
      <c r="F9" s="19"/>
    </row>
    <row r="11" spans="1:6" x14ac:dyDescent="0.25">
      <c r="E11" s="81"/>
      <c r="F11" s="20"/>
    </row>
    <row r="15" spans="1:6" x14ac:dyDescent="0.25">
      <c r="E15" s="81"/>
    </row>
  </sheetData>
  <mergeCells count="8">
    <mergeCell ref="A3:F3"/>
    <mergeCell ref="D1:F1"/>
    <mergeCell ref="A6:C6"/>
    <mergeCell ref="D6:F6"/>
    <mergeCell ref="A7:C7"/>
    <mergeCell ref="D7:F7"/>
    <mergeCell ref="A5:C5"/>
    <mergeCell ref="D5:F5"/>
  </mergeCells>
  <pageMargins left="0.70866141732283472" right="0.70866141732283472" top="0.74803149606299213" bottom="0.74803149606299213" header="0.31496062992125984" footer="0.31496062992125984"/>
  <pageSetup paperSize="9" scale="2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444D3-8645-4A93-9B43-C74D8F661B03}">
  <dimension ref="A1:L37"/>
  <sheetViews>
    <sheetView zoomScale="60" zoomScaleNormal="60" zoomScaleSheetLayoutView="55" workbookViewId="0">
      <selection activeCell="A33" sqref="A33:G33"/>
    </sheetView>
  </sheetViews>
  <sheetFormatPr defaultRowHeight="15" x14ac:dyDescent="0.25"/>
  <cols>
    <col min="1" max="1" width="22.7109375" customWidth="1"/>
    <col min="2" max="2" width="25.85546875" customWidth="1"/>
    <col min="3" max="4" width="19.85546875" customWidth="1"/>
    <col min="5" max="7" width="27.7109375" customWidth="1"/>
    <col min="8" max="8" width="20" customWidth="1"/>
    <col min="9" max="9" width="25.140625" customWidth="1"/>
    <col min="10" max="11" width="25.28515625" customWidth="1"/>
    <col min="12" max="12" width="23.140625" customWidth="1"/>
  </cols>
  <sheetData>
    <row r="1" spans="1:12" ht="99.75" customHeight="1" x14ac:dyDescent="0.35">
      <c r="J1" s="253" t="s">
        <v>57</v>
      </c>
      <c r="K1" s="254"/>
      <c r="L1" s="255"/>
    </row>
    <row r="3" spans="1:12" ht="89.25" customHeight="1" x14ac:dyDescent="0.7">
      <c r="A3" s="252" t="s">
        <v>81</v>
      </c>
      <c r="B3" s="252"/>
      <c r="C3" s="252"/>
      <c r="D3" s="252"/>
      <c r="E3" s="252"/>
      <c r="F3" s="252"/>
      <c r="G3" s="252"/>
      <c r="H3" s="252"/>
      <c r="I3" s="252"/>
      <c r="J3" s="252"/>
      <c r="K3" s="252"/>
      <c r="L3" s="252"/>
    </row>
    <row r="5" spans="1:12" s="83" customFormat="1" ht="22.5" x14ac:dyDescent="0.25">
      <c r="A5" s="264" t="s">
        <v>0</v>
      </c>
      <c r="B5" s="265"/>
      <c r="C5" s="265"/>
      <c r="D5" s="265"/>
      <c r="E5" s="265"/>
      <c r="F5" s="265"/>
      <c r="G5" s="265"/>
      <c r="H5" s="177"/>
      <c r="I5" s="177"/>
      <c r="J5" s="7"/>
      <c r="K5" s="7"/>
      <c r="L5" s="11"/>
    </row>
    <row r="6" spans="1:12" ht="20.25" x14ac:dyDescent="0.25">
      <c r="A6" s="266" t="s">
        <v>7</v>
      </c>
      <c r="B6" s="267"/>
      <c r="C6" s="267"/>
      <c r="D6" s="267"/>
      <c r="E6" s="267"/>
      <c r="F6" s="267"/>
      <c r="G6" s="267"/>
      <c r="H6" s="267"/>
      <c r="I6" s="267"/>
      <c r="J6" s="267"/>
      <c r="K6" s="267"/>
      <c r="L6" s="268"/>
    </row>
    <row r="7" spans="1:12" ht="37.5" x14ac:dyDescent="0.25">
      <c r="A7" s="4"/>
      <c r="B7" s="8" t="s">
        <v>8</v>
      </c>
      <c r="C7" s="8" t="s">
        <v>9</v>
      </c>
      <c r="D7" s="8" t="s">
        <v>5</v>
      </c>
      <c r="E7" s="8" t="s">
        <v>5</v>
      </c>
      <c r="F7" s="8" t="s">
        <v>5</v>
      </c>
      <c r="G7" s="8" t="s">
        <v>5</v>
      </c>
      <c r="H7" s="8" t="s">
        <v>5</v>
      </c>
      <c r="I7" s="8" t="s">
        <v>5</v>
      </c>
      <c r="J7" s="8" t="s">
        <v>5</v>
      </c>
      <c r="K7" s="8" t="s">
        <v>5</v>
      </c>
      <c r="L7" s="8" t="s">
        <v>5</v>
      </c>
    </row>
    <row r="8" spans="1:12" ht="31.5" x14ac:dyDescent="0.25">
      <c r="A8" s="5" t="s">
        <v>10</v>
      </c>
      <c r="B8" s="10">
        <v>1</v>
      </c>
      <c r="C8" s="2">
        <f>(200000+200000)*0.6</f>
        <v>240000</v>
      </c>
      <c r="D8" s="2"/>
      <c r="E8" s="2"/>
      <c r="F8" s="6"/>
      <c r="G8" s="9"/>
      <c r="H8" s="1"/>
      <c r="I8" s="1"/>
      <c r="J8" s="2">
        <f>B8*C8</f>
        <v>240000</v>
      </c>
      <c r="K8" s="2"/>
      <c r="L8" s="5"/>
    </row>
    <row r="9" spans="1:12" ht="31.5" x14ac:dyDescent="0.25">
      <c r="A9" s="5" t="s">
        <v>11</v>
      </c>
      <c r="B9" s="10">
        <v>2</v>
      </c>
      <c r="C9" s="2">
        <f>(200000+200000)*0.2</f>
        <v>80000</v>
      </c>
      <c r="D9" s="2"/>
      <c r="E9" s="2"/>
      <c r="F9" s="2"/>
      <c r="G9" s="10"/>
      <c r="H9" s="165"/>
      <c r="I9" s="165"/>
      <c r="J9" s="2">
        <f>B9*C9</f>
        <v>160000</v>
      </c>
      <c r="K9" s="2"/>
      <c r="L9" s="5"/>
    </row>
    <row r="10" spans="1:12" ht="31.5" x14ac:dyDescent="0.25">
      <c r="A10" s="5" t="s">
        <v>12</v>
      </c>
      <c r="B10" s="10">
        <v>3</v>
      </c>
      <c r="C10" s="2">
        <f>(200000+200000)*0.2</f>
        <v>80000</v>
      </c>
      <c r="D10" s="2"/>
      <c r="E10" s="2"/>
      <c r="F10" s="2"/>
      <c r="G10" s="10"/>
      <c r="H10" s="165"/>
      <c r="I10" s="165"/>
      <c r="J10" s="2">
        <f t="shared" ref="J10" si="0">B10*C10</f>
        <v>240000</v>
      </c>
      <c r="K10" s="2"/>
      <c r="L10" s="5"/>
    </row>
    <row r="11" spans="1:12" ht="22.5" x14ac:dyDescent="0.25">
      <c r="A11" s="264" t="s">
        <v>0</v>
      </c>
      <c r="B11" s="265"/>
      <c r="C11" s="265"/>
      <c r="D11" s="265"/>
      <c r="E11" s="265"/>
      <c r="F11" s="265"/>
      <c r="G11" s="265"/>
      <c r="H11" s="177"/>
      <c r="I11" s="177"/>
      <c r="J11" s="7">
        <f>SUM(J8:J10)</f>
        <v>640000</v>
      </c>
      <c r="K11" s="7"/>
      <c r="L11" s="11"/>
    </row>
    <row r="12" spans="1:12" ht="20.25" x14ac:dyDescent="0.25">
      <c r="A12" s="266" t="s">
        <v>13</v>
      </c>
      <c r="B12" s="267"/>
      <c r="C12" s="267"/>
      <c r="D12" s="267"/>
      <c r="E12" s="267"/>
      <c r="F12" s="267"/>
      <c r="G12" s="267"/>
      <c r="H12" s="267"/>
      <c r="I12" s="267"/>
      <c r="J12" s="267"/>
      <c r="K12" s="267"/>
      <c r="L12" s="268"/>
    </row>
    <row r="13" spans="1:12" ht="37.5" x14ac:dyDescent="0.25">
      <c r="A13" s="4"/>
      <c r="B13" s="8" t="s">
        <v>14</v>
      </c>
      <c r="C13" s="8" t="s">
        <v>6</v>
      </c>
      <c r="D13" s="8" t="s">
        <v>5</v>
      </c>
      <c r="E13" s="8" t="s">
        <v>5</v>
      </c>
      <c r="F13" s="8" t="s">
        <v>5</v>
      </c>
      <c r="G13" s="8" t="s">
        <v>5</v>
      </c>
      <c r="H13" s="8" t="s">
        <v>5</v>
      </c>
      <c r="I13" s="8" t="s">
        <v>5</v>
      </c>
      <c r="J13" s="8" t="s">
        <v>5</v>
      </c>
      <c r="K13" s="8" t="s">
        <v>5</v>
      </c>
      <c r="L13" s="8" t="s">
        <v>5</v>
      </c>
    </row>
    <row r="14" spans="1:12" ht="102.75" customHeight="1" x14ac:dyDescent="0.25">
      <c r="A14" s="5" t="s">
        <v>15</v>
      </c>
      <c r="B14" s="2">
        <v>18</v>
      </c>
      <c r="C14" s="5">
        <v>57.15</v>
      </c>
      <c r="D14" s="5"/>
      <c r="E14" s="2"/>
      <c r="F14" s="2"/>
      <c r="G14" s="2"/>
      <c r="H14" s="1"/>
      <c r="I14" s="1"/>
      <c r="J14" s="2">
        <f>B14*C14*2</f>
        <v>2057.4</v>
      </c>
      <c r="K14" s="2"/>
      <c r="L14" s="5"/>
    </row>
    <row r="15" spans="1:12" ht="22.5" x14ac:dyDescent="0.25">
      <c r="A15" s="264" t="s">
        <v>0</v>
      </c>
      <c r="B15" s="265"/>
      <c r="C15" s="265"/>
      <c r="D15" s="265"/>
      <c r="E15" s="265"/>
      <c r="F15" s="265"/>
      <c r="G15" s="265"/>
      <c r="H15" s="177"/>
      <c r="I15" s="177"/>
      <c r="J15" s="7">
        <f>J14</f>
        <v>2057.4</v>
      </c>
      <c r="K15" s="7"/>
      <c r="L15" s="11"/>
    </row>
    <row r="16" spans="1:12" ht="20.25" x14ac:dyDescent="0.25">
      <c r="A16" s="266" t="s">
        <v>16</v>
      </c>
      <c r="B16" s="267"/>
      <c r="C16" s="267"/>
      <c r="D16" s="267"/>
      <c r="E16" s="267"/>
      <c r="F16" s="267"/>
      <c r="G16" s="267"/>
      <c r="H16" s="267"/>
      <c r="I16" s="267"/>
      <c r="J16" s="267"/>
      <c r="K16" s="267"/>
      <c r="L16" s="268"/>
    </row>
    <row r="17" spans="1:12" ht="52.5" customHeight="1" x14ac:dyDescent="0.25">
      <c r="A17" s="21" t="s">
        <v>17</v>
      </c>
      <c r="B17" s="22" t="s">
        <v>8</v>
      </c>
      <c r="C17" s="13" t="s">
        <v>29</v>
      </c>
      <c r="D17" s="13" t="s">
        <v>5</v>
      </c>
      <c r="E17" s="13" t="s">
        <v>5</v>
      </c>
      <c r="F17" s="13" t="s">
        <v>5</v>
      </c>
      <c r="G17" s="13" t="s">
        <v>5</v>
      </c>
      <c r="H17" s="13" t="s">
        <v>5</v>
      </c>
      <c r="I17" s="13" t="s">
        <v>5</v>
      </c>
      <c r="J17" s="12" t="s">
        <v>68</v>
      </c>
      <c r="K17" s="12" t="s">
        <v>5</v>
      </c>
      <c r="L17" s="12" t="s">
        <v>5</v>
      </c>
    </row>
    <row r="18" spans="1:12" ht="42.75" customHeight="1" x14ac:dyDescent="0.25">
      <c r="A18" s="14" t="s">
        <v>18</v>
      </c>
      <c r="B18" s="24">
        <v>120</v>
      </c>
      <c r="C18" s="166">
        <v>300</v>
      </c>
      <c r="D18" s="167"/>
      <c r="E18" s="16"/>
      <c r="F18" s="16"/>
      <c r="G18" s="16"/>
      <c r="H18" s="15"/>
      <c r="I18" s="15"/>
      <c r="J18" s="2">
        <f>C18*B18</f>
        <v>36000</v>
      </c>
      <c r="K18" s="2"/>
      <c r="L18" s="15"/>
    </row>
    <row r="19" spans="1:12" ht="18.75" x14ac:dyDescent="0.25">
      <c r="A19" s="14" t="s">
        <v>19</v>
      </c>
      <c r="B19" s="24"/>
      <c r="C19" s="166"/>
      <c r="D19" s="167"/>
      <c r="E19" s="16"/>
      <c r="F19" s="16"/>
      <c r="G19" s="15"/>
      <c r="H19" s="15"/>
      <c r="I19" s="15"/>
      <c r="J19" s="2">
        <f>J20+J21+J22+J23</f>
        <v>212000</v>
      </c>
      <c r="K19" s="2"/>
      <c r="L19" s="15"/>
    </row>
    <row r="20" spans="1:12" ht="18.75" x14ac:dyDescent="0.25">
      <c r="A20" s="25" t="s">
        <v>30</v>
      </c>
      <c r="B20" s="26">
        <v>0.12</v>
      </c>
      <c r="C20" s="168">
        <v>800000</v>
      </c>
      <c r="D20" s="169"/>
      <c r="E20" s="27"/>
      <c r="F20" s="27"/>
      <c r="G20" s="28"/>
      <c r="H20" s="28"/>
      <c r="I20" s="28"/>
      <c r="J20" s="29">
        <f>B20*C20</f>
        <v>96000</v>
      </c>
      <c r="K20" s="29"/>
      <c r="L20" s="15"/>
    </row>
    <row r="21" spans="1:12" ht="31.5" x14ac:dyDescent="0.25">
      <c r="A21" s="25" t="s">
        <v>32</v>
      </c>
      <c r="B21" s="26">
        <v>0.15</v>
      </c>
      <c r="C21" s="168">
        <v>120000</v>
      </c>
      <c r="D21" s="169"/>
      <c r="E21" s="27"/>
      <c r="F21" s="27"/>
      <c r="G21" s="28"/>
      <c r="H21" s="28"/>
      <c r="I21" s="28"/>
      <c r="J21" s="29">
        <f t="shared" ref="J21:J23" si="1">B21*C21</f>
        <v>18000</v>
      </c>
      <c r="K21" s="29"/>
      <c r="L21" s="15"/>
    </row>
    <row r="22" spans="1:12" ht="42" customHeight="1" x14ac:dyDescent="0.25">
      <c r="A22" s="25" t="s">
        <v>31</v>
      </c>
      <c r="B22" s="26">
        <v>0.12</v>
      </c>
      <c r="C22" s="168">
        <v>400000</v>
      </c>
      <c r="D22" s="169"/>
      <c r="E22" s="27"/>
      <c r="F22" s="27"/>
      <c r="G22" s="28"/>
      <c r="H22" s="28"/>
      <c r="I22" s="28"/>
      <c r="J22" s="29">
        <f t="shared" si="1"/>
        <v>48000</v>
      </c>
      <c r="K22" s="29"/>
      <c r="L22" s="15"/>
    </row>
    <row r="23" spans="1:12" ht="42" customHeight="1" x14ac:dyDescent="0.25">
      <c r="A23" s="25" t="s">
        <v>33</v>
      </c>
      <c r="B23" s="26">
        <v>1</v>
      </c>
      <c r="C23" s="168">
        <v>50000</v>
      </c>
      <c r="D23" s="169"/>
      <c r="E23" s="27"/>
      <c r="F23" s="27"/>
      <c r="G23" s="28"/>
      <c r="H23" s="28"/>
      <c r="I23" s="28"/>
      <c r="J23" s="29">
        <f t="shared" si="1"/>
        <v>50000</v>
      </c>
      <c r="K23" s="29"/>
      <c r="L23" s="15"/>
    </row>
    <row r="24" spans="1:12" ht="32.25" customHeight="1" x14ac:dyDescent="0.25">
      <c r="A24" s="14" t="s">
        <v>20</v>
      </c>
      <c r="B24" s="24">
        <v>500</v>
      </c>
      <c r="C24" s="170">
        <v>58</v>
      </c>
      <c r="D24" s="171"/>
      <c r="E24" s="16"/>
      <c r="F24" s="16"/>
      <c r="G24" s="15"/>
      <c r="H24" s="15"/>
      <c r="I24" s="15"/>
      <c r="J24" s="2">
        <f>B24*C24</f>
        <v>29000</v>
      </c>
      <c r="K24" s="2"/>
      <c r="L24" s="15"/>
    </row>
    <row r="25" spans="1:12" ht="62.25" customHeight="1" x14ac:dyDescent="0.25">
      <c r="A25" s="14" t="s">
        <v>21</v>
      </c>
      <c r="B25" s="24">
        <v>500</v>
      </c>
      <c r="C25" s="170">
        <v>68</v>
      </c>
      <c r="D25" s="171"/>
      <c r="E25" s="16"/>
      <c r="F25" s="16"/>
      <c r="G25" s="15"/>
      <c r="H25" s="15"/>
      <c r="I25" s="15"/>
      <c r="J25" s="2">
        <f>B25*C25</f>
        <v>34000</v>
      </c>
      <c r="K25" s="2"/>
      <c r="L25" s="15"/>
    </row>
    <row r="26" spans="1:12" ht="18.75" x14ac:dyDescent="0.25">
      <c r="A26" s="14" t="s">
        <v>22</v>
      </c>
      <c r="B26" s="30">
        <v>68000</v>
      </c>
      <c r="C26" s="23">
        <v>1</v>
      </c>
      <c r="D26" s="164"/>
      <c r="E26" s="16"/>
      <c r="F26" s="16"/>
      <c r="G26" s="15"/>
      <c r="H26" s="15"/>
      <c r="I26" s="15"/>
      <c r="J26" s="2">
        <v>68000</v>
      </c>
      <c r="K26" s="2"/>
      <c r="L26" s="14"/>
    </row>
    <row r="27" spans="1:12" ht="18.75" x14ac:dyDescent="0.25">
      <c r="A27" s="14" t="s">
        <v>28</v>
      </c>
      <c r="B27" s="30">
        <v>39500</v>
      </c>
      <c r="C27" s="23">
        <v>1</v>
      </c>
      <c r="D27" s="164"/>
      <c r="E27" s="16"/>
      <c r="F27" s="16"/>
      <c r="G27" s="15"/>
      <c r="H27" s="15"/>
      <c r="I27" s="15"/>
      <c r="J27" s="2">
        <v>39500</v>
      </c>
      <c r="K27" s="2"/>
      <c r="L27" s="14"/>
    </row>
    <row r="28" spans="1:12" ht="22.5" customHeight="1" x14ac:dyDescent="0.25">
      <c r="A28" s="269" t="s">
        <v>0</v>
      </c>
      <c r="B28" s="270"/>
      <c r="C28" s="270"/>
      <c r="D28" s="270"/>
      <c r="E28" s="270"/>
      <c r="F28" s="270"/>
      <c r="G28" s="270"/>
      <c r="H28" s="178"/>
      <c r="I28" s="178"/>
      <c r="J28" s="7">
        <f>J18+J19+J24+J25+J26+J27</f>
        <v>418500</v>
      </c>
      <c r="K28" s="7"/>
      <c r="L28" s="17"/>
    </row>
    <row r="29" spans="1:12" ht="20.25" x14ac:dyDescent="0.25">
      <c r="A29" s="266" t="s">
        <v>23</v>
      </c>
      <c r="B29" s="267"/>
      <c r="C29" s="267"/>
      <c r="D29" s="267"/>
      <c r="E29" s="267"/>
      <c r="F29" s="267"/>
      <c r="G29" s="267"/>
      <c r="H29" s="267"/>
      <c r="I29" s="267"/>
      <c r="J29" s="267"/>
      <c r="K29" s="267"/>
      <c r="L29" s="268"/>
    </row>
    <row r="30" spans="1:12" ht="56.25" x14ac:dyDescent="0.25">
      <c r="A30" s="4"/>
      <c r="B30" s="8" t="s">
        <v>24</v>
      </c>
      <c r="C30" s="8" t="s">
        <v>27</v>
      </c>
      <c r="D30" s="8" t="s">
        <v>8</v>
      </c>
      <c r="E30" s="8" t="s">
        <v>26</v>
      </c>
      <c r="F30" s="8" t="s">
        <v>5</v>
      </c>
      <c r="G30" s="8" t="s">
        <v>5</v>
      </c>
      <c r="H30" s="8" t="s">
        <v>5</v>
      </c>
      <c r="I30" s="8" t="s">
        <v>5</v>
      </c>
      <c r="J30" s="8" t="s">
        <v>5</v>
      </c>
      <c r="K30" s="8" t="s">
        <v>5</v>
      </c>
      <c r="L30" s="8" t="s">
        <v>5</v>
      </c>
    </row>
    <row r="31" spans="1:12" ht="102.75" customHeight="1" x14ac:dyDescent="0.25">
      <c r="A31" s="5" t="s">
        <v>25</v>
      </c>
      <c r="B31" s="2">
        <v>3</v>
      </c>
      <c r="C31" s="5">
        <v>392</v>
      </c>
      <c r="D31" s="2">
        <f>396.53604+12</f>
        <v>408.53604000000001</v>
      </c>
      <c r="E31" s="2">
        <v>2</v>
      </c>
      <c r="F31" s="5"/>
      <c r="G31" s="5"/>
      <c r="H31" s="3"/>
      <c r="I31" s="3"/>
      <c r="J31" s="2">
        <f>ROUND(C31*D31,0)</f>
        <v>160146</v>
      </c>
      <c r="K31" s="2"/>
      <c r="L31" s="5"/>
    </row>
    <row r="32" spans="1:12" ht="22.5" x14ac:dyDescent="0.25">
      <c r="A32" s="264" t="s">
        <v>0</v>
      </c>
      <c r="B32" s="265"/>
      <c r="C32" s="265"/>
      <c r="D32" s="265"/>
      <c r="E32" s="265"/>
      <c r="F32" s="265"/>
      <c r="G32" s="265"/>
      <c r="H32" s="177"/>
      <c r="I32" s="177"/>
      <c r="J32" s="7">
        <f>J31</f>
        <v>160146</v>
      </c>
      <c r="K32" s="7"/>
      <c r="L32" s="11"/>
    </row>
    <row r="33" spans="1:12" ht="25.5" customHeight="1" x14ac:dyDescent="0.25">
      <c r="A33" s="260" t="s">
        <v>138</v>
      </c>
      <c r="B33" s="261"/>
      <c r="C33" s="261"/>
      <c r="D33" s="261"/>
      <c r="E33" s="261"/>
      <c r="F33" s="261"/>
      <c r="G33" s="261"/>
      <c r="H33" s="262">
        <f>J32+J28+J15+J11</f>
        <v>1220703.3999999999</v>
      </c>
      <c r="I33" s="262"/>
      <c r="J33" s="262"/>
      <c r="K33" s="262"/>
      <c r="L33" s="263"/>
    </row>
    <row r="34" spans="1:12" ht="22.5" customHeight="1" x14ac:dyDescent="0.25">
      <c r="A34" s="18"/>
      <c r="B34" s="18"/>
      <c r="C34" s="18"/>
      <c r="D34" s="18"/>
      <c r="E34" s="18"/>
      <c r="F34" s="18"/>
      <c r="G34" s="18"/>
      <c r="H34" s="19"/>
      <c r="I34" s="19"/>
      <c r="J34" s="19"/>
      <c r="K34" s="19"/>
      <c r="L34" s="19"/>
    </row>
    <row r="35" spans="1:12" ht="22.5" customHeight="1" x14ac:dyDescent="0.25">
      <c r="A35" s="18"/>
      <c r="B35" s="18"/>
      <c r="C35" s="18"/>
      <c r="D35" s="18"/>
      <c r="E35" s="18"/>
      <c r="F35" s="18"/>
      <c r="G35" s="18"/>
      <c r="H35" s="19"/>
      <c r="I35" s="19"/>
      <c r="J35" s="19"/>
      <c r="K35" s="19"/>
      <c r="L35" s="19"/>
    </row>
    <row r="37" spans="1:12" x14ac:dyDescent="0.25">
      <c r="L37" s="20"/>
    </row>
  </sheetData>
  <mergeCells count="13">
    <mergeCell ref="A33:G33"/>
    <mergeCell ref="H33:L33"/>
    <mergeCell ref="J1:L1"/>
    <mergeCell ref="A3:L3"/>
    <mergeCell ref="A5:G5"/>
    <mergeCell ref="A6:L6"/>
    <mergeCell ref="A11:G11"/>
    <mergeCell ref="A12:L12"/>
    <mergeCell ref="A15:G15"/>
    <mergeCell ref="A16:L16"/>
    <mergeCell ref="A28:G28"/>
    <mergeCell ref="A29:L29"/>
    <mergeCell ref="A32:G32"/>
  </mergeCells>
  <pageMargins left="0.70866141732283472" right="0.70866141732283472" top="0.74803149606299213" bottom="0.74803149606299213" header="0.31496062992125984" footer="0.31496062992125984"/>
  <pageSetup paperSize="9" scal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9ADA2-3414-48BA-AC8E-7CFE9C871080}">
  <dimension ref="D1:O23"/>
  <sheetViews>
    <sheetView view="pageBreakPreview" topLeftCell="D1" zoomScale="85" zoomScaleNormal="100" zoomScaleSheetLayoutView="85" workbookViewId="0">
      <selection activeCell="N2" sqref="N2"/>
    </sheetView>
  </sheetViews>
  <sheetFormatPr defaultColWidth="23.7109375" defaultRowHeight="28.5" customHeight="1" x14ac:dyDescent="0.2"/>
  <cols>
    <col min="1" max="3" width="0" style="31" hidden="1" customWidth="1"/>
    <col min="4" max="4" width="36.28515625" style="31" customWidth="1"/>
    <col min="5" max="5" width="12" style="31" customWidth="1"/>
    <col min="6" max="6" width="14.42578125" style="31" customWidth="1"/>
    <col min="7" max="7" width="10.42578125" style="31" customWidth="1"/>
    <col min="8" max="8" width="15" style="31" customWidth="1"/>
    <col min="9" max="10" width="9.28515625" style="31" customWidth="1"/>
    <col min="11" max="11" width="15" style="31" customWidth="1"/>
    <col min="12" max="12" width="9.28515625" style="31" customWidth="1"/>
    <col min="13" max="13" width="10.140625" style="31" customWidth="1"/>
    <col min="14" max="16384" width="23.7109375" style="31"/>
  </cols>
  <sheetData>
    <row r="1" spans="4:15" ht="100.5" customHeight="1" x14ac:dyDescent="0.25">
      <c r="N1" s="275" t="s">
        <v>76</v>
      </c>
      <c r="O1" s="275"/>
    </row>
    <row r="2" spans="4:15" ht="28.5" customHeight="1" x14ac:dyDescent="0.2">
      <c r="D2" s="271" t="s">
        <v>34</v>
      </c>
      <c r="E2" s="272"/>
      <c r="F2" s="272"/>
      <c r="G2" s="272"/>
      <c r="H2" s="272"/>
      <c r="I2" s="272"/>
      <c r="J2" s="272"/>
      <c r="K2" s="272"/>
      <c r="L2" s="272"/>
      <c r="M2" s="272"/>
    </row>
    <row r="3" spans="4:15" ht="28.5" customHeight="1" thickBot="1" x14ac:dyDescent="0.25">
      <c r="D3" s="32" t="s">
        <v>35</v>
      </c>
      <c r="E3" s="33"/>
      <c r="F3" s="33"/>
      <c r="G3" s="33"/>
      <c r="H3" s="33"/>
      <c r="I3" s="33"/>
      <c r="J3" s="33"/>
      <c r="K3" s="33"/>
      <c r="L3" s="33"/>
      <c r="M3" s="33"/>
    </row>
    <row r="4" spans="4:15" ht="63.75" x14ac:dyDescent="0.2">
      <c r="D4" s="34" t="s">
        <v>36</v>
      </c>
      <c r="E4" s="35" t="s">
        <v>37</v>
      </c>
      <c r="F4" s="35" t="s">
        <v>38</v>
      </c>
      <c r="G4" s="36" t="s">
        <v>39</v>
      </c>
      <c r="H4" s="36" t="s">
        <v>135</v>
      </c>
      <c r="I4" s="37" t="s">
        <v>40</v>
      </c>
      <c r="J4" s="37" t="s">
        <v>41</v>
      </c>
      <c r="K4" s="36" t="s">
        <v>42</v>
      </c>
      <c r="L4" s="36" t="s">
        <v>43</v>
      </c>
      <c r="M4" s="38" t="s">
        <v>44</v>
      </c>
    </row>
    <row r="5" spans="4:15" ht="16.5" customHeight="1" x14ac:dyDescent="0.2">
      <c r="D5" s="39" t="s">
        <v>45</v>
      </c>
      <c r="E5" s="40">
        <v>7.65</v>
      </c>
      <c r="F5" s="41">
        <f>8</f>
        <v>8</v>
      </c>
      <c r="G5" s="42">
        <f>E5*F5</f>
        <v>61.2</v>
      </c>
      <c r="H5" s="42">
        <f>E5*8</f>
        <v>61.2</v>
      </c>
      <c r="I5" s="42">
        <f>G5*0.03</f>
        <v>1.8360000000000001</v>
      </c>
      <c r="J5" s="42">
        <f>G5*0.17</f>
        <v>10.404000000000002</v>
      </c>
      <c r="K5" s="42">
        <f>SUM(G5:J5)</f>
        <v>134.64000000000001</v>
      </c>
      <c r="L5" s="42">
        <f>K5*0.2359</f>
        <v>31.761576000000002</v>
      </c>
      <c r="M5" s="43">
        <f>K5+L5</f>
        <v>166.40157600000001</v>
      </c>
    </row>
    <row r="6" spans="4:15" ht="25.5" x14ac:dyDescent="0.2">
      <c r="D6" s="44" t="s">
        <v>46</v>
      </c>
      <c r="E6" s="40">
        <v>5.44</v>
      </c>
      <c r="F6" s="41">
        <f>8</f>
        <v>8</v>
      </c>
      <c r="G6" s="42">
        <f t="shared" ref="G6:G7" si="0">E6*F6</f>
        <v>43.52</v>
      </c>
      <c r="H6" s="42">
        <f>E6*8</f>
        <v>43.52</v>
      </c>
      <c r="I6" s="42">
        <f t="shared" ref="I6:I7" si="1">G6*0.03</f>
        <v>1.3056000000000001</v>
      </c>
      <c r="J6" s="42">
        <f t="shared" ref="J6:J7" si="2">G6*0.17</f>
        <v>7.3984000000000014</v>
      </c>
      <c r="K6" s="42">
        <f t="shared" ref="K6:K7" si="3">SUM(G6:J6)</f>
        <v>95.744</v>
      </c>
      <c r="L6" s="42">
        <f t="shared" ref="L6:L7" si="4">K6*0.2359</f>
        <v>22.586009600000001</v>
      </c>
      <c r="M6" s="43">
        <f t="shared" ref="M6:M7" si="5">K6+L6</f>
        <v>118.3300096</v>
      </c>
    </row>
    <row r="7" spans="4:15" ht="16.5" customHeight="1" x14ac:dyDescent="0.2">
      <c r="D7" s="39" t="s">
        <v>47</v>
      </c>
      <c r="E7" s="40">
        <v>5.14</v>
      </c>
      <c r="F7" s="41">
        <f>8</f>
        <v>8</v>
      </c>
      <c r="G7" s="42">
        <f t="shared" si="0"/>
        <v>41.12</v>
      </c>
      <c r="H7" s="42">
        <f>E7*8</f>
        <v>41.12</v>
      </c>
      <c r="I7" s="42">
        <f t="shared" si="1"/>
        <v>1.2335999999999998</v>
      </c>
      <c r="J7" s="42">
        <f t="shared" si="2"/>
        <v>6.9904000000000002</v>
      </c>
      <c r="K7" s="42">
        <f t="shared" si="3"/>
        <v>90.463999999999984</v>
      </c>
      <c r="L7" s="42">
        <f t="shared" si="4"/>
        <v>21.340457599999997</v>
      </c>
      <c r="M7" s="43">
        <f t="shared" si="5"/>
        <v>111.80445759999998</v>
      </c>
    </row>
    <row r="8" spans="4:15" ht="16.5" customHeight="1" thickBot="1" x14ac:dyDescent="0.25">
      <c r="D8" s="45" t="s">
        <v>48</v>
      </c>
      <c r="E8" s="46"/>
      <c r="F8" s="47">
        <f>SUM(F5:F7)</f>
        <v>24</v>
      </c>
      <c r="G8" s="48">
        <f t="shared" ref="G8:J8" si="6">SUM(G5:G7)</f>
        <v>145.84</v>
      </c>
      <c r="H8" s="48">
        <f t="shared" si="6"/>
        <v>145.84</v>
      </c>
      <c r="I8" s="48">
        <f t="shared" si="6"/>
        <v>4.3752000000000004</v>
      </c>
      <c r="J8" s="48">
        <f t="shared" si="6"/>
        <v>24.792800000000003</v>
      </c>
      <c r="K8" s="48">
        <f>SUM(K5:K7)</f>
        <v>320.84800000000001</v>
      </c>
      <c r="L8" s="48">
        <f>SUM(L5:L7)</f>
        <v>75.688043199999996</v>
      </c>
      <c r="M8" s="49">
        <f>SUM(M5:M7)</f>
        <v>396.53604319999999</v>
      </c>
    </row>
    <row r="9" spans="4:15" s="51" customFormat="1" ht="39" customHeight="1" thickBot="1" x14ac:dyDescent="0.25">
      <c r="D9" s="50" t="s">
        <v>49</v>
      </c>
      <c r="F9" s="52"/>
      <c r="G9" s="52"/>
      <c r="H9" s="52"/>
      <c r="I9" s="52"/>
      <c r="J9" s="52"/>
      <c r="K9" s="52"/>
      <c r="L9" s="52"/>
      <c r="N9" s="31"/>
    </row>
    <row r="10" spans="4:15" ht="78.599999999999994" customHeight="1" x14ac:dyDescent="0.2">
      <c r="D10" s="53" t="s">
        <v>50</v>
      </c>
      <c r="E10" s="54" t="s">
        <v>51</v>
      </c>
      <c r="F10" s="55" t="s">
        <v>52</v>
      </c>
      <c r="G10" s="56" t="s">
        <v>53</v>
      </c>
      <c r="H10" s="57"/>
      <c r="I10" s="52"/>
      <c r="J10" s="52"/>
      <c r="K10" s="52"/>
      <c r="L10" s="52"/>
      <c r="M10" s="51"/>
    </row>
    <row r="11" spans="4:15" ht="28.5" customHeight="1" thickBot="1" x14ac:dyDescent="0.35">
      <c r="D11" s="58" t="s">
        <v>54</v>
      </c>
      <c r="E11" s="59">
        <v>3</v>
      </c>
      <c r="F11" s="60">
        <v>4</v>
      </c>
      <c r="G11" s="61">
        <f>E11*F11</f>
        <v>12</v>
      </c>
      <c r="H11" s="62"/>
      <c r="I11" s="52"/>
      <c r="J11" s="52"/>
      <c r="K11" s="63">
        <f>G15*H23</f>
        <v>160146.12893440001</v>
      </c>
      <c r="L11" s="52"/>
      <c r="M11" s="51"/>
    </row>
    <row r="12" spans="4:15" ht="12.75" customHeight="1" x14ac:dyDescent="0.2">
      <c r="I12" s="52"/>
      <c r="J12" s="52"/>
      <c r="K12" s="52"/>
      <c r="L12" s="52"/>
      <c r="M12" s="51"/>
    </row>
    <row r="13" spans="4:15" ht="12.75" customHeight="1" x14ac:dyDescent="0.2">
      <c r="D13" s="31" t="s">
        <v>136</v>
      </c>
      <c r="I13" s="52"/>
      <c r="J13" s="52"/>
      <c r="K13" s="52"/>
      <c r="L13" s="52"/>
      <c r="M13" s="51"/>
    </row>
    <row r="14" spans="4:15" ht="12.75" customHeight="1" x14ac:dyDescent="0.2">
      <c r="I14" s="52"/>
      <c r="J14" s="52"/>
      <c r="K14" s="52"/>
      <c r="L14" s="52"/>
      <c r="M14" s="51"/>
    </row>
    <row r="15" spans="4:15" ht="28.5" customHeight="1" x14ac:dyDescent="0.25">
      <c r="D15" s="273" t="s">
        <v>134</v>
      </c>
      <c r="E15" s="273"/>
      <c r="F15" s="273"/>
      <c r="G15" s="172">
        <f>G11+M8</f>
        <v>408.53604319999999</v>
      </c>
      <c r="H15" s="173"/>
      <c r="I15" s="173"/>
      <c r="J15" s="173"/>
      <c r="K15" s="173"/>
      <c r="L15" s="173"/>
      <c r="M15" s="173"/>
    </row>
    <row r="16" spans="4:15" ht="20.45" customHeight="1" thickBot="1" x14ac:dyDescent="0.25">
      <c r="D16" s="274" t="s">
        <v>55</v>
      </c>
      <c r="E16" s="274"/>
      <c r="F16" s="274"/>
      <c r="G16" s="274"/>
      <c r="H16" s="274"/>
      <c r="I16" s="274"/>
      <c r="J16" s="274"/>
      <c r="K16" s="274"/>
      <c r="L16" s="274"/>
      <c r="M16" s="274"/>
    </row>
    <row r="17" spans="4:12" ht="28.5" customHeight="1" x14ac:dyDescent="0.2">
      <c r="D17" s="73" t="s">
        <v>62</v>
      </c>
      <c r="E17" s="74" t="s">
        <v>58</v>
      </c>
      <c r="F17" s="74" t="s">
        <v>59</v>
      </c>
      <c r="G17" s="75" t="s">
        <v>60</v>
      </c>
      <c r="H17" s="76" t="s">
        <v>61</v>
      </c>
      <c r="L17" s="64"/>
    </row>
    <row r="18" spans="4:12" ht="28.5" customHeight="1" x14ac:dyDescent="0.2">
      <c r="D18" s="68" t="s">
        <v>63</v>
      </c>
      <c r="E18" s="67">
        <v>21</v>
      </c>
      <c r="F18" s="67">
        <v>8</v>
      </c>
      <c r="G18" s="67">
        <v>2</v>
      </c>
      <c r="H18" s="69">
        <f>E18*G18</f>
        <v>42</v>
      </c>
    </row>
    <row r="19" spans="4:12" ht="28.5" customHeight="1" x14ac:dyDescent="0.2">
      <c r="D19" s="68" t="s">
        <v>64</v>
      </c>
      <c r="E19" s="67">
        <v>28</v>
      </c>
      <c r="F19" s="67">
        <v>16</v>
      </c>
      <c r="G19" s="67">
        <v>2</v>
      </c>
      <c r="H19" s="69">
        <f>E19*G19*2</f>
        <v>112</v>
      </c>
    </row>
    <row r="20" spans="4:12" ht="28.5" customHeight="1" x14ac:dyDescent="0.2">
      <c r="D20" s="68" t="s">
        <v>65</v>
      </c>
      <c r="E20" s="67">
        <v>49</v>
      </c>
      <c r="F20" s="67">
        <v>8</v>
      </c>
      <c r="G20" s="67">
        <v>2</v>
      </c>
      <c r="H20" s="69">
        <f t="shared" ref="H20:H22" si="7">E20*G20</f>
        <v>98</v>
      </c>
    </row>
    <row r="21" spans="4:12" ht="28.5" customHeight="1" x14ac:dyDescent="0.2">
      <c r="D21" s="68" t="s">
        <v>66</v>
      </c>
      <c r="E21" s="67">
        <v>28</v>
      </c>
      <c r="F21" s="67">
        <v>16</v>
      </c>
      <c r="G21" s="67">
        <v>2</v>
      </c>
      <c r="H21" s="69">
        <f>E21*G21*2</f>
        <v>112</v>
      </c>
    </row>
    <row r="22" spans="4:12" ht="28.5" customHeight="1" thickBot="1" x14ac:dyDescent="0.25">
      <c r="D22" s="70" t="s">
        <v>67</v>
      </c>
      <c r="E22" s="71">
        <v>14</v>
      </c>
      <c r="F22" s="71">
        <v>8</v>
      </c>
      <c r="G22" s="71">
        <v>2</v>
      </c>
      <c r="H22" s="72">
        <f t="shared" si="7"/>
        <v>28</v>
      </c>
    </row>
    <row r="23" spans="4:12" ht="28.5" customHeight="1" x14ac:dyDescent="0.25">
      <c r="E23" s="65"/>
      <c r="F23" s="65"/>
      <c r="G23" s="65"/>
      <c r="H23" s="66">
        <f>SUM(H18:H22)</f>
        <v>392</v>
      </c>
    </row>
  </sheetData>
  <mergeCells count="4">
    <mergeCell ref="D2:M2"/>
    <mergeCell ref="D15:F15"/>
    <mergeCell ref="D16:M16"/>
    <mergeCell ref="N1:O1"/>
  </mergeCells>
  <pageMargins left="0.70866141732283472" right="0.70866141732283472" top="0.74803149606299213" bottom="0.74803149606299213" header="0.31496062992125984" footer="0.31496062992125984"/>
  <pageSetup paperSize="9" scale="60" orientation="landscape"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05D19-C7E4-4923-9137-08477FCB4B02}">
  <dimension ref="A1:AF54"/>
  <sheetViews>
    <sheetView tabSelected="1" view="pageBreakPreview" topLeftCell="A37" zoomScale="80" zoomScaleNormal="80" zoomScaleSheetLayoutView="80" workbookViewId="0">
      <selection activeCell="K22" sqref="K22"/>
    </sheetView>
  </sheetViews>
  <sheetFormatPr defaultColWidth="9.140625" defaultRowHeight="15" x14ac:dyDescent="0.25"/>
  <cols>
    <col min="1" max="3" width="11.42578125" style="179" customWidth="1"/>
    <col min="4" max="4" width="17.28515625" style="179" customWidth="1"/>
    <col min="5" max="5" width="23.28515625" style="179" customWidth="1"/>
    <col min="6" max="6" width="20.5703125" style="179" customWidth="1"/>
    <col min="7" max="7" width="19.85546875" style="179" customWidth="1"/>
    <col min="8" max="8" width="17.140625" style="179" customWidth="1"/>
    <col min="9" max="9" width="18.140625" style="179" customWidth="1"/>
    <col min="10" max="11" width="15.140625" style="179" customWidth="1"/>
    <col min="12" max="12" width="16.7109375" style="179" customWidth="1"/>
    <col min="13" max="13" width="9.140625" style="179"/>
    <col min="14" max="14" width="13" style="179" customWidth="1"/>
    <col min="15" max="15" width="12" style="179" customWidth="1"/>
    <col min="16" max="16" width="12.85546875" style="179" customWidth="1"/>
    <col min="17" max="17" width="16.5703125" style="84" customWidth="1"/>
    <col min="18" max="18" width="15.5703125" style="84" customWidth="1"/>
    <col min="19" max="19" width="17.28515625" style="179" customWidth="1"/>
    <col min="20" max="20" width="9.140625" style="179"/>
    <col min="21" max="21" width="20.42578125" style="179" customWidth="1"/>
    <col min="22" max="22" width="17.140625" style="179" bestFit="1" customWidth="1"/>
    <col min="23" max="23" width="15" style="179" bestFit="1" customWidth="1"/>
    <col min="24" max="24" width="11.42578125" style="179" bestFit="1" customWidth="1"/>
    <col min="25" max="25" width="12.42578125" style="179" customWidth="1"/>
    <col min="26" max="26" width="15.140625" style="179" customWidth="1"/>
    <col min="27" max="27" width="11.28515625" style="179" customWidth="1"/>
    <col min="28" max="28" width="12.7109375" style="179" customWidth="1"/>
    <col min="29" max="29" width="14.42578125" style="179" customWidth="1"/>
    <col min="30" max="30" width="14.7109375" style="179" customWidth="1"/>
    <col min="31" max="31" width="13.42578125" style="179" customWidth="1"/>
    <col min="32" max="16384" width="9.140625" style="179"/>
  </cols>
  <sheetData>
    <row r="1" spans="1:32" ht="75" customHeight="1" x14ac:dyDescent="0.25">
      <c r="O1" s="276" t="s">
        <v>77</v>
      </c>
      <c r="P1" s="276"/>
      <c r="Q1" s="276"/>
      <c r="R1" s="276"/>
      <c r="S1" s="276"/>
      <c r="T1" s="117"/>
    </row>
    <row r="2" spans="1:32" x14ac:dyDescent="0.25">
      <c r="A2" s="96" t="s">
        <v>113</v>
      </c>
      <c r="B2" s="97"/>
      <c r="C2" s="97"/>
      <c r="D2" s="97"/>
      <c r="E2" s="97"/>
      <c r="F2" s="97"/>
      <c r="G2" s="97"/>
      <c r="H2" s="97"/>
      <c r="I2" s="97"/>
      <c r="J2" s="97"/>
      <c r="K2" s="97"/>
      <c r="L2" s="97"/>
      <c r="M2" s="97"/>
      <c r="N2" s="97"/>
      <c r="O2" s="97"/>
      <c r="P2" s="97"/>
      <c r="Q2" s="98"/>
      <c r="R2" s="98"/>
      <c r="S2" s="97"/>
    </row>
    <row r="3" spans="1:32" x14ac:dyDescent="0.25">
      <c r="A3" s="174" t="s">
        <v>111</v>
      </c>
      <c r="B3" s="174"/>
      <c r="C3" s="117"/>
      <c r="D3" s="117"/>
      <c r="E3" s="117"/>
      <c r="F3" s="117"/>
    </row>
    <row r="4" spans="1:32" ht="90" x14ac:dyDescent="0.25">
      <c r="A4" s="87" t="s">
        <v>110</v>
      </c>
      <c r="B4" s="91" t="s">
        <v>109</v>
      </c>
      <c r="C4" s="91" t="s">
        <v>108</v>
      </c>
      <c r="D4" s="91" t="s">
        <v>107</v>
      </c>
      <c r="E4" s="91" t="s">
        <v>106</v>
      </c>
      <c r="F4" s="91" t="s">
        <v>105</v>
      </c>
      <c r="G4" s="91" t="s">
        <v>104</v>
      </c>
      <c r="H4" s="91" t="s">
        <v>103</v>
      </c>
      <c r="I4" s="91" t="s">
        <v>102</v>
      </c>
      <c r="J4" s="91" t="s">
        <v>101</v>
      </c>
      <c r="K4" s="91" t="s">
        <v>100</v>
      </c>
      <c r="L4" s="91" t="s">
        <v>99</v>
      </c>
      <c r="N4" s="118" t="s">
        <v>98</v>
      </c>
      <c r="O4" s="118" t="s">
        <v>121</v>
      </c>
      <c r="P4" s="118" t="s">
        <v>120</v>
      </c>
      <c r="Q4" s="119" t="s">
        <v>1</v>
      </c>
      <c r="R4" s="119" t="s">
        <v>116</v>
      </c>
      <c r="S4" s="180" t="s">
        <v>122</v>
      </c>
      <c r="V4" s="278" t="s">
        <v>160</v>
      </c>
      <c r="W4" s="278"/>
      <c r="X4" s="278"/>
      <c r="Y4" s="278"/>
      <c r="Z4" s="278"/>
      <c r="AA4" s="278"/>
      <c r="AB4" s="278"/>
      <c r="AC4" s="278"/>
      <c r="AD4" s="278"/>
      <c r="AE4" s="278"/>
    </row>
    <row r="5" spans="1:32" ht="30" x14ac:dyDescent="0.25">
      <c r="A5" s="175">
        <v>841414</v>
      </c>
      <c r="B5" s="175">
        <v>231200</v>
      </c>
      <c r="C5" s="175">
        <v>610214</v>
      </c>
      <c r="D5" s="175">
        <v>168283</v>
      </c>
      <c r="E5" s="87" t="s">
        <v>89</v>
      </c>
      <c r="F5" s="87" t="s">
        <v>97</v>
      </c>
      <c r="G5" s="95">
        <v>10640.47</v>
      </c>
      <c r="H5" s="87">
        <v>2.5</v>
      </c>
      <c r="I5" s="87">
        <v>6</v>
      </c>
      <c r="J5" s="87">
        <f>ROUNDDOWN(H5*G5,0)</f>
        <v>26601</v>
      </c>
      <c r="K5" s="87">
        <f t="shared" ref="K5:K12" si="0">ROUNDDOWN(I5*G5,2)</f>
        <v>63842.82</v>
      </c>
      <c r="L5" s="87">
        <f t="shared" ref="L5:L12" si="1">K5+J5</f>
        <v>90443.82</v>
      </c>
      <c r="N5" s="162">
        <v>6.77</v>
      </c>
      <c r="O5" s="163">
        <f>ROUND(6.77*B5,0)</f>
        <v>1565224</v>
      </c>
      <c r="P5" s="159">
        <f>ROUNDUP(J5*1.21,0)</f>
        <v>32188</v>
      </c>
      <c r="Q5" s="150">
        <f>11.23*B5</f>
        <v>2596376</v>
      </c>
      <c r="R5" s="92">
        <f t="shared" ref="R5:R12" si="2">SUM(O5:Q5)</f>
        <v>4193788</v>
      </c>
      <c r="S5" s="93"/>
      <c r="V5" s="228"/>
      <c r="W5" s="225" t="s">
        <v>150</v>
      </c>
      <c r="X5" s="225" t="s">
        <v>151</v>
      </c>
      <c r="Y5" s="225" t="s">
        <v>148</v>
      </c>
      <c r="Z5" s="225" t="s">
        <v>149</v>
      </c>
      <c r="AA5" s="225" t="s">
        <v>155</v>
      </c>
      <c r="AB5" s="225" t="s">
        <v>156</v>
      </c>
      <c r="AC5" s="226" t="s">
        <v>157</v>
      </c>
      <c r="AD5" s="226" t="s">
        <v>158</v>
      </c>
      <c r="AE5" s="226" t="s">
        <v>159</v>
      </c>
    </row>
    <row r="6" spans="1:32" x14ac:dyDescent="0.25">
      <c r="A6" s="175">
        <f>B6+C6</f>
        <v>694170</v>
      </c>
      <c r="B6" s="175">
        <v>231316</v>
      </c>
      <c r="C6" s="175">
        <v>462854</v>
      </c>
      <c r="D6" s="175">
        <v>47326</v>
      </c>
      <c r="E6" s="87" t="s">
        <v>89</v>
      </c>
      <c r="F6" s="87" t="s">
        <v>3</v>
      </c>
      <c r="G6" s="90">
        <v>2242.4299999999998</v>
      </c>
      <c r="H6" s="87">
        <v>1</v>
      </c>
      <c r="I6" s="87">
        <v>6</v>
      </c>
      <c r="J6" s="87">
        <f>ROUNDDOWN(H6*G6,0)</f>
        <v>2242</v>
      </c>
      <c r="K6" s="87">
        <f t="shared" si="0"/>
        <v>13454.58</v>
      </c>
      <c r="L6" s="87">
        <f t="shared" si="1"/>
        <v>15696.58</v>
      </c>
      <c r="N6" s="162">
        <v>10</v>
      </c>
      <c r="O6" s="163">
        <f>10*B6</f>
        <v>2313160</v>
      </c>
      <c r="P6" s="154">
        <f>J6*1.21</f>
        <v>2712.8199999999997</v>
      </c>
      <c r="Q6" s="150">
        <f>11.23*B6</f>
        <v>2597678.6800000002</v>
      </c>
      <c r="R6" s="92">
        <f t="shared" si="2"/>
        <v>4913551.5</v>
      </c>
      <c r="S6" s="93"/>
      <c r="V6" s="227" t="s">
        <v>152</v>
      </c>
      <c r="W6" s="233">
        <f>B8</f>
        <v>283457</v>
      </c>
      <c r="X6" s="240">
        <f>22.5/1.1419</f>
        <v>19.704002101760224</v>
      </c>
      <c r="Y6" s="233">
        <f>W6*X6</f>
        <v>5585237.3237586478</v>
      </c>
      <c r="Z6" s="233">
        <f>Y6*0.4</f>
        <v>2234094.929503459</v>
      </c>
      <c r="AA6" s="233">
        <f>Y6*0.4</f>
        <v>2234094.929503459</v>
      </c>
      <c r="AB6" s="233">
        <f>AA6-(Y6*0.2)</f>
        <v>1117047.4647517295</v>
      </c>
      <c r="AC6" s="233">
        <f>Z6+AA6</f>
        <v>4468189.859006918</v>
      </c>
      <c r="AD6" s="233">
        <f>AC6</f>
        <v>4468189.859006918</v>
      </c>
      <c r="AE6" s="233">
        <v>0</v>
      </c>
    </row>
    <row r="7" spans="1:32" ht="31.5" customHeight="1" x14ac:dyDescent="0.25">
      <c r="A7" s="175">
        <f>B7+C7</f>
        <v>315477</v>
      </c>
      <c r="B7" s="175">
        <v>64824</v>
      </c>
      <c r="C7" s="175">
        <v>250653</v>
      </c>
      <c r="D7" s="175">
        <v>42071</v>
      </c>
      <c r="E7" s="87" t="s">
        <v>89</v>
      </c>
      <c r="F7" s="87" t="s">
        <v>96</v>
      </c>
      <c r="G7" s="90">
        <v>1995.08</v>
      </c>
      <c r="H7" s="87">
        <v>1</v>
      </c>
      <c r="I7" s="87">
        <v>6</v>
      </c>
      <c r="J7" s="87">
        <f>ROUNDDOWN(H7*G7,0)</f>
        <v>1995</v>
      </c>
      <c r="K7" s="87">
        <f t="shared" si="0"/>
        <v>11970.48</v>
      </c>
      <c r="L7" s="87">
        <f t="shared" si="1"/>
        <v>13965.48</v>
      </c>
      <c r="N7" s="162">
        <v>13.31</v>
      </c>
      <c r="O7" s="163">
        <f>ROUND(13.31*B7,0)</f>
        <v>862807</v>
      </c>
      <c r="P7" s="158">
        <f>J7*1.21</f>
        <v>2413.9499999999998</v>
      </c>
      <c r="Q7" s="150">
        <f>11.23*B7</f>
        <v>727973.52</v>
      </c>
      <c r="R7" s="92">
        <f t="shared" si="2"/>
        <v>1593194.47</v>
      </c>
      <c r="S7" s="93"/>
      <c r="V7" s="227" t="s">
        <v>153</v>
      </c>
      <c r="W7" s="233">
        <f>C8</f>
        <v>220322</v>
      </c>
      <c r="X7" s="240">
        <f>22.5/1.1419</f>
        <v>19.704002101760224</v>
      </c>
      <c r="Y7" s="233">
        <f>W7*X7</f>
        <v>4341225.1510640159</v>
      </c>
      <c r="Z7" s="233">
        <f>Y7*0.4</f>
        <v>1736490.0604256066</v>
      </c>
      <c r="AA7" s="233">
        <f>Y7*0.4</f>
        <v>1736490.0604256066</v>
      </c>
      <c r="AB7" s="233">
        <f>AA7-(Y7*0.2)</f>
        <v>868245.03021280328</v>
      </c>
      <c r="AC7" s="233">
        <f>Z7+AA7</f>
        <v>3472980.1208512131</v>
      </c>
      <c r="AD7" s="233">
        <f>Z7</f>
        <v>1736490.0604256066</v>
      </c>
      <c r="AE7" s="233">
        <f>AA7</f>
        <v>1736490.0604256066</v>
      </c>
    </row>
    <row r="8" spans="1:32" x14ac:dyDescent="0.25">
      <c r="A8" s="175">
        <f>336566+167213</f>
        <v>503779</v>
      </c>
      <c r="B8" s="175">
        <v>283457</v>
      </c>
      <c r="C8" s="175">
        <f>A8-B8</f>
        <v>220322</v>
      </c>
      <c r="D8" s="176">
        <f>A8/10</f>
        <v>50377.9</v>
      </c>
      <c r="E8" s="87" t="s">
        <v>89</v>
      </c>
      <c r="F8" s="245" t="s">
        <v>167</v>
      </c>
      <c r="G8" s="90">
        <v>7306.23</v>
      </c>
      <c r="H8" s="87">
        <v>3.5</v>
      </c>
      <c r="I8" s="87">
        <v>6</v>
      </c>
      <c r="J8" s="87">
        <f>ROUNDDOWN(H8*G8,0)</f>
        <v>25571</v>
      </c>
      <c r="K8" s="87">
        <f>ROUNDDOWN(I8*G8,2)</f>
        <v>43837.38</v>
      </c>
      <c r="L8" s="87">
        <f t="shared" si="1"/>
        <v>69408.38</v>
      </c>
      <c r="N8" s="298">
        <f>X6</f>
        <v>19.704002101760224</v>
      </c>
      <c r="O8" s="163">
        <f>AD9</f>
        <v>3542459.9194325246</v>
      </c>
      <c r="P8" s="149">
        <f>J8*1.21</f>
        <v>30940.91</v>
      </c>
      <c r="Q8" s="150">
        <f>11.23*B8</f>
        <v>3183222.1100000003</v>
      </c>
      <c r="R8" s="92">
        <f t="shared" si="2"/>
        <v>6756622.9394325251</v>
      </c>
      <c r="S8" s="92"/>
      <c r="U8" s="84"/>
      <c r="V8" s="224" t="s">
        <v>116</v>
      </c>
      <c r="W8" s="237">
        <f>W6+W7</f>
        <v>503779</v>
      </c>
      <c r="X8" s="237"/>
      <c r="Y8" s="237">
        <f t="shared" ref="Y8:AD8" si="3">Y6+Y7</f>
        <v>9926462.4748226628</v>
      </c>
      <c r="Z8" s="237">
        <f t="shared" si="3"/>
        <v>3970584.9899290656</v>
      </c>
      <c r="AA8" s="237">
        <f t="shared" si="3"/>
        <v>3970584.9899290656</v>
      </c>
      <c r="AB8" s="237">
        <f t="shared" si="3"/>
        <v>1985292.4949645328</v>
      </c>
      <c r="AC8" s="234">
        <f t="shared" si="3"/>
        <v>7941169.9798581311</v>
      </c>
      <c r="AD8" s="235">
        <f t="shared" si="3"/>
        <v>6204679.9194325246</v>
      </c>
      <c r="AE8" s="234">
        <f>AE7</f>
        <v>1736490.0604256066</v>
      </c>
    </row>
    <row r="9" spans="1:32" ht="30" x14ac:dyDescent="0.25">
      <c r="A9" s="175">
        <v>631060</v>
      </c>
      <c r="B9" s="175">
        <v>0</v>
      </c>
      <c r="C9" s="175">
        <v>631060</v>
      </c>
      <c r="D9" s="175">
        <f>A9/10</f>
        <v>63106</v>
      </c>
      <c r="E9" s="87" t="s">
        <v>89</v>
      </c>
      <c r="F9" s="249" t="s">
        <v>168</v>
      </c>
      <c r="G9" s="90"/>
      <c r="H9" s="87"/>
      <c r="I9" s="87"/>
      <c r="J9" s="87"/>
      <c r="K9" s="87"/>
      <c r="L9" s="87"/>
      <c r="M9" s="84"/>
      <c r="N9" s="299">
        <f>X16</f>
        <v>23.416317475967464</v>
      </c>
      <c r="O9" s="163">
        <f>AC17</f>
        <v>5910840.5225536115</v>
      </c>
      <c r="P9" s="92">
        <v>0</v>
      </c>
      <c r="Q9" s="92">
        <v>0</v>
      </c>
      <c r="R9" s="92">
        <f>SUM(3542460,P9:Q9)</f>
        <v>3542460</v>
      </c>
      <c r="S9" s="120"/>
      <c r="V9" s="248"/>
      <c r="W9" s="248"/>
      <c r="X9" s="248"/>
      <c r="Y9" s="247"/>
      <c r="Z9" s="287" t="s">
        <v>166</v>
      </c>
      <c r="AA9" s="288"/>
      <c r="AB9" s="289"/>
      <c r="AC9" s="236">
        <f>AC8-X10</f>
        <v>5278949.9798581311</v>
      </c>
      <c r="AD9" s="250">
        <f>AD8-X10</f>
        <v>3542459.9194325246</v>
      </c>
      <c r="AE9" s="251">
        <f>AE8</f>
        <v>1736490.0604256066</v>
      </c>
    </row>
    <row r="10" spans="1:32" ht="33" customHeight="1" x14ac:dyDescent="0.25">
      <c r="A10" s="175">
        <f>1223870+48000</f>
        <v>1271870</v>
      </c>
      <c r="B10" s="175">
        <v>423957</v>
      </c>
      <c r="C10" s="175">
        <v>847913</v>
      </c>
      <c r="D10" s="175">
        <v>122387</v>
      </c>
      <c r="E10" s="87" t="s">
        <v>89</v>
      </c>
      <c r="F10" s="87" t="s">
        <v>2</v>
      </c>
      <c r="G10" s="90">
        <v>9948.44</v>
      </c>
      <c r="H10" s="87">
        <v>3.5</v>
      </c>
      <c r="I10" s="87">
        <v>6</v>
      </c>
      <c r="J10" s="87">
        <f>ROUNDDOWN(H10*G10,0)</f>
        <v>34819</v>
      </c>
      <c r="K10" s="87">
        <f t="shared" si="0"/>
        <v>59690.64</v>
      </c>
      <c r="L10" s="87">
        <f t="shared" si="1"/>
        <v>94509.64</v>
      </c>
      <c r="M10" s="84"/>
      <c r="N10" s="162">
        <v>1.79</v>
      </c>
      <c r="O10" s="163">
        <f>ROUND(1.79*B10,0)</f>
        <v>758883</v>
      </c>
      <c r="P10" s="152">
        <f>J10*1.21</f>
        <v>42130.99</v>
      </c>
      <c r="Q10" s="150">
        <f>11.23*B10</f>
        <v>4761037.1100000003</v>
      </c>
      <c r="R10" s="92">
        <f>SUM(O10:Q10)</f>
        <v>5562051.1000000006</v>
      </c>
      <c r="S10" s="93"/>
      <c r="V10" s="279" t="s">
        <v>164</v>
      </c>
      <c r="W10" s="280"/>
      <c r="X10" s="232">
        <v>2662220</v>
      </c>
      <c r="Y10" s="217"/>
      <c r="Z10" s="217"/>
      <c r="AA10" s="217"/>
      <c r="AB10" s="217"/>
      <c r="AC10" s="219"/>
      <c r="AD10" s="217"/>
      <c r="AE10" s="217"/>
    </row>
    <row r="11" spans="1:32" x14ac:dyDescent="0.25">
      <c r="A11" s="175">
        <v>97500</v>
      </c>
      <c r="B11" s="175">
        <v>60938</v>
      </c>
      <c r="C11" s="175">
        <v>36562</v>
      </c>
      <c r="D11" s="175">
        <v>17257</v>
      </c>
      <c r="E11" s="87" t="s">
        <v>88</v>
      </c>
      <c r="F11" s="87" t="s">
        <v>90</v>
      </c>
      <c r="G11" s="90">
        <v>1</v>
      </c>
      <c r="H11" s="87">
        <v>7</v>
      </c>
      <c r="I11" s="87">
        <v>3</v>
      </c>
      <c r="J11" s="87">
        <f t="shared" ref="J11:J12" si="4">ROUNDDOWN(H11*G11,2)</f>
        <v>7</v>
      </c>
      <c r="K11" s="87">
        <f t="shared" si="0"/>
        <v>3</v>
      </c>
      <c r="L11" s="87">
        <f t="shared" si="1"/>
        <v>10</v>
      </c>
      <c r="M11" s="84"/>
      <c r="N11" s="162">
        <v>12</v>
      </c>
      <c r="O11" s="163">
        <f>ROUND(12*B11,0)</f>
        <v>731256</v>
      </c>
      <c r="P11" s="126">
        <f>ROUND(J11*1.21,0)</f>
        <v>8</v>
      </c>
      <c r="Q11" s="150">
        <f>11.23*B11</f>
        <v>684333.74</v>
      </c>
      <c r="R11" s="92">
        <f t="shared" si="2"/>
        <v>1415597.74</v>
      </c>
      <c r="S11" s="92">
        <v>-362700</v>
      </c>
      <c r="V11" s="205"/>
      <c r="W11" s="205"/>
      <c r="X11" s="243"/>
      <c r="Y11" s="84"/>
      <c r="Z11" s="84"/>
    </row>
    <row r="12" spans="1:32" ht="15.75" x14ac:dyDescent="0.25">
      <c r="A12" s="175">
        <f>B12+C12</f>
        <v>1316187</v>
      </c>
      <c r="B12" s="175">
        <v>754587</v>
      </c>
      <c r="C12" s="175">
        <v>561600</v>
      </c>
      <c r="D12" s="175">
        <v>219365</v>
      </c>
      <c r="E12" s="87" t="s">
        <v>88</v>
      </c>
      <c r="F12" s="87" t="s">
        <v>95</v>
      </c>
      <c r="G12" s="90">
        <v>1</v>
      </c>
      <c r="H12" s="87">
        <v>7</v>
      </c>
      <c r="I12" s="87">
        <v>3</v>
      </c>
      <c r="J12" s="87">
        <f t="shared" si="4"/>
        <v>7</v>
      </c>
      <c r="K12" s="87">
        <f t="shared" si="0"/>
        <v>3</v>
      </c>
      <c r="L12" s="87">
        <f t="shared" si="1"/>
        <v>10</v>
      </c>
      <c r="N12" s="162">
        <v>15.5</v>
      </c>
      <c r="O12" s="163">
        <f>ROUNDDOWN(15.5*B12,0)</f>
        <v>11696098</v>
      </c>
      <c r="P12" s="86">
        <f>ROUND(J12*1.21,0)</f>
        <v>8</v>
      </c>
      <c r="Q12" s="150">
        <f>11.23*B12</f>
        <v>8474012.0099999998</v>
      </c>
      <c r="R12" s="92">
        <f t="shared" si="2"/>
        <v>20170118.009999998</v>
      </c>
      <c r="S12" s="120"/>
      <c r="V12" s="206"/>
      <c r="W12" s="207"/>
      <c r="X12" s="113"/>
    </row>
    <row r="13" spans="1:32" ht="31.5" x14ac:dyDescent="0.25">
      <c r="A13" s="239">
        <f>SUM(A5:A12)</f>
        <v>5671457</v>
      </c>
      <c r="B13" s="239">
        <f>SUM(B5:B12)</f>
        <v>2050279</v>
      </c>
      <c r="C13" s="239">
        <f>SUM(C5:C12)</f>
        <v>3621178</v>
      </c>
      <c r="D13" s="239">
        <f>SUM(D5:D12)</f>
        <v>730172.9</v>
      </c>
      <c r="F13" s="104"/>
      <c r="G13" s="113"/>
      <c r="H13" s="104"/>
      <c r="I13" s="104"/>
      <c r="J13" s="104"/>
      <c r="N13" s="105"/>
      <c r="O13" s="127">
        <f>ROUNDUP(SUM(O5:O7,3542460, 5910841, O10:O12),0)</f>
        <v>27380729</v>
      </c>
      <c r="P13" s="127">
        <f>SUM(P5:P12)</f>
        <v>110402.66999999998</v>
      </c>
      <c r="Q13" s="127">
        <f>SUM(Q5:Q12)</f>
        <v>23024633.169999998</v>
      </c>
      <c r="R13" s="127">
        <f>SUM(O13:Q13)</f>
        <v>50515764.840000004</v>
      </c>
      <c r="S13" s="127">
        <f>SUM(S5:S12)</f>
        <v>-362700</v>
      </c>
      <c r="U13" s="210"/>
      <c r="V13" s="281" t="s">
        <v>161</v>
      </c>
      <c r="W13" s="282"/>
      <c r="X13" s="282"/>
      <c r="Y13" s="282"/>
      <c r="Z13" s="282"/>
      <c r="AA13" s="282"/>
      <c r="AB13" s="282"/>
      <c r="AC13" s="282"/>
      <c r="AD13" s="283"/>
      <c r="AE13" s="230"/>
      <c r="AF13" s="231"/>
    </row>
    <row r="14" spans="1:32" s="105" customFormat="1" ht="45" x14ac:dyDescent="0.25">
      <c r="A14" s="111"/>
      <c r="B14" s="111"/>
      <c r="C14" s="111"/>
      <c r="D14" s="111"/>
      <c r="G14" s="112"/>
      <c r="O14" s="106"/>
      <c r="P14" s="106"/>
      <c r="Q14" s="106"/>
      <c r="R14" s="106"/>
      <c r="U14" s="210"/>
      <c r="V14" s="228"/>
      <c r="W14" s="225" t="s">
        <v>150</v>
      </c>
      <c r="X14" s="225" t="s">
        <v>151</v>
      </c>
      <c r="Y14" s="225" t="s">
        <v>148</v>
      </c>
      <c r="Z14" s="225" t="s">
        <v>149</v>
      </c>
      <c r="AA14" s="225" t="s">
        <v>162</v>
      </c>
      <c r="AB14" s="226" t="s">
        <v>157</v>
      </c>
      <c r="AC14" s="226" t="s">
        <v>158</v>
      </c>
      <c r="AD14" s="226" t="s">
        <v>159</v>
      </c>
      <c r="AE14" s="230"/>
      <c r="AF14" s="231"/>
    </row>
    <row r="15" spans="1:32" ht="15" customHeight="1" x14ac:dyDescent="0.25">
      <c r="A15" s="99" t="s">
        <v>114</v>
      </c>
      <c r="B15" s="98"/>
      <c r="C15" s="97"/>
      <c r="D15" s="98"/>
      <c r="E15" s="97"/>
      <c r="F15" s="97"/>
      <c r="G15" s="110"/>
      <c r="H15" s="97"/>
      <c r="I15" s="97"/>
      <c r="J15" s="97"/>
      <c r="K15" s="97"/>
      <c r="L15" s="97"/>
      <c r="M15" s="97"/>
      <c r="N15" s="97"/>
      <c r="O15" s="121"/>
      <c r="P15" s="121"/>
      <c r="Q15" s="121"/>
      <c r="R15" s="121"/>
      <c r="S15" s="97"/>
      <c r="U15" s="210"/>
      <c r="V15" s="227" t="s">
        <v>152</v>
      </c>
      <c r="W15" s="218">
        <v>0</v>
      </c>
      <c r="X15" s="220">
        <v>0</v>
      </c>
      <c r="Y15" s="218">
        <f>W15*X15</f>
        <v>0</v>
      </c>
      <c r="Z15" s="218">
        <f>Y15*0.4</f>
        <v>0</v>
      </c>
      <c r="AA15" s="218">
        <f>Y15*0.4</f>
        <v>0</v>
      </c>
      <c r="AB15" s="218">
        <f>Z15+AA15</f>
        <v>0</v>
      </c>
      <c r="AC15" s="218">
        <f>AB15</f>
        <v>0</v>
      </c>
      <c r="AD15" s="218">
        <v>0</v>
      </c>
      <c r="AE15" s="230"/>
      <c r="AF15" s="231"/>
    </row>
    <row r="16" spans="1:32" x14ac:dyDescent="0.25">
      <c r="A16" s="100">
        <v>120000</v>
      </c>
      <c r="B16" s="238">
        <v>60000</v>
      </c>
      <c r="C16" s="100"/>
      <c r="D16" s="100"/>
      <c r="E16" s="100"/>
      <c r="F16" s="100" t="s">
        <v>92</v>
      </c>
      <c r="G16" s="100" t="s">
        <v>89</v>
      </c>
      <c r="H16" s="100"/>
      <c r="I16" s="100"/>
      <c r="J16" s="100"/>
      <c r="N16" s="122">
        <f>ROUND(0.02*1.12,3)</f>
        <v>2.1999999999999999E-2</v>
      </c>
      <c r="O16" s="92">
        <f>N16*60000</f>
        <v>1320</v>
      </c>
      <c r="P16" s="92"/>
      <c r="Q16" s="92"/>
      <c r="R16" s="92">
        <f t="shared" ref="R16:R22" si="5">SUM(O16:Q16)</f>
        <v>1320</v>
      </c>
      <c r="S16" s="93"/>
      <c r="V16" s="227" t="s">
        <v>153</v>
      </c>
      <c r="W16" s="218">
        <f>C9</f>
        <v>631060</v>
      </c>
      <c r="X16" s="246">
        <f>28.5/1.2171</f>
        <v>23.416317475967464</v>
      </c>
      <c r="Y16" s="218">
        <f>W16*X16</f>
        <v>14777101.306384027</v>
      </c>
      <c r="Z16" s="218">
        <f>Y16*0.4</f>
        <v>5910840.5225536115</v>
      </c>
      <c r="AA16" s="218">
        <f>Y16*0.6</f>
        <v>8866260.7838304155</v>
      </c>
      <c r="AB16" s="218">
        <f>Z16+AA16</f>
        <v>14777101.306384027</v>
      </c>
      <c r="AC16" s="218">
        <f>Z16</f>
        <v>5910840.5225536115</v>
      </c>
      <c r="AD16" s="218">
        <f>AA16</f>
        <v>8866260.7838304155</v>
      </c>
    </row>
    <row r="17" spans="1:30" x14ac:dyDescent="0.25">
      <c r="A17" s="100">
        <v>20000</v>
      </c>
      <c r="B17" s="100">
        <v>20000</v>
      </c>
      <c r="C17" s="100"/>
      <c r="D17" s="100"/>
      <c r="E17" s="100"/>
      <c r="F17" s="100" t="s">
        <v>94</v>
      </c>
      <c r="G17" s="100" t="s">
        <v>89</v>
      </c>
      <c r="H17" s="100"/>
      <c r="I17" s="100"/>
      <c r="J17" s="100"/>
      <c r="N17" s="122">
        <f>ROUND(0.28*1.12,2)</f>
        <v>0.31</v>
      </c>
      <c r="O17" s="92">
        <f t="shared" ref="O17:O21" si="6">N17*B17</f>
        <v>6200</v>
      </c>
      <c r="P17" s="92"/>
      <c r="Q17" s="92"/>
      <c r="R17" s="92">
        <f t="shared" si="5"/>
        <v>6200</v>
      </c>
      <c r="S17" s="93">
        <v>-2957</v>
      </c>
      <c r="V17" s="224" t="s">
        <v>116</v>
      </c>
      <c r="W17" s="221">
        <f>W15+W16</f>
        <v>631060</v>
      </c>
      <c r="X17" s="221"/>
      <c r="Y17" s="221">
        <f>Y15+Y16</f>
        <v>14777101.306384027</v>
      </c>
      <c r="Z17" s="221">
        <f>Z15+Z16</f>
        <v>5910840.5225536115</v>
      </c>
      <c r="AA17" s="221">
        <f>AA15+AA16</f>
        <v>8866260.7838304155</v>
      </c>
      <c r="AB17" s="222">
        <f>AB15+AB16</f>
        <v>14777101.306384027</v>
      </c>
      <c r="AC17" s="223">
        <f>AC15+AC16</f>
        <v>5910840.5225536115</v>
      </c>
      <c r="AD17" s="222">
        <f>AD16</f>
        <v>8866260.7838304155</v>
      </c>
    </row>
    <row r="18" spans="1:30" x14ac:dyDescent="0.25">
      <c r="A18" s="100">
        <v>1608500</v>
      </c>
      <c r="B18" s="100">
        <f>B10+B8+B7+B6+B5</f>
        <v>1234754</v>
      </c>
      <c r="C18" s="100">
        <f>A18-B18</f>
        <v>373746</v>
      </c>
      <c r="D18" s="100"/>
      <c r="E18" s="100"/>
      <c r="F18" s="100" t="s">
        <v>92</v>
      </c>
      <c r="G18" s="100" t="s">
        <v>88</v>
      </c>
      <c r="H18" s="100"/>
      <c r="I18" s="100"/>
      <c r="J18" s="100"/>
      <c r="N18" s="122">
        <f>ROUND(0.116*1.12,2)</f>
        <v>0.13</v>
      </c>
      <c r="O18" s="92">
        <f>N18*B18</f>
        <v>160518.02000000002</v>
      </c>
      <c r="P18" s="92"/>
      <c r="Q18" s="92"/>
      <c r="R18" s="92">
        <f t="shared" si="5"/>
        <v>160518.02000000002</v>
      </c>
      <c r="S18" s="93"/>
      <c r="V18" s="115"/>
      <c r="W18" s="115"/>
      <c r="X18" s="104"/>
    </row>
    <row r="19" spans="1:30" x14ac:dyDescent="0.25">
      <c r="A19" s="100">
        <v>395000</v>
      </c>
      <c r="B19" s="100">
        <v>125764.5</v>
      </c>
      <c r="C19" s="100">
        <v>269235.5</v>
      </c>
      <c r="D19" s="100"/>
      <c r="E19" s="100"/>
      <c r="F19" s="100" t="s">
        <v>92</v>
      </c>
      <c r="G19" s="100" t="s">
        <v>93</v>
      </c>
      <c r="H19" s="100"/>
      <c r="I19" s="100"/>
      <c r="J19" s="100"/>
      <c r="N19" s="122">
        <f>ROUND(0.0504*1.21,2)</f>
        <v>0.06</v>
      </c>
      <c r="O19" s="92">
        <f t="shared" si="6"/>
        <v>7545.87</v>
      </c>
      <c r="P19" s="92"/>
      <c r="Q19" s="92"/>
      <c r="R19" s="92">
        <f t="shared" si="5"/>
        <v>7545.87</v>
      </c>
      <c r="S19" s="93"/>
      <c r="V19" s="115"/>
      <c r="W19" s="206"/>
      <c r="X19" s="113"/>
    </row>
    <row r="20" spans="1:30" x14ac:dyDescent="0.25">
      <c r="A20" s="100">
        <v>395000</v>
      </c>
      <c r="B20" s="100">
        <v>125764.5</v>
      </c>
      <c r="C20" s="100">
        <v>269235.5</v>
      </c>
      <c r="D20" s="100"/>
      <c r="E20" s="100"/>
      <c r="F20" s="100" t="s">
        <v>94</v>
      </c>
      <c r="G20" s="100" t="s">
        <v>93</v>
      </c>
      <c r="H20" s="100"/>
      <c r="I20" s="100"/>
      <c r="J20" s="100"/>
      <c r="N20" s="122">
        <f>ROUND(0.28*1.12,2)</f>
        <v>0.31</v>
      </c>
      <c r="O20" s="92">
        <f t="shared" si="6"/>
        <v>38986.995000000003</v>
      </c>
      <c r="P20" s="92"/>
      <c r="Q20" s="92"/>
      <c r="R20" s="92">
        <f t="shared" si="5"/>
        <v>38986.995000000003</v>
      </c>
      <c r="S20" s="93"/>
      <c r="V20" s="115"/>
      <c r="W20" s="206"/>
      <c r="X20" s="113"/>
    </row>
    <row r="21" spans="1:30" ht="33" customHeight="1" x14ac:dyDescent="0.35">
      <c r="A21" s="100">
        <v>2370000</v>
      </c>
      <c r="B21" s="100">
        <f>B20*6</f>
        <v>754587</v>
      </c>
      <c r="C21" s="100">
        <f>C20*6</f>
        <v>1615413</v>
      </c>
      <c r="D21" s="100"/>
      <c r="E21" s="100"/>
      <c r="F21" s="100" t="s">
        <v>92</v>
      </c>
      <c r="G21" s="100" t="s">
        <v>88</v>
      </c>
      <c r="H21" s="100"/>
      <c r="I21" s="100"/>
      <c r="J21" s="100"/>
      <c r="N21" s="122">
        <f>ROUND(0.19*1.12,2)</f>
        <v>0.21</v>
      </c>
      <c r="O21" s="92">
        <f t="shared" si="6"/>
        <v>158463.26999999999</v>
      </c>
      <c r="P21" s="92"/>
      <c r="Q21" s="92"/>
      <c r="R21" s="92">
        <f t="shared" si="5"/>
        <v>158463.26999999999</v>
      </c>
      <c r="S21" s="93"/>
      <c r="V21" s="208"/>
      <c r="W21" s="208"/>
      <c r="X21" s="209"/>
      <c r="Y21" s="84"/>
    </row>
    <row r="22" spans="1:30" ht="108" customHeight="1" x14ac:dyDescent="0.25">
      <c r="A22" s="190">
        <f>SUM(A16:A21)</f>
        <v>4908500</v>
      </c>
      <c r="B22" s="190">
        <f>60000+B18+B19+B21</f>
        <v>2175105.5</v>
      </c>
      <c r="C22" s="191">
        <f>B22-B13</f>
        <v>124826.5</v>
      </c>
      <c r="H22" s="84"/>
      <c r="O22" s="188">
        <f>SUM(O16:O21)</f>
        <v>373034.15500000003</v>
      </c>
      <c r="P22" s="189"/>
      <c r="Q22" s="189"/>
      <c r="R22" s="188">
        <f t="shared" si="5"/>
        <v>373034.15500000003</v>
      </c>
      <c r="S22" s="189">
        <f>SUM(S16:S21)</f>
        <v>-2957</v>
      </c>
      <c r="X22" s="211"/>
      <c r="Y22" s="212"/>
    </row>
    <row r="23" spans="1:30" ht="15.75" x14ac:dyDescent="0.25">
      <c r="A23" s="94"/>
      <c r="B23" s="101"/>
      <c r="C23" s="101"/>
      <c r="Q23" s="179"/>
      <c r="R23" s="179"/>
      <c r="X23" s="213"/>
      <c r="Y23" s="214"/>
    </row>
    <row r="24" spans="1:30" ht="15.75" x14ac:dyDescent="0.25">
      <c r="A24" s="107" t="s">
        <v>115</v>
      </c>
      <c r="B24" s="102"/>
      <c r="C24" s="102"/>
      <c r="D24" s="102"/>
      <c r="E24" s="102"/>
      <c r="F24" s="102"/>
      <c r="G24" s="102"/>
      <c r="H24" s="102"/>
      <c r="I24" s="102"/>
      <c r="J24" s="102"/>
      <c r="K24" s="108"/>
      <c r="L24" s="108"/>
      <c r="M24" s="108"/>
      <c r="N24" s="103"/>
      <c r="O24" s="109"/>
      <c r="P24" s="109"/>
      <c r="Q24" s="109"/>
      <c r="R24" s="109"/>
      <c r="S24" s="97"/>
      <c r="W24" s="84"/>
      <c r="X24" s="213"/>
      <c r="Y24" s="214"/>
    </row>
    <row r="25" spans="1:30" ht="63.75" customHeight="1" x14ac:dyDescent="0.25">
      <c r="G25" s="192" t="s">
        <v>91</v>
      </c>
      <c r="H25" s="184" t="s">
        <v>103</v>
      </c>
      <c r="I25" s="184" t="s">
        <v>102</v>
      </c>
      <c r="J25" s="184" t="s">
        <v>101</v>
      </c>
      <c r="K25" s="184" t="s">
        <v>100</v>
      </c>
      <c r="L25" s="184" t="s">
        <v>99</v>
      </c>
      <c r="N25" s="105"/>
      <c r="O25" s="105"/>
      <c r="P25" s="105"/>
      <c r="Q25" s="106"/>
      <c r="R25" s="106"/>
      <c r="W25" s="84"/>
      <c r="X25" s="213"/>
      <c r="Y25" s="214"/>
      <c r="Z25" s="181"/>
      <c r="AA25" s="181"/>
      <c r="AB25" s="181"/>
      <c r="AC25" s="181"/>
      <c r="AD25" s="181"/>
    </row>
    <row r="26" spans="1:30" ht="15.75" x14ac:dyDescent="0.25">
      <c r="E26" s="242" t="s">
        <v>88</v>
      </c>
      <c r="F26" s="182" t="s">
        <v>90</v>
      </c>
      <c r="G26" s="193">
        <v>10</v>
      </c>
      <c r="H26" s="194">
        <v>7</v>
      </c>
      <c r="I26" s="194">
        <v>3</v>
      </c>
      <c r="J26" s="194">
        <f>ROUNDDOWN(H26*G26,2)</f>
        <v>70</v>
      </c>
      <c r="K26" s="194">
        <f>ROUNDDOWN(I26*G26,2)</f>
        <v>30</v>
      </c>
      <c r="L26" s="194">
        <f>K26+J26</f>
        <v>100</v>
      </c>
      <c r="N26" s="93"/>
      <c r="O26" s="93"/>
      <c r="P26" s="198">
        <f>J26</f>
        <v>70</v>
      </c>
      <c r="Q26" s="199"/>
      <c r="R26" s="199">
        <f>SUM(O26:Q26)</f>
        <v>70</v>
      </c>
      <c r="S26" s="93"/>
      <c r="V26" s="160">
        <f>P5</f>
        <v>32188</v>
      </c>
      <c r="X26" s="213"/>
      <c r="Y26" s="215"/>
    </row>
    <row r="27" spans="1:30" s="181" customFormat="1" x14ac:dyDescent="0.25">
      <c r="E27" s="185"/>
      <c r="F27" s="185"/>
      <c r="G27" s="186"/>
      <c r="H27" s="185"/>
      <c r="I27" s="185"/>
      <c r="J27" s="185"/>
      <c r="K27" s="185"/>
      <c r="L27" s="185"/>
      <c r="N27" s="93"/>
      <c r="O27" s="93"/>
      <c r="P27" s="198"/>
      <c r="Q27" s="199"/>
      <c r="R27" s="199"/>
      <c r="S27" s="93"/>
      <c r="U27" s="179"/>
      <c r="V27" s="98">
        <f>P11+P26+P36+P42</f>
        <v>112320</v>
      </c>
      <c r="W27" s="84"/>
      <c r="X27" s="84"/>
      <c r="Y27" s="179"/>
      <c r="Z27" s="179"/>
      <c r="AA27" s="179"/>
      <c r="AB27" s="179"/>
      <c r="AC27" s="179"/>
      <c r="AD27" s="179"/>
    </row>
    <row r="28" spans="1:30" ht="45.75" customHeight="1" x14ac:dyDescent="0.25">
      <c r="B28" s="84"/>
      <c r="C28" s="84"/>
      <c r="D28" s="87"/>
      <c r="E28" s="183" t="s">
        <v>139</v>
      </c>
      <c r="F28" s="184" t="s">
        <v>140</v>
      </c>
      <c r="G28" s="184" t="s">
        <v>141</v>
      </c>
      <c r="H28" s="184" t="s">
        <v>154</v>
      </c>
      <c r="I28" s="184" t="s">
        <v>147</v>
      </c>
      <c r="J28" s="184" t="s">
        <v>101</v>
      </c>
      <c r="K28" s="184" t="s">
        <v>100</v>
      </c>
      <c r="L28" s="183" t="s">
        <v>145</v>
      </c>
      <c r="N28" s="93"/>
      <c r="O28" s="93"/>
      <c r="P28" s="122"/>
      <c r="Q28" s="199"/>
      <c r="R28" s="199"/>
      <c r="S28" s="93"/>
      <c r="U28" s="179" t="s">
        <v>128</v>
      </c>
      <c r="V28" s="151">
        <f>P10+P30+P40</f>
        <v>243915.99</v>
      </c>
      <c r="W28" s="84"/>
      <c r="X28" s="84"/>
    </row>
    <row r="29" spans="1:30" ht="30" x14ac:dyDescent="0.25">
      <c r="B29" s="84"/>
      <c r="C29" s="84"/>
      <c r="D29" s="87"/>
      <c r="E29" s="91"/>
      <c r="F29" s="87"/>
      <c r="G29" s="91"/>
      <c r="H29" s="87"/>
      <c r="I29" s="87"/>
      <c r="J29" s="88"/>
      <c r="K29" s="88"/>
      <c r="L29" s="88"/>
      <c r="N29" s="93"/>
      <c r="O29" s="93"/>
      <c r="P29" s="122"/>
      <c r="Q29" s="199"/>
      <c r="R29" s="199"/>
      <c r="S29" s="93"/>
      <c r="U29" s="229" t="s">
        <v>124</v>
      </c>
      <c r="V29" s="153">
        <f>P6</f>
        <v>2712.8199999999997</v>
      </c>
      <c r="X29" s="84"/>
    </row>
    <row r="30" spans="1:30" x14ac:dyDescent="0.25">
      <c r="D30" s="87" t="s">
        <v>89</v>
      </c>
      <c r="E30" s="91" t="s">
        <v>142</v>
      </c>
      <c r="F30" s="88">
        <v>330</v>
      </c>
      <c r="G30" s="91">
        <f>ROUND(31.9*1.21,2)</f>
        <v>38.6</v>
      </c>
      <c r="H30" s="88">
        <v>15</v>
      </c>
      <c r="I30" s="88">
        <v>26</v>
      </c>
      <c r="J30" s="196">
        <f>ROUNDDOWN(F30*H30*G30,0)</f>
        <v>191070</v>
      </c>
      <c r="K30" s="175">
        <f>F30*I30*G30</f>
        <v>331188</v>
      </c>
      <c r="L30" s="175">
        <f>K30+J30</f>
        <v>522258</v>
      </c>
      <c r="N30" s="93"/>
      <c r="O30" s="93"/>
      <c r="P30" s="200">
        <f>J30</f>
        <v>191070</v>
      </c>
      <c r="Q30" s="199"/>
      <c r="R30" s="199">
        <f>SUM(O30:Q30)</f>
        <v>191070</v>
      </c>
      <c r="S30" s="93"/>
      <c r="U30" s="179" t="s">
        <v>123</v>
      </c>
      <c r="V30" s="155">
        <f>P8+P33</f>
        <v>94480.91</v>
      </c>
    </row>
    <row r="31" spans="1:30" x14ac:dyDescent="0.25">
      <c r="D31" s="87"/>
      <c r="E31" s="87"/>
      <c r="F31" s="88"/>
      <c r="G31" s="91"/>
      <c r="H31" s="88"/>
      <c r="I31" s="88"/>
      <c r="J31" s="196"/>
      <c r="K31" s="175"/>
      <c r="L31" s="175"/>
      <c r="N31" s="93"/>
      <c r="O31" s="93"/>
      <c r="P31" s="199"/>
      <c r="Q31" s="199"/>
      <c r="R31" s="199"/>
      <c r="S31" s="93"/>
      <c r="U31" s="179" t="s">
        <v>125</v>
      </c>
      <c r="V31" s="156">
        <f>P12+P45</f>
        <v>134296</v>
      </c>
    </row>
    <row r="32" spans="1:30" x14ac:dyDescent="0.25">
      <c r="D32" s="87"/>
      <c r="E32" s="91"/>
      <c r="F32" s="88"/>
      <c r="G32" s="91"/>
      <c r="H32" s="88"/>
      <c r="I32" s="88"/>
      <c r="J32" s="196"/>
      <c r="K32" s="175"/>
      <c r="L32" s="175"/>
      <c r="N32" s="93"/>
      <c r="O32" s="93"/>
      <c r="P32" s="199"/>
      <c r="Q32" s="199"/>
      <c r="R32" s="199"/>
      <c r="S32" s="93"/>
      <c r="U32" s="229" t="s">
        <v>126</v>
      </c>
      <c r="V32" s="157">
        <f>P7</f>
        <v>2413.9499999999998</v>
      </c>
    </row>
    <row r="33" spans="1:22" x14ac:dyDescent="0.25">
      <c r="D33" s="87" t="s">
        <v>88</v>
      </c>
      <c r="E33" s="91" t="s">
        <v>143</v>
      </c>
      <c r="F33" s="88">
        <v>300</v>
      </c>
      <c r="G33" s="91">
        <f>ROUND(11.67*1.21,2)</f>
        <v>14.12</v>
      </c>
      <c r="H33" s="88">
        <v>15</v>
      </c>
      <c r="I33" s="88">
        <v>26</v>
      </c>
      <c r="J33" s="196">
        <f>ROUNDDOWN(F33*H33*G33,0)</f>
        <v>63540</v>
      </c>
      <c r="K33" s="175">
        <f>F33*I33*G33</f>
        <v>110136</v>
      </c>
      <c r="L33" s="175">
        <f>K33+J33</f>
        <v>173676</v>
      </c>
      <c r="N33" s="93"/>
      <c r="O33" s="93"/>
      <c r="P33" s="201">
        <f>J33</f>
        <v>63540</v>
      </c>
      <c r="Q33" s="199"/>
      <c r="R33" s="199">
        <f>SUM(O33:Q33)</f>
        <v>63540</v>
      </c>
      <c r="S33" s="93"/>
      <c r="U33" s="229" t="s">
        <v>127</v>
      </c>
      <c r="V33" s="84">
        <f>SUM(V26:V32)</f>
        <v>622327.66999999993</v>
      </c>
    </row>
    <row r="34" spans="1:22" x14ac:dyDescent="0.25">
      <c r="D34" s="87"/>
      <c r="E34" s="87"/>
      <c r="F34" s="88"/>
      <c r="G34" s="91"/>
      <c r="H34" s="88"/>
      <c r="I34" s="88"/>
      <c r="J34" s="196"/>
      <c r="K34" s="175"/>
      <c r="L34" s="175"/>
      <c r="N34" s="93"/>
      <c r="O34" s="93"/>
      <c r="P34" s="199"/>
      <c r="Q34" s="199"/>
      <c r="R34" s="199"/>
      <c r="S34" s="93"/>
      <c r="U34" s="179" t="s">
        <v>4</v>
      </c>
      <c r="V34" s="84">
        <f>V33-P53</f>
        <v>0</v>
      </c>
    </row>
    <row r="35" spans="1:22" x14ac:dyDescent="0.25">
      <c r="D35" s="87"/>
      <c r="E35" s="91"/>
      <c r="F35" s="88"/>
      <c r="G35" s="91"/>
      <c r="H35" s="88"/>
      <c r="I35" s="88"/>
      <c r="J35" s="196"/>
      <c r="K35" s="175"/>
      <c r="L35" s="175"/>
      <c r="N35" s="93"/>
      <c r="O35" s="93"/>
      <c r="P35" s="199"/>
      <c r="Q35" s="199"/>
      <c r="R35" s="199"/>
      <c r="S35" s="93"/>
    </row>
    <row r="36" spans="1:22" x14ac:dyDescent="0.25">
      <c r="D36" s="87" t="s">
        <v>88</v>
      </c>
      <c r="E36" s="88" t="s">
        <v>144</v>
      </c>
      <c r="F36" s="88">
        <v>560</v>
      </c>
      <c r="G36" s="91">
        <f>ROUND(10.5*1.21,2)</f>
        <v>12.71</v>
      </c>
      <c r="H36" s="88">
        <v>15</v>
      </c>
      <c r="I36" s="88">
        <v>26</v>
      </c>
      <c r="J36" s="196">
        <f>ROUNDDOWN(F36*H36*G36,0)</f>
        <v>106764</v>
      </c>
      <c r="K36" s="175">
        <f>F36*I36*G36</f>
        <v>185057.6</v>
      </c>
      <c r="L36" s="175">
        <f>K36+J36</f>
        <v>291821.59999999998</v>
      </c>
      <c r="N36" s="93"/>
      <c r="O36" s="93"/>
      <c r="P36" s="202">
        <f>J36</f>
        <v>106764</v>
      </c>
      <c r="Q36" s="199"/>
      <c r="R36" s="199">
        <f>SUM(O36:Q36)</f>
        <v>106764</v>
      </c>
      <c r="S36" s="93"/>
    </row>
    <row r="37" spans="1:22" x14ac:dyDescent="0.25">
      <c r="J37" s="106"/>
      <c r="N37" s="93"/>
      <c r="O37" s="93"/>
      <c r="P37" s="122"/>
      <c r="Q37" s="199"/>
      <c r="R37" s="199"/>
      <c r="S37" s="93"/>
    </row>
    <row r="38" spans="1:22" ht="45" x14ac:dyDescent="0.25">
      <c r="A38" s="174" t="s">
        <v>87</v>
      </c>
      <c r="B38" s="174"/>
      <c r="C38" s="174"/>
      <c r="D38" s="174"/>
      <c r="E38" s="174"/>
      <c r="F38" s="174"/>
      <c r="G38" s="216"/>
      <c r="H38" s="184" t="s">
        <v>146</v>
      </c>
      <c r="I38" s="184" t="s">
        <v>102</v>
      </c>
      <c r="J38" s="184" t="s">
        <v>101</v>
      </c>
      <c r="K38" s="184" t="s">
        <v>100</v>
      </c>
      <c r="L38" s="184" t="s">
        <v>99</v>
      </c>
      <c r="N38" s="93"/>
      <c r="O38" s="93"/>
      <c r="P38" s="122"/>
      <c r="Q38" s="199"/>
      <c r="R38" s="199"/>
      <c r="S38" s="93"/>
    </row>
    <row r="39" spans="1:22" x14ac:dyDescent="0.25">
      <c r="J39" s="106"/>
      <c r="N39" s="93"/>
      <c r="O39" s="93"/>
      <c r="P39" s="122"/>
      <c r="Q39" s="199"/>
      <c r="R39" s="199"/>
      <c r="S39" s="93"/>
    </row>
    <row r="40" spans="1:22" x14ac:dyDescent="0.25">
      <c r="E40" s="89" t="s">
        <v>86</v>
      </c>
      <c r="F40" s="88" t="s">
        <v>84</v>
      </c>
      <c r="G40" s="87"/>
      <c r="H40" s="187">
        <v>2</v>
      </c>
      <c r="I40" s="88">
        <v>0</v>
      </c>
      <c r="J40" s="196">
        <f>ROUND(462.5+3512.5+893.2+3987,0)</f>
        <v>8855</v>
      </c>
      <c r="K40" s="88">
        <v>0</v>
      </c>
      <c r="L40" s="88">
        <f>J40</f>
        <v>8855</v>
      </c>
      <c r="N40" s="93"/>
      <c r="O40" s="93"/>
      <c r="P40" s="200">
        <f>ROUND(J40*1.21,0)</f>
        <v>10715</v>
      </c>
      <c r="Q40" s="199"/>
      <c r="R40" s="199">
        <f>SUM(O40:Q40)</f>
        <v>10715</v>
      </c>
      <c r="S40" s="93"/>
    </row>
    <row r="41" spans="1:22" x14ac:dyDescent="0.25">
      <c r="I41" s="197"/>
      <c r="J41" s="197"/>
      <c r="K41" s="197"/>
      <c r="L41" s="197"/>
      <c r="N41" s="93"/>
      <c r="O41" s="93"/>
      <c r="P41" s="199"/>
      <c r="Q41" s="199"/>
      <c r="R41" s="199"/>
      <c r="S41" s="93"/>
    </row>
    <row r="42" spans="1:22" x14ac:dyDescent="0.25">
      <c r="E42" s="87" t="s">
        <v>85</v>
      </c>
      <c r="F42" s="88" t="s">
        <v>84</v>
      </c>
      <c r="G42" s="87"/>
      <c r="H42" s="88">
        <v>2</v>
      </c>
      <c r="I42" s="88">
        <v>0</v>
      </c>
      <c r="J42" s="175">
        <v>4527</v>
      </c>
      <c r="K42" s="88">
        <v>0</v>
      </c>
      <c r="L42" s="88">
        <f>J42</f>
        <v>4527</v>
      </c>
      <c r="N42" s="93"/>
      <c r="O42" s="93"/>
      <c r="P42" s="202">
        <f>ROUND(J42*1.21,0)</f>
        <v>5478</v>
      </c>
      <c r="Q42" s="199"/>
      <c r="R42" s="199">
        <f>SUM(O42:Q42)</f>
        <v>5478</v>
      </c>
      <c r="S42" s="93"/>
    </row>
    <row r="43" spans="1:22" x14ac:dyDescent="0.25">
      <c r="N43" s="93"/>
      <c r="O43" s="93"/>
      <c r="P43" s="199"/>
      <c r="Q43" s="199"/>
      <c r="R43" s="199"/>
      <c r="S43" s="93"/>
    </row>
    <row r="44" spans="1:22" ht="45" x14ac:dyDescent="0.25">
      <c r="A44" s="174" t="s">
        <v>83</v>
      </c>
      <c r="B44" s="174"/>
      <c r="C44" s="174"/>
      <c r="D44" s="174"/>
      <c r="E44" s="174"/>
      <c r="F44" s="174"/>
      <c r="G44" s="192" t="s">
        <v>91</v>
      </c>
      <c r="H44" s="184" t="s">
        <v>103</v>
      </c>
      <c r="I44" s="184" t="s">
        <v>102</v>
      </c>
      <c r="J44" s="184" t="s">
        <v>101</v>
      </c>
      <c r="K44" s="184" t="s">
        <v>100</v>
      </c>
      <c r="L44" s="184" t="s">
        <v>99</v>
      </c>
      <c r="N44" s="93"/>
      <c r="O44" s="93"/>
      <c r="P44" s="122"/>
      <c r="Q44" s="199"/>
      <c r="R44" s="199"/>
      <c r="S44" s="93"/>
    </row>
    <row r="45" spans="1:22" x14ac:dyDescent="0.25">
      <c r="A45" s="85">
        <v>1316187</v>
      </c>
      <c r="B45" s="85">
        <v>754587</v>
      </c>
      <c r="C45" s="85">
        <v>561600</v>
      </c>
      <c r="D45" s="85">
        <f>ROUNDDOWN(A45/6,0)</f>
        <v>219364</v>
      </c>
      <c r="E45" s="245" t="s">
        <v>163</v>
      </c>
      <c r="F45" s="88" t="s">
        <v>82</v>
      </c>
      <c r="G45" s="88">
        <f>ROUND(18.02*1.21,2)</f>
        <v>21.8</v>
      </c>
      <c r="H45" s="88">
        <v>2.5</v>
      </c>
      <c r="I45" s="88">
        <v>6</v>
      </c>
      <c r="J45" s="195">
        <f>560*11*G45</f>
        <v>134288</v>
      </c>
      <c r="K45" s="187">
        <f>560*26*G45</f>
        <v>317408</v>
      </c>
      <c r="L45" s="187">
        <f>K45+J45</f>
        <v>451696</v>
      </c>
      <c r="N45" s="93"/>
      <c r="O45" s="92"/>
      <c r="P45" s="203">
        <f>560*11*21.8</f>
        <v>134288</v>
      </c>
      <c r="Q45" s="199"/>
      <c r="R45" s="199">
        <f>SUM(O45:Q45)</f>
        <v>134288</v>
      </c>
      <c r="S45" s="93"/>
    </row>
    <row r="46" spans="1:22" x14ac:dyDescent="0.25">
      <c r="A46" s="114"/>
      <c r="B46" s="114"/>
      <c r="C46" s="114"/>
      <c r="D46" s="114"/>
      <c r="E46" s="104"/>
      <c r="F46" s="115"/>
      <c r="G46" s="115"/>
      <c r="H46" s="116"/>
      <c r="I46" s="116"/>
      <c r="J46" s="129"/>
      <c r="K46" s="128"/>
      <c r="L46" s="87"/>
      <c r="N46" s="93"/>
      <c r="O46" s="92"/>
      <c r="P46" s="204">
        <f>SUM(P26:P45)</f>
        <v>511925</v>
      </c>
      <c r="Q46" s="199"/>
      <c r="R46" s="204">
        <f>SUM(R26:R45)</f>
        <v>511925</v>
      </c>
      <c r="S46" s="93"/>
    </row>
    <row r="47" spans="1:22" ht="242.25" customHeight="1" x14ac:dyDescent="0.25">
      <c r="A47" s="277" t="s">
        <v>170</v>
      </c>
      <c r="B47" s="277"/>
      <c r="C47" s="277"/>
      <c r="D47" s="277"/>
      <c r="E47" s="277"/>
      <c r="F47" s="277"/>
      <c r="G47" s="277"/>
      <c r="H47" s="277"/>
      <c r="I47" s="277"/>
      <c r="J47" s="277"/>
      <c r="K47" s="277"/>
      <c r="L47" s="277"/>
      <c r="M47" s="277"/>
      <c r="N47" s="277"/>
      <c r="O47" s="277"/>
      <c r="P47" s="277"/>
      <c r="Q47" s="277"/>
      <c r="R47" s="277"/>
      <c r="S47" s="277"/>
    </row>
    <row r="48" spans="1:22" ht="33.75" customHeight="1" x14ac:dyDescent="0.25">
      <c r="A48" s="277" t="s">
        <v>169</v>
      </c>
      <c r="B48" s="277"/>
      <c r="C48" s="277"/>
      <c r="D48" s="277"/>
      <c r="E48" s="277"/>
      <c r="F48" s="277"/>
      <c r="G48" s="277"/>
      <c r="H48" s="277"/>
      <c r="I48" s="277"/>
      <c r="J48" s="277"/>
      <c r="K48" s="277"/>
      <c r="L48" s="277"/>
      <c r="M48" s="277"/>
      <c r="N48" s="277"/>
      <c r="O48" s="277"/>
      <c r="P48" s="277"/>
      <c r="Q48" s="277"/>
      <c r="R48" s="277"/>
      <c r="S48" s="277"/>
    </row>
    <row r="49" spans="1:19" s="241" customFormat="1" x14ac:dyDescent="0.25">
      <c r="A49" s="244" t="s">
        <v>165</v>
      </c>
      <c r="Q49" s="84"/>
      <c r="R49" s="84"/>
    </row>
    <row r="50" spans="1:19" ht="21" customHeight="1" x14ac:dyDescent="0.25">
      <c r="A50" s="286" t="s">
        <v>117</v>
      </c>
      <c r="B50" s="286"/>
      <c r="C50" s="286"/>
      <c r="D50" s="286"/>
      <c r="E50" s="286"/>
      <c r="F50" s="286"/>
      <c r="G50" s="286"/>
      <c r="H50" s="286"/>
      <c r="I50" s="286"/>
      <c r="J50" s="286"/>
      <c r="K50" s="286"/>
      <c r="L50" s="286"/>
      <c r="M50" s="286"/>
      <c r="N50" s="286"/>
      <c r="O50" s="286"/>
      <c r="P50" s="286"/>
      <c r="Q50" s="286"/>
      <c r="R50" s="286"/>
      <c r="S50" s="286"/>
    </row>
    <row r="51" spans="1:19" ht="50.1" customHeight="1" x14ac:dyDescent="0.25">
      <c r="B51" s="284"/>
      <c r="C51" s="285"/>
      <c r="D51" s="285"/>
      <c r="E51" s="285"/>
      <c r="F51" s="285"/>
      <c r="G51" s="285"/>
      <c r="H51" s="285"/>
      <c r="I51" s="285"/>
      <c r="J51" s="285"/>
      <c r="K51" s="285"/>
      <c r="L51" s="285"/>
      <c r="M51" s="285"/>
      <c r="N51" s="285"/>
      <c r="O51" s="285"/>
      <c r="P51" s="285"/>
      <c r="Q51" s="285"/>
      <c r="R51" s="123"/>
      <c r="S51" s="125">
        <v>-8067</v>
      </c>
    </row>
    <row r="52" spans="1:19" x14ac:dyDescent="0.25">
      <c r="R52" s="123"/>
      <c r="S52" s="124"/>
    </row>
    <row r="53" spans="1:19" x14ac:dyDescent="0.25">
      <c r="G53" s="179" t="s">
        <v>119</v>
      </c>
      <c r="O53" s="85">
        <f>O13+O22+O46</f>
        <v>27753763.155000001</v>
      </c>
      <c r="P53" s="85">
        <f>P13+P22+P46</f>
        <v>622327.66999999993</v>
      </c>
      <c r="Q53" s="85">
        <f>Q13+Q22+Q46</f>
        <v>23024633.169999998</v>
      </c>
      <c r="R53" s="85">
        <f>R13+R22+R46</f>
        <v>51400723.995000005</v>
      </c>
      <c r="S53" s="85">
        <f>S13+S22+S46+S51</f>
        <v>-373724</v>
      </c>
    </row>
    <row r="54" spans="1:19" x14ac:dyDescent="0.25">
      <c r="G54" s="179" t="s">
        <v>118</v>
      </c>
      <c r="R54" s="127">
        <f>R53+S53</f>
        <v>51026999.995000005</v>
      </c>
      <c r="S54" s="124"/>
    </row>
  </sheetData>
  <mergeCells count="9">
    <mergeCell ref="B51:Q51"/>
    <mergeCell ref="A50:S50"/>
    <mergeCell ref="Z9:AB9"/>
    <mergeCell ref="O1:S1"/>
    <mergeCell ref="A47:S47"/>
    <mergeCell ref="A48:S48"/>
    <mergeCell ref="V4:AE4"/>
    <mergeCell ref="V10:W10"/>
    <mergeCell ref="V13:AD13"/>
  </mergeCells>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AAEC4-E7E8-400B-A922-CBB07EEB7ABD}">
  <dimension ref="B1:I21"/>
  <sheetViews>
    <sheetView view="pageBreakPreview" zoomScale="60" zoomScaleNormal="100" workbookViewId="0">
      <selection activeCell="L14" sqref="L14"/>
    </sheetView>
  </sheetViews>
  <sheetFormatPr defaultRowHeight="15" x14ac:dyDescent="0.25"/>
  <cols>
    <col min="2" max="2" width="34.5703125" customWidth="1"/>
    <col min="3" max="3" width="18" bestFit="1" customWidth="1"/>
    <col min="4" max="4" width="10.5703125" customWidth="1"/>
    <col min="5" max="5" width="11.85546875" customWidth="1"/>
    <col min="6" max="6" width="14.140625" customWidth="1"/>
    <col min="7" max="7" width="37.5703125" style="77" customWidth="1"/>
    <col min="9" max="9" width="12" bestFit="1" customWidth="1"/>
  </cols>
  <sheetData>
    <row r="1" spans="2:9" ht="129.75" customHeight="1" x14ac:dyDescent="0.25">
      <c r="G1" s="130" t="s">
        <v>137</v>
      </c>
      <c r="H1" s="131"/>
      <c r="I1" s="131"/>
    </row>
    <row r="2" spans="2:9" ht="26.25" x14ac:dyDescent="0.4">
      <c r="B2" s="291" t="s">
        <v>69</v>
      </c>
      <c r="C2" s="291"/>
      <c r="D2" s="291"/>
      <c r="E2" s="291"/>
      <c r="F2" s="291"/>
      <c r="G2" s="291"/>
    </row>
    <row r="4" spans="2:9" ht="18.75" x14ac:dyDescent="0.3">
      <c r="B4" s="132" t="s">
        <v>78</v>
      </c>
      <c r="C4" s="132" t="s">
        <v>70</v>
      </c>
      <c r="D4" s="292" t="s">
        <v>71</v>
      </c>
      <c r="E4" s="292"/>
      <c r="F4" s="133" t="s">
        <v>79</v>
      </c>
      <c r="G4" s="134" t="s">
        <v>80</v>
      </c>
    </row>
    <row r="5" spans="2:9" ht="18.75" x14ac:dyDescent="0.3">
      <c r="B5" s="135" t="s">
        <v>72</v>
      </c>
      <c r="C5" s="136">
        <f>SUM(E5/$E$11)</f>
        <v>0.23261390887290168</v>
      </c>
      <c r="D5" s="135"/>
      <c r="E5" s="137">
        <v>24250</v>
      </c>
      <c r="F5" s="138">
        <v>12.6</v>
      </c>
      <c r="G5" s="139">
        <f>ROUND(F5*C5,2)</f>
        <v>2.93</v>
      </c>
    </row>
    <row r="6" spans="2:9" ht="21.75" customHeight="1" x14ac:dyDescent="0.3">
      <c r="B6" s="140" t="s">
        <v>73</v>
      </c>
      <c r="C6" s="293">
        <f>SUM(D6/E11)</f>
        <v>0.1548201438848921</v>
      </c>
      <c r="D6" s="294">
        <f>SUM(E6+E7+E8)</f>
        <v>16140</v>
      </c>
      <c r="E6" s="141">
        <f>17400-8700-870-870</f>
        <v>6960</v>
      </c>
      <c r="F6" s="296">
        <v>9.01</v>
      </c>
      <c r="G6" s="297">
        <f>ROUND(F6*(C6),2)</f>
        <v>1.39</v>
      </c>
    </row>
    <row r="7" spans="2:9" ht="35.25" customHeight="1" x14ac:dyDescent="0.3">
      <c r="B7" s="140" t="s">
        <v>74</v>
      </c>
      <c r="C7" s="293"/>
      <c r="D7" s="295"/>
      <c r="E7" s="141">
        <f>7200-3600-360-360</f>
        <v>2880</v>
      </c>
      <c r="F7" s="296"/>
      <c r="G7" s="297"/>
    </row>
    <row r="8" spans="2:9" ht="18.75" x14ac:dyDescent="0.3">
      <c r="B8" s="135" t="s">
        <v>75</v>
      </c>
      <c r="C8" s="293"/>
      <c r="D8" s="295"/>
      <c r="E8" s="141">
        <v>6300</v>
      </c>
      <c r="F8" s="296"/>
      <c r="G8" s="297"/>
    </row>
    <row r="9" spans="2:9" ht="18.75" x14ac:dyDescent="0.3">
      <c r="B9" s="135" t="s">
        <v>130</v>
      </c>
      <c r="C9" s="136">
        <f>SUM(E9/$E$11)</f>
        <v>0.29832134292565948</v>
      </c>
      <c r="D9" s="135"/>
      <c r="E9" s="141">
        <v>31100</v>
      </c>
      <c r="F9" s="138">
        <f>ROUND(((((9.75+11.57+11.23+13.05)/4)*5)+(2*(3.14+1.87+11.4)))/7,2)</f>
        <v>12.83</v>
      </c>
      <c r="G9" s="139">
        <f>ROUND(F9*C9,2)</f>
        <v>3.83</v>
      </c>
    </row>
    <row r="10" spans="2:9" ht="34.5" customHeight="1" x14ac:dyDescent="0.3">
      <c r="B10" s="140" t="s">
        <v>131</v>
      </c>
      <c r="C10" s="136">
        <f>SUM(E10/$E$11)</f>
        <v>0.31424460431654677</v>
      </c>
      <c r="D10" s="135"/>
      <c r="E10" s="141">
        <f>18000+8700+3600+870+360+870+360</f>
        <v>32760</v>
      </c>
      <c r="F10" s="142">
        <f>(10.15*0.8)+(8.33*0.2)</f>
        <v>9.7860000000000014</v>
      </c>
      <c r="G10" s="143">
        <f>ROUND(F10*C10,2)</f>
        <v>3.08</v>
      </c>
    </row>
    <row r="11" spans="2:9" ht="18.75" x14ac:dyDescent="0.3">
      <c r="B11" s="144"/>
      <c r="C11" s="145">
        <f>C5+C6+C9+C10</f>
        <v>1</v>
      </c>
      <c r="D11" s="133"/>
      <c r="E11" s="146">
        <f>E10+E9+E8+E7+E6+E5</f>
        <v>104250</v>
      </c>
      <c r="F11" s="147"/>
      <c r="G11" s="148">
        <f>SUM(G4:G10)</f>
        <v>11.23</v>
      </c>
    </row>
    <row r="12" spans="2:9" x14ac:dyDescent="0.25">
      <c r="F12" s="78"/>
      <c r="G12" s="79"/>
      <c r="I12" s="80"/>
    </row>
    <row r="13" spans="2:9" x14ac:dyDescent="0.25">
      <c r="F13" s="81"/>
    </row>
    <row r="14" spans="2:9" ht="97.5" customHeight="1" x14ac:dyDescent="0.25">
      <c r="B14" s="290" t="s">
        <v>132</v>
      </c>
      <c r="C14" s="290"/>
      <c r="D14" s="290"/>
      <c r="E14" s="290"/>
      <c r="F14" s="290"/>
      <c r="G14" s="290"/>
    </row>
    <row r="15" spans="2:9" ht="33" customHeight="1" x14ac:dyDescent="0.25">
      <c r="B15" s="290" t="s">
        <v>133</v>
      </c>
      <c r="C15" s="290"/>
      <c r="D15" s="290"/>
      <c r="E15" s="290"/>
      <c r="F15" s="290"/>
      <c r="G15" s="290"/>
    </row>
    <row r="16" spans="2:9" x14ac:dyDescent="0.25">
      <c r="F16" s="161"/>
    </row>
    <row r="17" spans="6:6" x14ac:dyDescent="0.25">
      <c r="F17" s="82"/>
    </row>
    <row r="20" spans="6:6" x14ac:dyDescent="0.25">
      <c r="F20" s="81"/>
    </row>
    <row r="21" spans="6:6" x14ac:dyDescent="0.25">
      <c r="F21" s="81"/>
    </row>
  </sheetData>
  <mergeCells count="8">
    <mergeCell ref="B14:G14"/>
    <mergeCell ref="B15:G15"/>
    <mergeCell ref="B2:G2"/>
    <mergeCell ref="D4:E4"/>
    <mergeCell ref="C6:C8"/>
    <mergeCell ref="D6:D8"/>
    <mergeCell ref="F6:F8"/>
    <mergeCell ref="G6:G8"/>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Kopsavilkums</vt:lpstr>
      <vt:lpstr>Citi_pasākumi</vt:lpstr>
      <vt:lpstr>NMPD</vt:lpstr>
      <vt:lpstr>vakcinas_iegade</vt:lpstr>
      <vt:lpstr>Ievades_izmaksas</vt:lpstr>
      <vt:lpstr>NMPD!Print_Area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Igors Belovs</dc:creator>
  <cp:lastModifiedBy>Igors Belovs</cp:lastModifiedBy>
  <cp:lastPrinted>2021-04-19T09:45:20Z</cp:lastPrinted>
  <dcterms:created xsi:type="dcterms:W3CDTF">2021-03-25T14:45:32Z</dcterms:created>
  <dcterms:modified xsi:type="dcterms:W3CDTF">2021-04-19T10:01:51Z</dcterms:modified>
</cp:coreProperties>
</file>