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03d9fe0d1a040629/Desktop/"/>
    </mc:Choice>
  </mc:AlternateContent>
  <xr:revisionPtr revIDLastSave="0" documentId="8_{541C484E-AEB4-4EDE-8B97-13B714D69BA1}" xr6:coauthVersionLast="46" xr6:coauthVersionMax="46" xr10:uidLastSave="{00000000-0000-0000-0000-000000000000}"/>
  <bookViews>
    <workbookView xWindow="384" yWindow="384" windowWidth="20064" windowHeight="8964" xr2:uid="{BA7EAF13-C9D3-4257-BF1F-DA05524E2D4D}"/>
  </bookViews>
  <sheets>
    <sheet name="1.piel." sheetId="2" r:id="rId1"/>
    <sheet name="2.piel." sheetId="4" r:id="rId2"/>
    <sheet name="3.piel." sheetId="7" r:id="rId3"/>
    <sheet name="4.piel." sheetId="8" r:id="rId4"/>
    <sheet name="5.piel." sheetId="9" r:id="rId5"/>
    <sheet name="6.piel." sheetId="12" r:id="rId6"/>
    <sheet name="7.piel." sheetId="1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1_2_d_NMP_lim" localSheetId="1">#REF!</definedName>
    <definedName name="_1_2_d_NMP_lim" localSheetId="2">#REF!</definedName>
    <definedName name="_1_2_d_NMP_lim" localSheetId="3">#REF!</definedName>
    <definedName name="_1_2_d_NMP_lim" localSheetId="4">#REF!</definedName>
    <definedName name="_1_2_d_NMP_lim">#REF!</definedName>
    <definedName name="_xlnm._FilterDatabase" localSheetId="5" hidden="1">'6.piel.'!$A$5:$O$42</definedName>
    <definedName name="aa" localSheetId="1">#REF!</definedName>
    <definedName name="aa" localSheetId="2">#REF!</definedName>
    <definedName name="aa" localSheetId="3">#REF!</definedName>
    <definedName name="aa" localSheetId="4">#REF!</definedName>
    <definedName name="aa" localSheetId="5">#REF!</definedName>
    <definedName name="aa">#REF!</definedName>
    <definedName name="_xlnm.Auto_Open" localSheetId="1">#REF!</definedName>
    <definedName name="_xlnm.Auto_Open" localSheetId="2">#REF!</definedName>
    <definedName name="_xlnm.Auto_Open" localSheetId="3">#REF!</definedName>
    <definedName name="_xlnm.Auto_Open" localSheetId="4">#REF!</definedName>
    <definedName name="_xlnm.Auto_Open">#REF!</definedName>
    <definedName name="b" localSheetId="1">#REF!</definedName>
    <definedName name="b" localSheetId="2">#REF!</definedName>
    <definedName name="b" localSheetId="3">#REF!</definedName>
    <definedName name="b" localSheetId="4">#REF!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 localSheetId="1">#REF!</definedName>
    <definedName name="bt" localSheetId="2">#REF!</definedName>
    <definedName name="bt" localSheetId="3">#REF!</definedName>
    <definedName name="bt" localSheetId="4">#REF!</definedName>
    <definedName name="bt" localSheetId="5">#REF!</definedName>
    <definedName name="bt">#REF!</definedName>
    <definedName name="BX" localSheetId="1">#REF!</definedName>
    <definedName name="BX" localSheetId="2">#REF!</definedName>
    <definedName name="BX" localSheetId="3">#REF!</definedName>
    <definedName name="BX" localSheetId="4">#REF!</definedName>
    <definedName name="BX">#REF!</definedName>
    <definedName name="CalendarYear" localSheetId="1">#REF!</definedName>
    <definedName name="CalendarYear" localSheetId="2">#REF!</definedName>
    <definedName name="CalendarYear" localSheetId="3">#REF!</definedName>
    <definedName name="CalendarYear" localSheetId="4">#REF!</definedName>
    <definedName name="CalendarYear">#REF!</definedName>
    <definedName name="ccc" localSheetId="1">#REF!</definedName>
    <definedName name="ccc" localSheetId="2">#REF!</definedName>
    <definedName name="ccc" localSheetId="3">#REF!</definedName>
    <definedName name="ccc" localSheetId="4">#REF!</definedName>
    <definedName name="ccc">#REF!</definedName>
    <definedName name="d" localSheetId="1">#REF!</definedName>
    <definedName name="d" localSheetId="2">#REF!</definedName>
    <definedName name="d" localSheetId="3">#REF!</definedName>
    <definedName name="d" localSheetId="4">#REF!</definedName>
    <definedName name="d">#REF!</definedName>
    <definedName name="D_Evija3" localSheetId="1">#REF!</definedName>
    <definedName name="D_Evija3" localSheetId="2">#REF!</definedName>
    <definedName name="D_Evija3" localSheetId="3">#REF!</definedName>
    <definedName name="D_Evija3" localSheetId="4">#REF!</definedName>
    <definedName name="D_Evija3">#REF!</definedName>
    <definedName name="DaysAndWeeks" localSheetId="1">{0,1,2,3,4,5,6} + {0;1;2;3;4;5}*7</definedName>
    <definedName name="DaysAndWeeks" localSheetId="2">{0,1,2,3,4,5,6} + {0;1;2;3;4;5}*7</definedName>
    <definedName name="DaysAndWeeks" localSheetId="3">{0,1,2,3,4,5,6} + {0;1;2;3;4;5}*7</definedName>
    <definedName name="DaysAndWeeks" localSheetId="4">{0,1,2,3,4,5,6} + {0;1;2;3;4;5}*7</definedName>
    <definedName name="DaysAndWeeks" localSheetId="5">{0,1,2,3,4,5,6} + {0;1;2;3;4;5}*7</definedName>
    <definedName name="DaysAndWeeks">{0,1,2,3,4,5,6} + {0;1;2;3;4;5}*7</definedName>
    <definedName name="de" localSheetId="1">#REF!</definedName>
    <definedName name="de" localSheetId="2">#REF!</definedName>
    <definedName name="de" localSheetId="3">#REF!</definedName>
    <definedName name="de" localSheetId="4">#REF!</definedName>
    <definedName name="de" localSheetId="5">#REF!</definedName>
    <definedName name="de">#REF!</definedName>
    <definedName name="dff">#NAME?</definedName>
    <definedName name="DRGNAMES" localSheetId="1">#REF!</definedName>
    <definedName name="DRGNAMES" localSheetId="2">#REF!</definedName>
    <definedName name="DRGNAMES" localSheetId="3">#REF!</definedName>
    <definedName name="DRGNAMES" localSheetId="4">#REF!</definedName>
    <definedName name="DRGNAMES" localSheetId="5">#REF!</definedName>
    <definedName name="DRGNAMES">#REF!</definedName>
    <definedName name="e" localSheetId="1">#REF!</definedName>
    <definedName name="e" localSheetId="2">#REF!</definedName>
    <definedName name="e" localSheetId="3">#REF!</definedName>
    <definedName name="e" localSheetId="4">#REF!</definedName>
    <definedName name="e">#REF!</definedName>
    <definedName name="ee" localSheetId="1">#REF!</definedName>
    <definedName name="ee" localSheetId="2">#REF!</definedName>
    <definedName name="ee" localSheetId="3">#REF!</definedName>
    <definedName name="ee" localSheetId="4">#REF!</definedName>
    <definedName name="ee">#REF!</definedName>
    <definedName name="Excel_BuiltIn__FilterDatabase_2" localSheetId="1">#REF!</definedName>
    <definedName name="Excel_BuiltIn__FilterDatabase_2" localSheetId="2">#REF!</definedName>
    <definedName name="Excel_BuiltIn__FilterDatabase_2" localSheetId="3">#REF!</definedName>
    <definedName name="Excel_BuiltIn__FilterDatabase_2" localSheetId="4">#REF!</definedName>
    <definedName name="Excel_BuiltIn__FilterDatabase_2">#REF!</definedName>
    <definedName name="Excel_BuiltIn__FilterDatabase_3" localSheetId="1">#REF!</definedName>
    <definedName name="Excel_BuiltIn__FilterDatabase_3" localSheetId="2">#REF!</definedName>
    <definedName name="Excel_BuiltIn__FilterDatabase_3" localSheetId="3">#REF!</definedName>
    <definedName name="Excel_BuiltIn__FilterDatabase_3" localSheetId="4">#REF!</definedName>
    <definedName name="Excel_BuiltIn__FilterDatabase_3">#REF!</definedName>
    <definedName name="Excel_BuiltIn_Print_Titles_2" localSheetId="1">#REF!</definedName>
    <definedName name="Excel_BuiltIn_Print_Titles_2" localSheetId="2">#REF!</definedName>
    <definedName name="Excel_BuiltIn_Print_Titles_2" localSheetId="3">#REF!</definedName>
    <definedName name="Excel_BuiltIn_Print_Titles_2" localSheetId="4">#REF!</definedName>
    <definedName name="Excel_BuiltIn_Print_Titles_2">#REF!</definedName>
    <definedName name="Excel_BuiltIn_Print_Titles_3" localSheetId="1">#REF!</definedName>
    <definedName name="Excel_BuiltIn_Print_Titles_3" localSheetId="2">#REF!</definedName>
    <definedName name="Excel_BuiltIn_Print_Titles_3" localSheetId="3">#REF!</definedName>
    <definedName name="Excel_BuiltIn_Print_Titles_3" localSheetId="4">#REF!</definedName>
    <definedName name="Excel_BuiltIn_Print_Titles_3">#REF!</definedName>
    <definedName name="gad_skaits" localSheetId="1">#REF!</definedName>
    <definedName name="gad_skaits" localSheetId="2">#REF!</definedName>
    <definedName name="gad_skaits" localSheetId="3">#REF!</definedName>
    <definedName name="gad_skaits" localSheetId="4">#REF!</definedName>
    <definedName name="gad_skaits">#REF!</definedName>
    <definedName name="gad_skaits_1" localSheetId="1">#REF!</definedName>
    <definedName name="gad_skaits_1" localSheetId="2">#REF!</definedName>
    <definedName name="gad_skaits_1" localSheetId="3">#REF!</definedName>
    <definedName name="gad_skaits_1" localSheetId="4">#REF!</definedName>
    <definedName name="gad_skaits_1">#REF!</definedName>
    <definedName name="gala" localSheetId="5">{0,1,2,3,4,5,6} + {0;1;2;3;4;5}*7</definedName>
    <definedName name="gala">{0,1,2,3,4,5,6} + {0;1;2;3;4;5}*7</definedName>
    <definedName name="Gala_kopsavilkums">#REF!</definedName>
    <definedName name="gggg" localSheetId="1">#REF!</definedName>
    <definedName name="gggg" localSheetId="2">#REF!</definedName>
    <definedName name="gggg" localSheetId="3">#REF!</definedName>
    <definedName name="gggg" localSheetId="4">#REF!</definedName>
    <definedName name="gggg">#REF!</definedName>
    <definedName name="ghy" localSheetId="1">#REF!</definedName>
    <definedName name="ghy" localSheetId="2">#REF!</definedName>
    <definedName name="ghy" localSheetId="3">#REF!</definedName>
    <definedName name="ghy" localSheetId="4">#REF!</definedName>
    <definedName name="ghy">#REF!</definedName>
    <definedName name="h" localSheetId="1">#REF!</definedName>
    <definedName name="h" localSheetId="2">#REF!</definedName>
    <definedName name="h" localSheetId="3">#REF!</definedName>
    <definedName name="h" localSheetId="4">#REF!</definedName>
    <definedName name="h">#REF!</definedName>
    <definedName name="hh" localSheetId="1">#REF!</definedName>
    <definedName name="hh" localSheetId="2">#REF!</definedName>
    <definedName name="hh" localSheetId="3">#REF!</definedName>
    <definedName name="hh" localSheetId="4">#REF!</definedName>
    <definedName name="hh">#REF!</definedName>
    <definedName name="hjh" localSheetId="1">#REF!</definedName>
    <definedName name="hjh" localSheetId="2">#REF!</definedName>
    <definedName name="hjh" localSheetId="3">#REF!</definedName>
    <definedName name="hjh" localSheetId="4">#REF!</definedName>
    <definedName name="hjh">#REF!</definedName>
    <definedName name="hyh" localSheetId="1">#REF!</definedName>
    <definedName name="hyh" localSheetId="2">#REF!</definedName>
    <definedName name="hyh" localSheetId="3">#REF!</definedName>
    <definedName name="hyh" localSheetId="4">#REF!</definedName>
    <definedName name="hyh">#REF!</definedName>
    <definedName name="i" localSheetId="1">#REF!</definedName>
    <definedName name="i" localSheetId="2">#REF!</definedName>
    <definedName name="i" localSheetId="3">#REF!</definedName>
    <definedName name="i" localSheetId="4">#REF!</definedName>
    <definedName name="i">#REF!</definedName>
    <definedName name="izm.kods" localSheetId="1">#REF!</definedName>
    <definedName name="izm.kods" localSheetId="2">#REF!</definedName>
    <definedName name="izm.kods" localSheetId="3">#REF!</definedName>
    <definedName name="izm.kods" localSheetId="4">#REF!</definedName>
    <definedName name="izm.kods">#REF!</definedName>
    <definedName name="izm.kods_1">[2]izm.posteni!$A$2:$A$216</definedName>
    <definedName name="izm.nos" localSheetId="1">#REF!</definedName>
    <definedName name="izm.nos" localSheetId="2">#REF!</definedName>
    <definedName name="izm.nos" localSheetId="3">#REF!</definedName>
    <definedName name="izm.nos" localSheetId="4">#REF!</definedName>
    <definedName name="izm.nos" localSheetId="5">#REF!</definedName>
    <definedName name="izm.nos">#REF!</definedName>
    <definedName name="izm.nos_1">[2]izm.posteni!$B$2:$B$216</definedName>
    <definedName name="jhg" localSheetId="1">#REF!</definedName>
    <definedName name="jhg" localSheetId="2">#REF!</definedName>
    <definedName name="jhg" localSheetId="3">#REF!</definedName>
    <definedName name="jhg" localSheetId="4">#REF!</definedName>
    <definedName name="jhg" localSheetId="5">#REF!</definedName>
    <definedName name="jhg">#REF!</definedName>
    <definedName name="kk" localSheetId="1">#REF!</definedName>
    <definedName name="kk" localSheetId="2">#REF!</definedName>
    <definedName name="kk" localSheetId="3">#REF!</definedName>
    <definedName name="kk" localSheetId="4">#REF!</definedName>
    <definedName name="kk">#REF!</definedName>
    <definedName name="l" localSheetId="1">#REF!</definedName>
    <definedName name="l" localSheetId="2">#REF!</definedName>
    <definedName name="l" localSheetId="3">#REF!</definedName>
    <definedName name="l" localSheetId="4">#REF!</definedName>
    <definedName name="l">#REF!</definedName>
    <definedName name="Limeni_7_9group" localSheetId="1">#REF!</definedName>
    <definedName name="Limeni_7_9group" localSheetId="2">#REF!</definedName>
    <definedName name="Limeni_7_9group" localSheetId="3">#REF!</definedName>
    <definedName name="Limeni_7_9group" localSheetId="4">#REF!</definedName>
    <definedName name="Limeni_7_9group">#REF!</definedName>
    <definedName name="mmm" hidden="1">[1]ZQZBC_PLN__04_03_10!#REF!</definedName>
    <definedName name="n" localSheetId="1">#REF!</definedName>
    <definedName name="n" localSheetId="2">#REF!</definedName>
    <definedName name="n" localSheetId="3">#REF!</definedName>
    <definedName name="n" localSheetId="4">#REF!</definedName>
    <definedName name="n" localSheetId="5">#REF!</definedName>
    <definedName name="n">#REF!</definedName>
    <definedName name="P_Dati_rikojums" localSheetId="1">#REF!</definedName>
    <definedName name="P_Dati_rikojums" localSheetId="2">#REF!</definedName>
    <definedName name="P_Dati_rikojums" localSheetId="3">#REF!</definedName>
    <definedName name="P_Dati_rikojums" localSheetId="4">#REF!</definedName>
    <definedName name="P_Dati_rikojums">#REF!</definedName>
    <definedName name="pp" localSheetId="1">#REF!</definedName>
    <definedName name="pp" localSheetId="2">#REF!</definedName>
    <definedName name="pp" localSheetId="3">#REF!</definedName>
    <definedName name="pp" localSheetId="4">#REF!</definedName>
    <definedName name="pp">#REF!</definedName>
    <definedName name="_xlnm.Print_Area" localSheetId="2">'3.piel.'!$A$1:$I$40</definedName>
    <definedName name="_xlnm.Print_Area" localSheetId="3">'4.piel.'!$A$1:$I$46</definedName>
    <definedName name="_xlnm.Print_Area" localSheetId="4">'5.piel.'!$A$1:$O$49</definedName>
    <definedName name="Recover" localSheetId="1">[3]Macro1!$A$80</definedName>
    <definedName name="Recover" localSheetId="2">[3]Macro1!$A$80</definedName>
    <definedName name="Recover" localSheetId="3">[3]Macro1!$A$80</definedName>
    <definedName name="Recover" localSheetId="4">[3]Macro1!$A$80</definedName>
    <definedName name="Recover">[4]Macro1!$A$135</definedName>
    <definedName name="Rikojums2222" localSheetId="1">[5]Macro1!$A$106</definedName>
    <definedName name="Rikojums2222" localSheetId="2">[5]Macro1!$A$106</definedName>
    <definedName name="Rikojums2222" localSheetId="3">[5]Macro1!$A$106</definedName>
    <definedName name="Rikojums2222" localSheetId="4">[5]Macro1!$A$106</definedName>
    <definedName name="Rikojums2222">[6]Macro1!$A$106</definedName>
    <definedName name="rr" localSheetId="1">#REF!</definedName>
    <definedName name="rr" localSheetId="2">#REF!</definedName>
    <definedName name="rr" localSheetId="3">#REF!</definedName>
    <definedName name="rr" localSheetId="4">#REF!</definedName>
    <definedName name="rr" localSheetId="5">#REF!</definedName>
    <definedName name="rr">#REF!</definedName>
    <definedName name="rt" localSheetId="1">#REF!</definedName>
    <definedName name="rt" localSheetId="2">#REF!</definedName>
    <definedName name="rt" localSheetId="3">#REF!</definedName>
    <definedName name="rt" localSheetId="4">#REF!</definedName>
    <definedName name="rt">#REF!</definedName>
    <definedName name="rty" localSheetId="1">#REF!</definedName>
    <definedName name="rty" localSheetId="2">#REF!</definedName>
    <definedName name="rty" localSheetId="3">#REF!</definedName>
    <definedName name="rty" localSheetId="4">#REF!</definedName>
    <definedName name="rty">#REF!</definedName>
    <definedName name="S5\" localSheetId="1">#REF!</definedName>
    <definedName name="S5\" localSheetId="2">#REF!</definedName>
    <definedName name="S5\" localSheetId="3">#REF!</definedName>
    <definedName name="S5\" localSheetId="4">#REF!</definedName>
    <definedName name="S5\">#REF!</definedName>
    <definedName name="ss" localSheetId="1">#REF!</definedName>
    <definedName name="ss" localSheetId="2">#REF!</definedName>
    <definedName name="ss" localSheetId="3">#REF!</definedName>
    <definedName name="ss" localSheetId="4">#REF!</definedName>
    <definedName name="ss">#REF!</definedName>
    <definedName name="Str." localSheetId="1">#REF!</definedName>
    <definedName name="Str." localSheetId="2">#REF!</definedName>
    <definedName name="Str." localSheetId="3">#REF!</definedName>
    <definedName name="Str." localSheetId="4">#REF!</definedName>
    <definedName name="Str.">#REF!</definedName>
    <definedName name="Str.vien.nos." localSheetId="1">#REF!</definedName>
    <definedName name="Str.vien.nos." localSheetId="2">#REF!</definedName>
    <definedName name="Str.vien.nos." localSheetId="3">#REF!</definedName>
    <definedName name="Str.vien.nos." localSheetId="4">#REF!</definedName>
    <definedName name="Str.vien.nos.">#REF!</definedName>
    <definedName name="Struktura" localSheetId="1">#REF!</definedName>
    <definedName name="Struktura" localSheetId="2">#REF!</definedName>
    <definedName name="Struktura" localSheetId="3">#REF!</definedName>
    <definedName name="Struktura" localSheetId="4">#REF!</definedName>
    <definedName name="Struktura">#REF!</definedName>
    <definedName name="Struktūrvien.kodi2" localSheetId="1">#REF!</definedName>
    <definedName name="Struktūrvien.kodi2" localSheetId="2">#REF!</definedName>
    <definedName name="Struktūrvien.kodi2" localSheetId="3">#REF!</definedName>
    <definedName name="Struktūrvien.kodi2" localSheetId="4">#REF!</definedName>
    <definedName name="Struktūrvien.kodi2">#REF!</definedName>
    <definedName name="Struktūrvien.kodi2_1">[2]strukturkodi!$B$2:$B$232</definedName>
    <definedName name="Struktūrvien.kods" localSheetId="1">#REF!</definedName>
    <definedName name="Struktūrvien.kods" localSheetId="2">#REF!</definedName>
    <definedName name="Struktūrvien.kods" localSheetId="3">#REF!</definedName>
    <definedName name="Struktūrvien.kods" localSheetId="4">#REF!</definedName>
    <definedName name="Struktūrvien.kods" localSheetId="5">#REF!</definedName>
    <definedName name="Struktūrvien.kods">#REF!</definedName>
    <definedName name="Struktūrvien.kods_1">[2]strukturkodi!$A$2:$A$232</definedName>
    <definedName name="T13l6">[7]ATSKAITE_2v!#REF!</definedName>
    <definedName name="TableName">"Dummy"</definedName>
    <definedName name="TWO_LINKS">'[8]8.1.'!$C$5</definedName>
    <definedName name="ty" localSheetId="1">#REF!</definedName>
    <definedName name="ty" localSheetId="2">#REF!</definedName>
    <definedName name="ty" localSheetId="3">#REF!</definedName>
    <definedName name="ty" localSheetId="4">#REF!</definedName>
    <definedName name="ty" localSheetId="5">#REF!</definedName>
    <definedName name="ty">#REF!</definedName>
    <definedName name="tyuj" localSheetId="1">#REF!</definedName>
    <definedName name="tyuj" localSheetId="2">#REF!</definedName>
    <definedName name="tyuj" localSheetId="3">#REF!</definedName>
    <definedName name="tyuj" localSheetId="4">#REF!</definedName>
    <definedName name="tyuj">#REF!</definedName>
    <definedName name="u" localSheetId="1">#REF!</definedName>
    <definedName name="u" localSheetId="2">#REF!</definedName>
    <definedName name="u" localSheetId="3">#REF!</definedName>
    <definedName name="u" localSheetId="4">#REF!</definedName>
    <definedName name="u">#REF!</definedName>
    <definedName name="U_N_A" localSheetId="1">#REF!</definedName>
    <definedName name="U_N_A" localSheetId="2">#REF!</definedName>
    <definedName name="U_N_A" localSheetId="3">#REF!</definedName>
    <definedName name="U_N_A" localSheetId="4">#REF!</definedName>
    <definedName name="U_N_A">#REF!</definedName>
    <definedName name="wedr" localSheetId="1">#REF!</definedName>
    <definedName name="wedr" localSheetId="2">#REF!</definedName>
    <definedName name="wedr" localSheetId="3">#REF!</definedName>
    <definedName name="wedr" localSheetId="4">#REF!</definedName>
    <definedName name="wedr">#REF!</definedName>
    <definedName name="WeekStart" localSheetId="1">#REF!</definedName>
    <definedName name="WeekStart" localSheetId="2">#REF!</definedName>
    <definedName name="WeekStart" localSheetId="3">#REF!</definedName>
    <definedName name="WeekStart" localSheetId="4">#REF!</definedName>
    <definedName name="WeekStart">#REF!</definedName>
    <definedName name="x" localSheetId="1">#REF!</definedName>
    <definedName name="x" localSheetId="2">#REF!</definedName>
    <definedName name="x" localSheetId="3">#REF!</definedName>
    <definedName name="x" localSheetId="4">#REF!</definedName>
    <definedName name="x">#REF!</definedName>
    <definedName name="XBD">[9]Dati!$B$6</definedName>
    <definedName name="XDD">[9]Dati!$B$4</definedName>
    <definedName name="XDS">[9]Dati!$B$5</definedName>
    <definedName name="XSVD">[9]Dati!$B$7</definedName>
    <definedName name="xxxx" localSheetId="1">#REF!</definedName>
    <definedName name="xxxx" localSheetId="2">#REF!</definedName>
    <definedName name="xxxx" localSheetId="3">#REF!</definedName>
    <definedName name="xxxx" localSheetId="4">#REF!</definedName>
    <definedName name="xxxx" localSheetId="5">#REF!</definedName>
    <definedName name="xxxx">#REF!</definedName>
    <definedName name="yuh" localSheetId="1">#REF!</definedName>
    <definedName name="yuh" localSheetId="2">#REF!</definedName>
    <definedName name="yuh" localSheetId="3">#REF!</definedName>
    <definedName name="yuh" localSheetId="4">#REF!</definedName>
    <definedName name="yuh">#REF!</definedName>
    <definedName name="yyyy" localSheetId="1">#REF!</definedName>
    <definedName name="yyyy" localSheetId="2">#REF!</definedName>
    <definedName name="yyyy" localSheetId="3">#REF!</definedName>
    <definedName name="yyyy" localSheetId="4">#REF!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3" l="1"/>
  <c r="C4" i="13" s="1"/>
  <c r="B3" i="13"/>
  <c r="C3" i="13" s="1"/>
  <c r="C5" i="13" s="1"/>
  <c r="C7" i="13" s="1"/>
  <c r="I42" i="12"/>
  <c r="H42" i="12"/>
  <c r="G42" i="12"/>
  <c r="F42" i="12"/>
  <c r="E42" i="12"/>
  <c r="K41" i="12"/>
  <c r="J41" i="12"/>
  <c r="L41" i="12" s="1"/>
  <c r="M41" i="12" s="1"/>
  <c r="N41" i="12" s="1"/>
  <c r="O41" i="12" s="1"/>
  <c r="P41" i="12" s="1"/>
  <c r="Q41" i="12" s="1"/>
  <c r="R41" i="12" s="1"/>
  <c r="Q40" i="12"/>
  <c r="R40" i="12" s="1"/>
  <c r="M40" i="12"/>
  <c r="N40" i="12" s="1"/>
  <c r="L40" i="12"/>
  <c r="K40" i="12"/>
  <c r="J40" i="12"/>
  <c r="K39" i="12"/>
  <c r="J39" i="12"/>
  <c r="L39" i="12" s="1"/>
  <c r="M39" i="12" s="1"/>
  <c r="N39" i="12" s="1"/>
  <c r="O39" i="12" s="1"/>
  <c r="P39" i="12" s="1"/>
  <c r="Q39" i="12" s="1"/>
  <c r="R39" i="12" s="1"/>
  <c r="M38" i="12"/>
  <c r="N38" i="12" s="1"/>
  <c r="O38" i="12" s="1"/>
  <c r="P38" i="12" s="1"/>
  <c r="Q38" i="12" s="1"/>
  <c r="R38" i="12" s="1"/>
  <c r="L38" i="12"/>
  <c r="K38" i="12"/>
  <c r="J38" i="12"/>
  <c r="N37" i="12"/>
  <c r="O37" i="12" s="1"/>
  <c r="P37" i="12" s="1"/>
  <c r="Q37" i="12" s="1"/>
  <c r="R37" i="12" s="1"/>
  <c r="K37" i="12"/>
  <c r="J37" i="12"/>
  <c r="L37" i="12" s="1"/>
  <c r="Q36" i="12"/>
  <c r="R36" i="12" s="1"/>
  <c r="L36" i="12"/>
  <c r="M36" i="12" s="1"/>
  <c r="N36" i="12" s="1"/>
  <c r="O36" i="12" s="1"/>
  <c r="K36" i="12"/>
  <c r="J36" i="12"/>
  <c r="Q35" i="12"/>
  <c r="R35" i="12" s="1"/>
  <c r="K35" i="12"/>
  <c r="J35" i="12"/>
  <c r="L35" i="12" s="1"/>
  <c r="M35" i="12" s="1"/>
  <c r="N35" i="12" s="1"/>
  <c r="O35" i="12" s="1"/>
  <c r="Q34" i="12"/>
  <c r="R34" i="12" s="1"/>
  <c r="K34" i="12"/>
  <c r="J34" i="12"/>
  <c r="L34" i="12" s="1"/>
  <c r="M34" i="12" s="1"/>
  <c r="N34" i="12" s="1"/>
  <c r="O34" i="12" s="1"/>
  <c r="Q33" i="12"/>
  <c r="R33" i="12" s="1"/>
  <c r="L33" i="12"/>
  <c r="M33" i="12" s="1"/>
  <c r="N33" i="12" s="1"/>
  <c r="O33" i="12" s="1"/>
  <c r="K33" i="12"/>
  <c r="J33" i="12"/>
  <c r="Q32" i="12"/>
  <c r="R32" i="12" s="1"/>
  <c r="K32" i="12"/>
  <c r="J32" i="12"/>
  <c r="L32" i="12" s="1"/>
  <c r="M32" i="12" s="1"/>
  <c r="N32" i="12" s="1"/>
  <c r="O32" i="12" s="1"/>
  <c r="Q31" i="12"/>
  <c r="R31" i="12" s="1"/>
  <c r="L31" i="12"/>
  <c r="M31" i="12" s="1"/>
  <c r="N31" i="12" s="1"/>
  <c r="O31" i="12" s="1"/>
  <c r="K31" i="12"/>
  <c r="J31" i="12"/>
  <c r="K30" i="12"/>
  <c r="J30" i="12"/>
  <c r="L30" i="12" s="1"/>
  <c r="M30" i="12" s="1"/>
  <c r="N30" i="12" s="1"/>
  <c r="O30" i="12" s="1"/>
  <c r="P30" i="12" s="1"/>
  <c r="Q30" i="12" s="1"/>
  <c r="R30" i="12" s="1"/>
  <c r="K29" i="12"/>
  <c r="J29" i="12"/>
  <c r="L29" i="12" s="1"/>
  <c r="M29" i="12" s="1"/>
  <c r="N29" i="12" s="1"/>
  <c r="O29" i="12" s="1"/>
  <c r="P29" i="12" s="1"/>
  <c r="Q29" i="12" s="1"/>
  <c r="R29" i="12" s="1"/>
  <c r="O28" i="12"/>
  <c r="P28" i="12" s="1"/>
  <c r="Q28" i="12" s="1"/>
  <c r="R28" i="12" s="1"/>
  <c r="K28" i="12"/>
  <c r="J28" i="12"/>
  <c r="L28" i="12" s="1"/>
  <c r="M28" i="12" s="1"/>
  <c r="N28" i="12" s="1"/>
  <c r="K27" i="12"/>
  <c r="J27" i="12"/>
  <c r="L27" i="12" s="1"/>
  <c r="M27" i="12" s="1"/>
  <c r="N27" i="12" s="1"/>
  <c r="O27" i="12" s="1"/>
  <c r="P27" i="12" s="1"/>
  <c r="Q27" i="12" s="1"/>
  <c r="R27" i="12" s="1"/>
  <c r="K26" i="12"/>
  <c r="J26" i="12"/>
  <c r="L26" i="12" s="1"/>
  <c r="M26" i="12" s="1"/>
  <c r="N26" i="12" s="1"/>
  <c r="O26" i="12" s="1"/>
  <c r="P26" i="12" s="1"/>
  <c r="Q26" i="12" s="1"/>
  <c r="R26" i="12" s="1"/>
  <c r="K25" i="12"/>
  <c r="J25" i="12"/>
  <c r="L25" i="12" s="1"/>
  <c r="M25" i="12" s="1"/>
  <c r="N25" i="12" s="1"/>
  <c r="O25" i="12" s="1"/>
  <c r="P25" i="12" s="1"/>
  <c r="Q25" i="12" s="1"/>
  <c r="R25" i="12" s="1"/>
  <c r="K24" i="12"/>
  <c r="J24" i="12"/>
  <c r="L24" i="12" s="1"/>
  <c r="M24" i="12" s="1"/>
  <c r="N24" i="12" s="1"/>
  <c r="O24" i="12" s="1"/>
  <c r="P24" i="12" s="1"/>
  <c r="Q24" i="12" s="1"/>
  <c r="R24" i="12" s="1"/>
  <c r="L23" i="12"/>
  <c r="M23" i="12" s="1"/>
  <c r="N23" i="12" s="1"/>
  <c r="O23" i="12" s="1"/>
  <c r="P23" i="12" s="1"/>
  <c r="Q23" i="12" s="1"/>
  <c r="R23" i="12" s="1"/>
  <c r="K23" i="12"/>
  <c r="J23" i="12"/>
  <c r="K22" i="12"/>
  <c r="J22" i="12"/>
  <c r="L22" i="12" s="1"/>
  <c r="M22" i="12" s="1"/>
  <c r="N22" i="12" s="1"/>
  <c r="O22" i="12" s="1"/>
  <c r="P22" i="12" s="1"/>
  <c r="Q22" i="12" s="1"/>
  <c r="R22" i="12" s="1"/>
  <c r="K21" i="12"/>
  <c r="J21" i="12"/>
  <c r="L21" i="12" s="1"/>
  <c r="M21" i="12" s="1"/>
  <c r="N21" i="12" s="1"/>
  <c r="O21" i="12" s="1"/>
  <c r="P21" i="12" s="1"/>
  <c r="Q21" i="12" s="1"/>
  <c r="R21" i="12" s="1"/>
  <c r="K20" i="12"/>
  <c r="J20" i="12"/>
  <c r="L20" i="12" s="1"/>
  <c r="M20" i="12" s="1"/>
  <c r="N20" i="12" s="1"/>
  <c r="O20" i="12" s="1"/>
  <c r="P20" i="12" s="1"/>
  <c r="Q20" i="12" s="1"/>
  <c r="R20" i="12" s="1"/>
  <c r="K19" i="12"/>
  <c r="J19" i="12"/>
  <c r="L19" i="12" s="1"/>
  <c r="M19" i="12" s="1"/>
  <c r="N19" i="12" s="1"/>
  <c r="O19" i="12" s="1"/>
  <c r="P19" i="12" s="1"/>
  <c r="Q19" i="12" s="1"/>
  <c r="R19" i="12" s="1"/>
  <c r="K18" i="12"/>
  <c r="J18" i="12"/>
  <c r="L18" i="12" s="1"/>
  <c r="M18" i="12" s="1"/>
  <c r="N18" i="12" s="1"/>
  <c r="O18" i="12" s="1"/>
  <c r="P18" i="12" s="1"/>
  <c r="Q18" i="12" s="1"/>
  <c r="R18" i="12" s="1"/>
  <c r="K17" i="12"/>
  <c r="J17" i="12"/>
  <c r="L17" i="12" s="1"/>
  <c r="M17" i="12" s="1"/>
  <c r="N17" i="12" s="1"/>
  <c r="O17" i="12" s="1"/>
  <c r="P17" i="12" s="1"/>
  <c r="Q17" i="12" s="1"/>
  <c r="R17" i="12" s="1"/>
  <c r="Q16" i="12"/>
  <c r="R16" i="12" s="1"/>
  <c r="L16" i="12"/>
  <c r="M16" i="12" s="1"/>
  <c r="N16" i="12" s="1"/>
  <c r="K16" i="12"/>
  <c r="J16" i="12"/>
  <c r="Q15" i="12"/>
  <c r="R15" i="12" s="1"/>
  <c r="K15" i="12"/>
  <c r="J15" i="12"/>
  <c r="L15" i="12" s="1"/>
  <c r="M15" i="12" s="1"/>
  <c r="N15" i="12" s="1"/>
  <c r="K14" i="12"/>
  <c r="J14" i="12"/>
  <c r="L14" i="12" s="1"/>
  <c r="M14" i="12" s="1"/>
  <c r="N14" i="12" s="1"/>
  <c r="O14" i="12" s="1"/>
  <c r="P14" i="12" s="1"/>
  <c r="Q14" i="12" s="1"/>
  <c r="R14" i="12" s="1"/>
  <c r="Q13" i="12"/>
  <c r="R13" i="12" s="1"/>
  <c r="K13" i="12"/>
  <c r="J13" i="12"/>
  <c r="L13" i="12" s="1"/>
  <c r="M13" i="12" s="1"/>
  <c r="N13" i="12" s="1"/>
  <c r="Q12" i="12"/>
  <c r="R12" i="12" s="1"/>
  <c r="N12" i="12"/>
  <c r="K12" i="12"/>
  <c r="J12" i="12"/>
  <c r="L12" i="12" s="1"/>
  <c r="M12" i="12" s="1"/>
  <c r="O11" i="12"/>
  <c r="P11" i="12" s="1"/>
  <c r="Q11" i="12" s="1"/>
  <c r="R11" i="12" s="1"/>
  <c r="K11" i="12"/>
  <c r="J11" i="12"/>
  <c r="L11" i="12" s="1"/>
  <c r="M11" i="12" s="1"/>
  <c r="N11" i="12" s="1"/>
  <c r="K10" i="12"/>
  <c r="J10" i="12"/>
  <c r="L10" i="12" s="1"/>
  <c r="M10" i="12" s="1"/>
  <c r="N10" i="12" s="1"/>
  <c r="O10" i="12" s="1"/>
  <c r="P10" i="12" s="1"/>
  <c r="Q10" i="12" s="1"/>
  <c r="R10" i="12" s="1"/>
  <c r="K9" i="12"/>
  <c r="J9" i="12"/>
  <c r="L9" i="12" s="1"/>
  <c r="M9" i="12" s="1"/>
  <c r="N9" i="12" s="1"/>
  <c r="O9" i="12" s="1"/>
  <c r="P9" i="12" s="1"/>
  <c r="Q9" i="12" s="1"/>
  <c r="R9" i="12" s="1"/>
  <c r="K8" i="12"/>
  <c r="J8" i="12"/>
  <c r="L8" i="12" s="1"/>
  <c r="M8" i="12" s="1"/>
  <c r="N8" i="12" s="1"/>
  <c r="O8" i="12" s="1"/>
  <c r="P8" i="12" s="1"/>
  <c r="Q8" i="12" s="1"/>
  <c r="R8" i="12" s="1"/>
  <c r="L7" i="12"/>
  <c r="M7" i="12" s="1"/>
  <c r="N7" i="12" s="1"/>
  <c r="O7" i="12" s="1"/>
  <c r="P7" i="12" s="1"/>
  <c r="Q7" i="12" s="1"/>
  <c r="R7" i="12" s="1"/>
  <c r="K7" i="12"/>
  <c r="J7" i="12"/>
  <c r="K6" i="12"/>
  <c r="J6" i="12"/>
  <c r="L6" i="12" s="1"/>
  <c r="J42" i="12" l="1"/>
  <c r="K42" i="12"/>
  <c r="L42" i="12"/>
  <c r="M6" i="12"/>
  <c r="M42" i="12" l="1"/>
  <c r="N6" i="12"/>
  <c r="N42" i="12" l="1"/>
  <c r="O6" i="12"/>
  <c r="O42" i="12" l="1"/>
  <c r="P6" i="12"/>
  <c r="P42" i="12" l="1"/>
  <c r="Q6" i="12"/>
  <c r="Q42" i="12" l="1"/>
  <c r="R6" i="12"/>
  <c r="R42" i="12" s="1"/>
  <c r="G44" i="9" l="1"/>
  <c r="I44" i="9" s="1"/>
  <c r="G43" i="9"/>
  <c r="I43" i="9" s="1"/>
  <c r="G42" i="9"/>
  <c r="I42" i="9" s="1"/>
  <c r="G41" i="9"/>
  <c r="I41" i="9" s="1"/>
  <c r="G40" i="9"/>
  <c r="I40" i="9" s="1"/>
  <c r="G39" i="9"/>
  <c r="I39" i="9" s="1"/>
  <c r="G38" i="9"/>
  <c r="I38" i="9" s="1"/>
  <c r="G37" i="9"/>
  <c r="I37" i="9" s="1"/>
  <c r="G36" i="9"/>
  <c r="I36" i="9" s="1"/>
  <c r="G35" i="9"/>
  <c r="I35" i="9" s="1"/>
  <c r="F35" i="9"/>
  <c r="G34" i="9"/>
  <c r="I34" i="9" s="1"/>
  <c r="F34" i="9"/>
  <c r="G33" i="9"/>
  <c r="I33" i="9" s="1"/>
  <c r="G32" i="9"/>
  <c r="I32" i="9" s="1"/>
  <c r="G31" i="9"/>
  <c r="I31" i="9" s="1"/>
  <c r="G30" i="9"/>
  <c r="I30" i="9" s="1"/>
  <c r="F30" i="9"/>
  <c r="G29" i="9"/>
  <c r="I29" i="9" s="1"/>
  <c r="G28" i="9"/>
  <c r="I28" i="9" s="1"/>
  <c r="G27" i="9"/>
  <c r="I27" i="9" s="1"/>
  <c r="G26" i="9"/>
  <c r="I26" i="9" s="1"/>
  <c r="G25" i="9"/>
  <c r="I25" i="9" s="1"/>
  <c r="G24" i="9"/>
  <c r="I24" i="9" s="1"/>
  <c r="G23" i="9"/>
  <c r="I23" i="9" s="1"/>
  <c r="F23" i="9"/>
  <c r="G22" i="9"/>
  <c r="I22" i="9" s="1"/>
  <c r="G21" i="9"/>
  <c r="I21" i="9" s="1"/>
  <c r="G20" i="9"/>
  <c r="I20" i="9" s="1"/>
  <c r="G19" i="9"/>
  <c r="I19" i="9" s="1"/>
  <c r="F19" i="9"/>
  <c r="G18" i="9"/>
  <c r="I18" i="9" s="1"/>
  <c r="F18" i="9"/>
  <c r="G17" i="9"/>
  <c r="I17" i="9" s="1"/>
  <c r="G16" i="9"/>
  <c r="I16" i="9" s="1"/>
  <c r="G15" i="9"/>
  <c r="I15" i="9" s="1"/>
  <c r="G14" i="9"/>
  <c r="I14" i="9" s="1"/>
  <c r="F14" i="9"/>
  <c r="G13" i="9"/>
  <c r="I13" i="9" s="1"/>
  <c r="G12" i="9"/>
  <c r="I12" i="9" s="1"/>
  <c r="G11" i="9"/>
  <c r="I11" i="9" s="1"/>
  <c r="G10" i="9"/>
  <c r="I10" i="9" s="1"/>
  <c r="G9" i="9"/>
  <c r="I9" i="9" s="1"/>
  <c r="G8" i="9"/>
  <c r="I8" i="9" s="1"/>
  <c r="G7" i="9"/>
  <c r="I7" i="9" s="1"/>
  <c r="F7" i="9"/>
  <c r="G6" i="9"/>
  <c r="I6" i="9" s="1"/>
  <c r="F4" i="9"/>
  <c r="F44" i="9" s="1"/>
  <c r="D3" i="8"/>
  <c r="D37" i="8" s="1"/>
  <c r="F39" i="9" l="1"/>
  <c r="F10" i="9"/>
  <c r="F15" i="9"/>
  <c r="F26" i="9"/>
  <c r="F31" i="9"/>
  <c r="F42" i="9"/>
  <c r="F6" i="9"/>
  <c r="F11" i="9"/>
  <c r="F22" i="9"/>
  <c r="F27" i="9"/>
  <c r="F38" i="9"/>
  <c r="F43" i="9"/>
  <c r="F9" i="9"/>
  <c r="F13" i="9"/>
  <c r="F17" i="9"/>
  <c r="F21" i="9"/>
  <c r="F25" i="9"/>
  <c r="F29" i="9"/>
  <c r="F33" i="9"/>
  <c r="F37" i="9"/>
  <c r="F41" i="9"/>
  <c r="F8" i="9"/>
  <c r="F12" i="9"/>
  <c r="F16" i="9"/>
  <c r="F20" i="9"/>
  <c r="F24" i="9"/>
  <c r="F28" i="9"/>
  <c r="F32" i="9"/>
  <c r="F36" i="9"/>
  <c r="F40" i="9"/>
  <c r="K12" i="9"/>
  <c r="L12" i="9" s="1"/>
  <c r="J12" i="9"/>
  <c r="J24" i="9"/>
  <c r="K24" i="9" s="1"/>
  <c r="J44" i="9"/>
  <c r="K44" i="9" s="1"/>
  <c r="L44" i="9" s="1"/>
  <c r="J9" i="9"/>
  <c r="K9" i="9" s="1"/>
  <c r="J13" i="9"/>
  <c r="K13" i="9" s="1"/>
  <c r="L13" i="9" s="1"/>
  <c r="J17" i="9"/>
  <c r="K17" i="9" s="1"/>
  <c r="J21" i="9"/>
  <c r="K21" i="9" s="1"/>
  <c r="L21" i="9" s="1"/>
  <c r="J25" i="9"/>
  <c r="K25" i="9" s="1"/>
  <c r="L25" i="9" s="1"/>
  <c r="J29" i="9"/>
  <c r="K29" i="9" s="1"/>
  <c r="L29" i="9" s="1"/>
  <c r="J33" i="9"/>
  <c r="K33" i="9" s="1"/>
  <c r="J37" i="9"/>
  <c r="K37" i="9" s="1"/>
  <c r="L37" i="9" s="1"/>
  <c r="J41" i="9"/>
  <c r="K41" i="9" s="1"/>
  <c r="J16" i="9"/>
  <c r="K16" i="9" s="1"/>
  <c r="L16" i="9" s="1"/>
  <c r="J32" i="9"/>
  <c r="K32" i="9" s="1"/>
  <c r="L32" i="9" s="1"/>
  <c r="J14" i="9"/>
  <c r="K14" i="9" s="1"/>
  <c r="L14" i="9" s="1"/>
  <c r="J42" i="9"/>
  <c r="K42" i="9" s="1"/>
  <c r="L42" i="9" s="1"/>
  <c r="J8" i="9"/>
  <c r="K8" i="9" s="1"/>
  <c r="L8" i="9" s="1"/>
  <c r="J20" i="9"/>
  <c r="K20" i="9" s="1"/>
  <c r="L20" i="9" s="1"/>
  <c r="J28" i="9"/>
  <c r="K28" i="9" s="1"/>
  <c r="J40" i="9"/>
  <c r="K40" i="9" s="1"/>
  <c r="J6" i="9"/>
  <c r="K6" i="9" s="1"/>
  <c r="J10" i="9"/>
  <c r="K10" i="9" s="1"/>
  <c r="J18" i="9"/>
  <c r="K18" i="9" s="1"/>
  <c r="L18" i="9" s="1"/>
  <c r="J22" i="9"/>
  <c r="K22" i="9" s="1"/>
  <c r="L22" i="9" s="1"/>
  <c r="J26" i="9"/>
  <c r="K26" i="9" s="1"/>
  <c r="L26" i="9" s="1"/>
  <c r="J30" i="9"/>
  <c r="K30" i="9" s="1"/>
  <c r="L30" i="9" s="1"/>
  <c r="J34" i="9"/>
  <c r="K34" i="9" s="1"/>
  <c r="L34" i="9" s="1"/>
  <c r="J7" i="9"/>
  <c r="K7" i="9" s="1"/>
  <c r="L7" i="9" s="1"/>
  <c r="J11" i="9"/>
  <c r="K11" i="9" s="1"/>
  <c r="L11" i="9" s="1"/>
  <c r="J15" i="9"/>
  <c r="K15" i="9" s="1"/>
  <c r="J19" i="9"/>
  <c r="K19" i="9" s="1"/>
  <c r="L19" i="9" s="1"/>
  <c r="J23" i="9"/>
  <c r="K23" i="9" s="1"/>
  <c r="L23" i="9" s="1"/>
  <c r="K27" i="9"/>
  <c r="L27" i="9" s="1"/>
  <c r="J27" i="9"/>
  <c r="J31" i="9"/>
  <c r="K31" i="9" s="1"/>
  <c r="L31" i="9" s="1"/>
  <c r="J35" i="9"/>
  <c r="K35" i="9" s="1"/>
  <c r="L35" i="9" s="1"/>
  <c r="J39" i="9"/>
  <c r="K39" i="9" s="1"/>
  <c r="L39" i="9" s="1"/>
  <c r="J43" i="9"/>
  <c r="K43" i="9" s="1"/>
  <c r="L43" i="9" s="1"/>
  <c r="J36" i="9"/>
  <c r="K36" i="9" s="1"/>
  <c r="L36" i="9" s="1"/>
  <c r="J38" i="9"/>
  <c r="K38" i="9" s="1"/>
  <c r="D36" i="8"/>
  <c r="E36" i="8" s="1"/>
  <c r="F36" i="8" s="1"/>
  <c r="H36" i="8" s="1"/>
  <c r="D6" i="8"/>
  <c r="E6" i="8" s="1"/>
  <c r="D14" i="8"/>
  <c r="E14" i="8" s="1"/>
  <c r="D22" i="8"/>
  <c r="E22" i="8" s="1"/>
  <c r="D30" i="8"/>
  <c r="E30" i="8" s="1"/>
  <c r="D38" i="8"/>
  <c r="E38" i="8" s="1"/>
  <c r="D7" i="8"/>
  <c r="E7" i="8" s="1"/>
  <c r="F7" i="8" s="1"/>
  <c r="D15" i="8"/>
  <c r="E15" i="8" s="1"/>
  <c r="D23" i="8"/>
  <c r="E23" i="8" s="1"/>
  <c r="F23" i="8" s="1"/>
  <c r="D31" i="8"/>
  <c r="E31" i="8" s="1"/>
  <c r="F31" i="8" s="1"/>
  <c r="D39" i="8"/>
  <c r="D19" i="8"/>
  <c r="D35" i="8"/>
  <c r="D28" i="8"/>
  <c r="E28" i="8" s="1"/>
  <c r="F28" i="8" s="1"/>
  <c r="D41" i="8"/>
  <c r="E41" i="8" s="1"/>
  <c r="F41" i="8" s="1"/>
  <c r="H41" i="8" s="1"/>
  <c r="D12" i="8"/>
  <c r="E12" i="8" s="1"/>
  <c r="F12" i="8" s="1"/>
  <c r="G12" i="8" s="1"/>
  <c r="D9" i="8"/>
  <c r="E9" i="8" s="1"/>
  <c r="F9" i="8" s="1"/>
  <c r="H9" i="8" s="1"/>
  <c r="D17" i="8"/>
  <c r="E17" i="8" s="1"/>
  <c r="F17" i="8" s="1"/>
  <c r="H17" i="8" s="1"/>
  <c r="D33" i="8"/>
  <c r="E33" i="8" s="1"/>
  <c r="F33" i="8" s="1"/>
  <c r="H33" i="8" s="1"/>
  <c r="D10" i="8"/>
  <c r="D18" i="8"/>
  <c r="D26" i="8"/>
  <c r="D34" i="8"/>
  <c r="D42" i="8"/>
  <c r="E42" i="8" s="1"/>
  <c r="F42" i="8" s="1"/>
  <c r="D11" i="8"/>
  <c r="E11" i="8" s="1"/>
  <c r="F11" i="8" s="1"/>
  <c r="D27" i="8"/>
  <c r="E27" i="8" s="1"/>
  <c r="F27" i="8" s="1"/>
  <c r="D20" i="8"/>
  <c r="E20" i="8" s="1"/>
  <c r="F20" i="8" s="1"/>
  <c r="H20" i="8" s="1"/>
  <c r="D25" i="8"/>
  <c r="E25" i="8" s="1"/>
  <c r="F25" i="8" s="1"/>
  <c r="D43" i="8"/>
  <c r="E37" i="8"/>
  <c r="F37" i="8" s="1"/>
  <c r="G28" i="8"/>
  <c r="H28" i="8"/>
  <c r="G36" i="8"/>
  <c r="H25" i="8"/>
  <c r="G25" i="8"/>
  <c r="D8" i="8"/>
  <c r="F14" i="8"/>
  <c r="D16" i="8"/>
  <c r="E19" i="8"/>
  <c r="F19" i="8" s="1"/>
  <c r="F22" i="8"/>
  <c r="D24" i="8"/>
  <c r="D32" i="8"/>
  <c r="E35" i="8"/>
  <c r="F35" i="8" s="1"/>
  <c r="F38" i="8"/>
  <c r="D40" i="8"/>
  <c r="D5" i="8"/>
  <c r="D13" i="8"/>
  <c r="D21" i="8"/>
  <c r="D29" i="8"/>
  <c r="E39" i="8"/>
  <c r="G17" i="8" l="1"/>
  <c r="L15" i="9"/>
  <c r="L10" i="9"/>
  <c r="M10" i="9" s="1"/>
  <c r="L6" i="9"/>
  <c r="L38" i="9"/>
  <c r="L17" i="9"/>
  <c r="M17" i="9" s="1"/>
  <c r="L28" i="9"/>
  <c r="M28" i="9" s="1"/>
  <c r="L33" i="9"/>
  <c r="M33" i="9" s="1"/>
  <c r="L40" i="9"/>
  <c r="M40" i="9" s="1"/>
  <c r="L9" i="9"/>
  <c r="L24" i="9"/>
  <c r="M24" i="9" s="1"/>
  <c r="L41" i="9"/>
  <c r="N17" i="9"/>
  <c r="M30" i="9"/>
  <c r="N30" i="9"/>
  <c r="M39" i="9"/>
  <c r="N39" i="9"/>
  <c r="M36" i="9"/>
  <c r="N36" i="9"/>
  <c r="M32" i="9"/>
  <c r="N32" i="9"/>
  <c r="M22" i="9"/>
  <c r="N22" i="9"/>
  <c r="M25" i="9"/>
  <c r="N25" i="9"/>
  <c r="M23" i="9"/>
  <c r="N23" i="9"/>
  <c r="M31" i="9"/>
  <c r="N31" i="9"/>
  <c r="N20" i="9"/>
  <c r="M20" i="9"/>
  <c r="M42" i="9"/>
  <c r="N42" i="9"/>
  <c r="N15" i="9"/>
  <c r="M15" i="9"/>
  <c r="N7" i="9"/>
  <c r="M7" i="9"/>
  <c r="M41" i="9"/>
  <c r="N41" i="9"/>
  <c r="M43" i="9"/>
  <c r="N43" i="9"/>
  <c r="M6" i="9"/>
  <c r="N6" i="9"/>
  <c r="N29" i="9"/>
  <c r="M29" i="9"/>
  <c r="N11" i="9"/>
  <c r="M11" i="9"/>
  <c r="M16" i="9"/>
  <c r="N16" i="9"/>
  <c r="M38" i="9"/>
  <c r="N38" i="9"/>
  <c r="M34" i="9"/>
  <c r="N34" i="9"/>
  <c r="M21" i="9"/>
  <c r="N21" i="9"/>
  <c r="M27" i="9"/>
  <c r="N27" i="9"/>
  <c r="M8" i="9"/>
  <c r="N8" i="9"/>
  <c r="M13" i="9"/>
  <c r="N13" i="9"/>
  <c r="M19" i="9"/>
  <c r="N19" i="9"/>
  <c r="M14" i="9"/>
  <c r="N14" i="9"/>
  <c r="N44" i="9"/>
  <c r="M44" i="9"/>
  <c r="M26" i="9"/>
  <c r="N26" i="9"/>
  <c r="M12" i="9"/>
  <c r="N12" i="9"/>
  <c r="M35" i="9"/>
  <c r="N35" i="9"/>
  <c r="M18" i="9"/>
  <c r="N18" i="9"/>
  <c r="M37" i="9"/>
  <c r="N37" i="9"/>
  <c r="F39" i="8"/>
  <c r="G39" i="8" s="1"/>
  <c r="F30" i="8"/>
  <c r="H30" i="8" s="1"/>
  <c r="G9" i="8"/>
  <c r="G20" i="8"/>
  <c r="F6" i="8"/>
  <c r="G33" i="8"/>
  <c r="E43" i="8"/>
  <c r="F43" i="8" s="1"/>
  <c r="H43" i="8" s="1"/>
  <c r="E26" i="8"/>
  <c r="F26" i="8" s="1"/>
  <c r="F15" i="8"/>
  <c r="G15" i="8" s="1"/>
  <c r="E18" i="8"/>
  <c r="F18" i="8" s="1"/>
  <c r="E34" i="8"/>
  <c r="F34" i="8" s="1"/>
  <c r="E10" i="8"/>
  <c r="F10" i="8" s="1"/>
  <c r="G41" i="8"/>
  <c r="H12" i="8"/>
  <c r="H27" i="8"/>
  <c r="G27" i="8"/>
  <c r="H31" i="8"/>
  <c r="G31" i="8"/>
  <c r="G42" i="8"/>
  <c r="H42" i="8"/>
  <c r="H35" i="8"/>
  <c r="G35" i="8"/>
  <c r="H19" i="8"/>
  <c r="G19" i="8"/>
  <c r="H7" i="8"/>
  <c r="G7" i="8"/>
  <c r="H11" i="8"/>
  <c r="G11" i="8"/>
  <c r="E32" i="8"/>
  <c r="F32" i="8" s="1"/>
  <c r="E21" i="8"/>
  <c r="F21" i="8" s="1"/>
  <c r="E8" i="8"/>
  <c r="F8" i="8" s="1"/>
  <c r="H39" i="8"/>
  <c r="E13" i="8"/>
  <c r="F13" i="8" s="1"/>
  <c r="H6" i="8"/>
  <c r="G6" i="8"/>
  <c r="E5" i="8"/>
  <c r="F5" i="8" s="1"/>
  <c r="H23" i="8"/>
  <c r="G23" i="8"/>
  <c r="H37" i="8"/>
  <c r="G37" i="8"/>
  <c r="H22" i="8"/>
  <c r="G22" i="8"/>
  <c r="E40" i="8"/>
  <c r="F40" i="8" s="1"/>
  <c r="E24" i="8"/>
  <c r="F24" i="8" s="1"/>
  <c r="H38" i="8"/>
  <c r="G38" i="8"/>
  <c r="E16" i="8"/>
  <c r="F16" i="8" s="1"/>
  <c r="H14" i="8"/>
  <c r="G14" i="8"/>
  <c r="E29" i="8"/>
  <c r="F29" i="8" s="1"/>
  <c r="G30" i="8" l="1"/>
  <c r="N33" i="9"/>
  <c r="L45" i="9"/>
  <c r="N28" i="9"/>
  <c r="N10" i="9"/>
  <c r="N24" i="9"/>
  <c r="N9" i="9"/>
  <c r="N45" i="9" s="1"/>
  <c r="M9" i="9"/>
  <c r="N40" i="9"/>
  <c r="M45" i="9"/>
  <c r="G43" i="8"/>
  <c r="H26" i="8"/>
  <c r="G26" i="8"/>
  <c r="G10" i="8"/>
  <c r="H10" i="8"/>
  <c r="G34" i="8"/>
  <c r="H34" i="8"/>
  <c r="H18" i="8"/>
  <c r="G18" i="8"/>
  <c r="H15" i="8"/>
  <c r="H16" i="8"/>
  <c r="G16" i="8"/>
  <c r="H13" i="8"/>
  <c r="G13" i="8"/>
  <c r="H32" i="8"/>
  <c r="G32" i="8"/>
  <c r="H24" i="8"/>
  <c r="G24" i="8"/>
  <c r="H40" i="8"/>
  <c r="G40" i="8"/>
  <c r="H21" i="8"/>
  <c r="G21" i="8"/>
  <c r="G8" i="8"/>
  <c r="H8" i="8"/>
  <c r="H29" i="8"/>
  <c r="G29" i="8"/>
  <c r="H5" i="8"/>
  <c r="G5" i="8"/>
  <c r="H44" i="8" l="1"/>
  <c r="G44" i="8"/>
  <c r="E32" i="7" l="1"/>
  <c r="F32" i="7" s="1"/>
  <c r="D31" i="7"/>
  <c r="E31" i="7" s="1"/>
  <c r="F31" i="7" s="1"/>
  <c r="D30" i="7"/>
  <c r="E30" i="7" s="1"/>
  <c r="F30" i="7" s="1"/>
  <c r="D29" i="7"/>
  <c r="E29" i="7" s="1"/>
  <c r="E25" i="7"/>
  <c r="G25" i="7" s="1"/>
  <c r="D25" i="7"/>
  <c r="E24" i="7"/>
  <c r="G24" i="7" s="1"/>
  <c r="D24" i="7"/>
  <c r="G23" i="7"/>
  <c r="D23" i="7"/>
  <c r="F23" i="7" s="1"/>
  <c r="E22" i="7"/>
  <c r="G22" i="7" s="1"/>
  <c r="D22" i="7"/>
  <c r="F22" i="7" s="1"/>
  <c r="E21" i="7"/>
  <c r="D21" i="7"/>
  <c r="E20" i="7"/>
  <c r="G20" i="7" s="1"/>
  <c r="D20" i="7"/>
  <c r="C17" i="7"/>
  <c r="E16" i="7"/>
  <c r="G16" i="7" s="1"/>
  <c r="I16" i="7" s="1"/>
  <c r="E15" i="7"/>
  <c r="G15" i="7" s="1"/>
  <c r="I15" i="7" s="1"/>
  <c r="E14" i="7"/>
  <c r="G14" i="7" s="1"/>
  <c r="I14" i="7" s="1"/>
  <c r="E13" i="7"/>
  <c r="G13" i="7" s="1"/>
  <c r="F7" i="4"/>
  <c r="F6" i="4"/>
  <c r="E33" i="7" l="1"/>
  <c r="F21" i="7"/>
  <c r="E26" i="7"/>
  <c r="F25" i="7"/>
  <c r="E17" i="7"/>
  <c r="F20" i="7"/>
  <c r="I13" i="7"/>
  <c r="I17" i="7" s="1"/>
  <c r="G17" i="7"/>
  <c r="B9" i="7" s="1"/>
  <c r="F33" i="7"/>
  <c r="F14" i="7"/>
  <c r="H14" i="7" s="1"/>
  <c r="F16" i="7"/>
  <c r="H16" i="7" s="1"/>
  <c r="F13" i="7"/>
  <c r="G21" i="7"/>
  <c r="G26" i="7" s="1"/>
  <c r="D26" i="7"/>
  <c r="F15" i="7"/>
  <c r="H15" i="7" s="1"/>
  <c r="F24" i="7"/>
  <c r="F26" i="7" l="1"/>
  <c r="C7" i="7"/>
  <c r="H13" i="7"/>
  <c r="H17" i="7" s="1"/>
  <c r="B7" i="7" s="1"/>
  <c r="F17" i="7"/>
  <c r="H6" i="4"/>
  <c r="H7" i="4"/>
  <c r="H8" i="4" l="1"/>
  <c r="G7" i="4"/>
  <c r="G6" i="4"/>
  <c r="G8" i="4" l="1"/>
  <c r="D7" i="2" l="1"/>
  <c r="E7" i="2"/>
  <c r="F7" i="2" s="1"/>
  <c r="I7" i="2" s="1"/>
  <c r="B4" i="2" s="1"/>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5" authorId="0" shapeId="0" xr:uid="{CE5CE513-DC79-4C0B-88EE-D648311A8A39}">
      <text>
        <r>
          <rPr>
            <b/>
            <sz val="9"/>
            <color indexed="81"/>
            <rFont val="Tahoma"/>
            <family val="2"/>
            <charset val="204"/>
          </rPr>
          <t>Administrator:</t>
        </r>
        <r>
          <rPr>
            <sz val="9"/>
            <color indexed="81"/>
            <rFont val="Tahoma"/>
            <family val="2"/>
            <charset val="204"/>
          </rPr>
          <t xml:space="preserve">
ielikts psihiatra kabineta fiksētais maksājums.
</t>
        </r>
      </text>
    </comment>
  </commentList>
</comments>
</file>

<file path=xl/sharedStrings.xml><?xml version="1.0" encoding="utf-8"?>
<sst xmlns="http://schemas.openxmlformats.org/spreadsheetml/2006/main" count="415" uniqueCount="256">
  <si>
    <t>Nepieciešamais finansējums vīriešiem no 45-50 gadiem, kam ģimenes anamnēzē asinsradiniekam ir konstatēts prostatas vēzis, balstoties uz prostatas vēža sastopamību Latvijā</t>
  </si>
  <si>
    <t>2023.gads</t>
  </si>
  <si>
    <t>2022.gads</t>
  </si>
  <si>
    <t>1.pielikums MK noteikumu projekta "Grozījumi Ministru kabineta 2018.gada 28.augusta noteikumos Nr.555 „Veselības aprūpes pakalpojumu organizēšanas un samaksas kārtība"" anotācijai</t>
  </si>
  <si>
    <t>Prostatas vēža skrīnings, veicot valsts apmaksātu PSA noteikšanu</t>
  </si>
  <si>
    <t>Nepieciešamais papildus finansējums prostata vēža skrīningam, veicot valsts apmaksātu PSA noteikšanu, euro</t>
  </si>
  <si>
    <t>46156 - PSA - prostatas specifiskais antigēna noteikšanas manipulācijas tarifs 2020. gadā, euro</t>
  </si>
  <si>
    <t>Nepieciešamais papildus finansējums gadā, euro</t>
  </si>
  <si>
    <t>2.pielikums MK noteikumu projekta "Grozījumi Ministru kabineta 2018.gada 28.augusta noteikumos Nr.555 „Veselības aprūpes pakalpojumu organizēšanas un samaksas kārtība"" anotācijai</t>
  </si>
  <si>
    <t>(darba dienu skaits 2021. gada 9 mēnešos (no aprīļa))</t>
  </si>
  <si>
    <t>(darba dienu skaits 2021. gadā)</t>
  </si>
  <si>
    <t>Pakalpojums*</t>
  </si>
  <si>
    <t>Vienas konsutlācijas izmaksas, EUR</t>
  </si>
  <si>
    <t>Speciālistu skaits</t>
  </si>
  <si>
    <t>Konsultāciju skaits darba dienā</t>
  </si>
  <si>
    <t>Sniedzamo konsultāciju skaits</t>
  </si>
  <si>
    <t>Nepieciešamais finansējums 2021.gada 9 mēnešiem, EUR</t>
  </si>
  <si>
    <t>Nepieciešamais finansējums gadam, EUR</t>
  </si>
  <si>
    <t>Klīniskā un veselības psihologa konsultācija</t>
  </si>
  <si>
    <t>Kopā</t>
  </si>
  <si>
    <t>3.pielikums MK noteikumu projekta "Grozījumi Ministru kabineta 2018.gada 28.augusta noteikumos Nr.555 „Veselības aprūpes pakalpojumu organizēšanas un samaksas kārtība"" anotācijai</t>
  </si>
  <si>
    <t>Nodrošināt, ka pacients var saņemt 5-10 psihologa vai psihoterapeita konsultācijas ar ģimenes ārsta nosūtījumu</t>
  </si>
  <si>
    <t>Psihologu un psihoterapeitu konsultāciju apmaksai nepieciešamais finansējums</t>
  </si>
  <si>
    <t>Pozīcija</t>
  </si>
  <si>
    <t>4.pielikums MK noteikumu projekta "Grozījumi Ministru kabineta 2018.gada 28.augusta noteikumos Nr.555 „Veselības aprūpes pakalpojumu organizēšanas un samaksas kārtība"" anotācijai</t>
  </si>
  <si>
    <t>5.pielikums MK noteikumu projekta "Grozījumi Ministru kabineta 2018.gada 28.augusta noteikumos Nr.555 „Veselības aprūpes pakalpojumu organizēšanas un samaksas kārtība"" anotācijai</t>
  </si>
  <si>
    <t>Paredzēto telefonlīniju skaits no 2021. gada februāra līdz jūnijam</t>
  </si>
  <si>
    <t>Paredzeto telefonlīniju skaits no 2021. gada jūlija*</t>
  </si>
  <si>
    <t>KOPSAVILKUMS - papildus nepieciešamais finansējums kopā</t>
  </si>
  <si>
    <t>Kopā papildus nepieciešamais finansējums 2021.gadam, EUR</t>
  </si>
  <si>
    <t>Kopā papildus nepieciešamais finansējums 2022.gadam un turpmāk ik gadu, EUR</t>
  </si>
  <si>
    <t>1. Darbinieku atalgojums</t>
  </si>
  <si>
    <t>Nr.p.k.</t>
  </si>
  <si>
    <t>Darba apjoms slodzēs 1 telefonlīnijai</t>
  </si>
  <si>
    <t>Vienas vienības atlīdzība (ar darba devēja VSAOI 23,59%) EUR</t>
  </si>
  <si>
    <t>Viena mēneša izmaksas, EUR</t>
  </si>
  <si>
    <t>Nepieciešamais finansējums 2021.gada 5 mēnešiem (no februāra līdz jūnijam), EUR</t>
  </si>
  <si>
    <t>Nepieciešamais finansējums 2021.gada 6 mēnešiem (no jūlija), EUR</t>
  </si>
  <si>
    <t>Nepieciešamais finansējums 2021.gadam, EUR</t>
  </si>
  <si>
    <t>Nepieciešamais finansējums 2022.gadam un turpmāk ik gadu, EUR</t>
  </si>
  <si>
    <t>Psihologs</t>
  </si>
  <si>
    <t>1.2.</t>
  </si>
  <si>
    <t>Konsultants (divas darba vietas diennakts režīmā)**</t>
  </si>
  <si>
    <t>1.3.</t>
  </si>
  <si>
    <t>Tālruņa koordinators</t>
  </si>
  <si>
    <t>1.4.</t>
  </si>
  <si>
    <t>Administratīvais darbinieks</t>
  </si>
  <si>
    <t>KOPĀ</t>
  </si>
  <si>
    <t>2. Administratīvās izmaksas</t>
  </si>
  <si>
    <t>2.1.</t>
  </si>
  <si>
    <t>Datortehnikas noma (datori un telefoni)</t>
  </si>
  <si>
    <t>2.2.</t>
  </si>
  <si>
    <t>Telefonpakalpojumi</t>
  </si>
  <si>
    <t>2.3.</t>
  </si>
  <si>
    <t>Kancelejas preces</t>
  </si>
  <si>
    <t>2.4.</t>
  </si>
  <si>
    <t>Zvanu reģistra izstrāde (vienreizējs maksājums)</t>
  </si>
  <si>
    <t>2.5.</t>
  </si>
  <si>
    <t>Supervizors</t>
  </si>
  <si>
    <t>2.6.</t>
  </si>
  <si>
    <t>Pakalpojuma reklāma, sabiedrības informēšana (apjoms nav atkarīgs no telefonlīniju skaita)</t>
  </si>
  <si>
    <t>3. Fiksētā diapazona telefona numurs "8XXXXXXX" ar bezmaksas zvaniem uz psihoemocionālā atbalsta līniju (no 2021.gada jūlija)</t>
  </si>
  <si>
    <t>Apjoms</t>
  </si>
  <si>
    <t>3.1.</t>
  </si>
  <si>
    <t xml:space="preserve">Numura ierīkošanas maksa </t>
  </si>
  <si>
    <t>vienreizējs maksājums</t>
  </si>
  <si>
    <t>3.2.</t>
  </si>
  <si>
    <t xml:space="preserve">Abonēšanas maksa par numuru </t>
  </si>
  <si>
    <t>1 numurs</t>
  </si>
  <si>
    <t>3.3.</t>
  </si>
  <si>
    <t>Maksa par ienākošiem zvaniem, kas ir bezmaksas zvanītājam uz psihoemocionālā atbalsta līniju</t>
  </si>
  <si>
    <t>12 000 ienākošie zvani mēnesī (vidēji 400 zvani dienā * 30 dienas mēnesī),
vidēji 40 800 sarunu minūtes mēnesī. Vienas minūtes izmaksas 0,1326 euro * 1,21% (PVN)</t>
  </si>
  <si>
    <t>3.4.</t>
  </si>
  <si>
    <t>Citas saistītas izmaksas</t>
  </si>
  <si>
    <t>* Igaunijā un Lietuvā ir ieviestas vienotas psihoemocionālā atbalsta līnijas, kur palīdzību nodrošina cilvēki, kas ir kompetenti izvērtēt zvanītāja psihoemocionālo stāvokli un sniegt viņam nepieciešamo atbalstu. 2020. gadā šāds pakalpojums tika nodrošināts krīzes un konsultāciju centrā “Skalbes”, ko apmaksāja Rīgas pašvaldība. No 2021. gadā šo pakalpojumu ir gatava nodrošināt VSIA “Rīgas psihiatrijas un narkoloģijas centrs”, sadarbībā ar krīzes un konsultāciju centru “Skalbes”, nodrošinot arī papildus specializētu personālu un psihologus, jo kā pierādījusi COVID-19 pandēmijas ārkārtas situācijas pasludināšana vai esošie uzliesmojumi, tiem ir ļoti liela nozīme psihiskās veselības traucējumu attīstībā vai esošo traucējumu potencēšanā, kas var izpausties kā “atsitiena” efekts – gan uzliesmojuma laikā, gan pēc uzliesmojuma t.i. novēloti. Ņemot vērā šogad saņemto zvanu skaitu un sniegtu palīdzību, pieprasījumam ir tendence palielināties, tāpēc ar 2021. gada jūliju plānots atvērt papildus psihoemocionālā atbalsta līniju.</t>
  </si>
  <si>
    <t>2021. gada pirmajā pusgadā tiks apkalpoti 150-250 zvani/dienā, savukārt 2021. gada otrajā pusgadā, 2022. gadā un turpmāk 300-500 zvani/dienā.</t>
  </si>
  <si>
    <t>2021. gada pirmajā pusgadā vienas telefonlīnijas pakalpojumu nodrošinās 2 operatoru-konsultantu darba vietas visu diennakti, 3 psihologu darba vietas, tālruņa koordinatora darba vieta un 0,5 slodzes administratīviem darbiniekiem, savukārt 2021. gada otrajā pusgadā un turpmāk divu telefonlīniju pakalpojumu nodrošinās 4 operatoru-konsultantu darba vietas visu diennakti, 3 psihologu darba vietas, tālruņa koordinatora darba vieta un 0,5 slodzes administratīviem darbiniekiem. Plānotās darba samaksas aprēķins veikts, piemērojot stundas likmi, ņemot vērā aizvietošanu.</t>
  </si>
  <si>
    <t>** Konsultanta (mēnešalga 8.grupa  II saime, 3.kategorija max  1093 euro) atlīdzība noteikta ar 50% piemaksu par darbu naktī un 100% piemaksu par darbu svētku dienās. Slodžu skaits aprēķināts, ņemot vērā arī aizvietošanu.</t>
  </si>
  <si>
    <t>Stiprināt emocionālo, psiholoģisko, kosultatīvo atbalstu pa tālruni vai tiešaitē, arī attālinātu konsultāciju veidā (t.sk. arī ārstniecības personu psihoemocionālo atbalstu)</t>
  </si>
  <si>
    <r>
      <t xml:space="preserve">Uzsākšana no 2021.gada </t>
    </r>
    <r>
      <rPr>
        <b/>
        <sz val="11"/>
        <rFont val="Times New Roman"/>
        <family val="1"/>
      </rPr>
      <t>1.jūnija</t>
    </r>
  </si>
  <si>
    <t>Slimnīcu līmenis</t>
  </si>
  <si>
    <t>Ārstniecības iestādes nosaukums</t>
  </si>
  <si>
    <t>Slodzes</t>
  </si>
  <si>
    <t>Alga*</t>
  </si>
  <si>
    <t>VSAOI</t>
  </si>
  <si>
    <t>Kopā mēnesī</t>
  </si>
  <si>
    <t>Nepieciešamais finansējums 2021.gada 7 mēnešiem, EUR</t>
  </si>
  <si>
    <t xml:space="preserve">V </t>
  </si>
  <si>
    <t>VSIA "Paula Stradiņa klīniskā universitātes slimnīca"</t>
  </si>
  <si>
    <t>SIA "Rīgas Austrumu klīniskā universitātes slimnīca"</t>
  </si>
  <si>
    <t>VSIA "Bērnu klīniskā universitātes slimnīca"</t>
  </si>
  <si>
    <t>IV</t>
  </si>
  <si>
    <t>SIA "Liepājas reģionālā slimnīca"</t>
  </si>
  <si>
    <t>SIA "Daugavpils reģionālā slimnīca"</t>
  </si>
  <si>
    <t>SIA "Ziemeļkurzemes reģionālā slimnīca"</t>
  </si>
  <si>
    <t>SIA "Jelgavas pilsētas slimnīca"</t>
  </si>
  <si>
    <t>SIA "Vidzemes slimnīca"</t>
  </si>
  <si>
    <t>SIA "Jēkabpils reģionālā slimnīca"</t>
  </si>
  <si>
    <t>SIA "Rēzeknes slimnīca"</t>
  </si>
  <si>
    <t>III</t>
  </si>
  <si>
    <t>Madonas novada pašvaldības SIA "Madonas slimnīca"</t>
  </si>
  <si>
    <t>SIA "Cēsu klīnika"</t>
  </si>
  <si>
    <t>SIA "Dobeles un apkārtnes slimnīca"</t>
  </si>
  <si>
    <t>SIA "Jūrmalas slimnīca"</t>
  </si>
  <si>
    <t>SIA "Ogres rajona slimnīca"</t>
  </si>
  <si>
    <t>SIA "Balvu un Gulbenes slimnīcu apvienība"</t>
  </si>
  <si>
    <t>SIA "Kuldīgas slimnīca"</t>
  </si>
  <si>
    <t>II</t>
  </si>
  <si>
    <t>SIA "Alūksnes slimnīca"</t>
  </si>
  <si>
    <t>SIA "Preiļu slminīca"</t>
  </si>
  <si>
    <t>SIA "Tukuma slimnīca"</t>
  </si>
  <si>
    <t>SIA "Krāslavas slimnīca"</t>
  </si>
  <si>
    <t>I</t>
  </si>
  <si>
    <t>Līvānu novada domes pašvaldības SIA "Līvānu slimnīca"</t>
  </si>
  <si>
    <t>SIA "Aizkraukles slimnīca"</t>
  </si>
  <si>
    <t>SIA "Bauskas slimnīca"</t>
  </si>
  <si>
    <t>SIA "Limbažu slimnīca"</t>
  </si>
  <si>
    <t>SIA "Ludzas medicīnas centrs"</t>
  </si>
  <si>
    <t>V Spec</t>
  </si>
  <si>
    <t>VSIA "Traumatoloģijas un ortopēdijas slimnīca"</t>
  </si>
  <si>
    <t>SIA "Rīgas Dzemdību nams"</t>
  </si>
  <si>
    <t>VSIA "Nacionālais rehabilitācijas centrs "Vaivari""</t>
  </si>
  <si>
    <t>Spec</t>
  </si>
  <si>
    <t>VSIA "Rīgas psihiatrijas un narkoloģijas centrs"</t>
  </si>
  <si>
    <t>SIA "Rīgas 2. slimnīca"</t>
  </si>
  <si>
    <t>VSIA "Bērnu psihoneiroloģiskā slimnīca "Ainaži""</t>
  </si>
  <si>
    <t>VSIA "Piejūras slimnīca"</t>
  </si>
  <si>
    <t>VSIA "Daugavpils psihoneiroloģiskā slimnīca" (t.sk. VSIA "Aknīstes psihoneiroloģiskā slimnīca")</t>
  </si>
  <si>
    <t>VSIA "Slimnīca "Ģintermuiža""</t>
  </si>
  <si>
    <t>VSIA "Strenču psihoneiroloģiskā slimnīca"</t>
  </si>
  <si>
    <t>SIA "Siguldas slimnīca"</t>
  </si>
  <si>
    <t xml:space="preserve">Pārējās </t>
  </si>
  <si>
    <t>SIA "Saldus medicīnas centrs"</t>
  </si>
  <si>
    <t>SIA "Priekules slimnīca"</t>
  </si>
  <si>
    <t>Organizēt atbildīgos darbiniekus ārstniecības iestādē par ārstniecības personu psihiskās veselības stāvokļa monitorēšanu un procesa uzraudzību COVID-19 pandēmijas laikā</t>
  </si>
  <si>
    <t>12 mēnešiem</t>
  </si>
  <si>
    <t>ĀRSTA</t>
  </si>
  <si>
    <t>1 mēnesī</t>
  </si>
  <si>
    <t>Slodzes 2021.gadā</t>
  </si>
  <si>
    <t>Alga</t>
  </si>
  <si>
    <t>Koeficients*</t>
  </si>
  <si>
    <t>Darba samaksa mēnesī</t>
  </si>
  <si>
    <t>Kopā alga mēnesī</t>
  </si>
  <si>
    <t>Kopā izmaksas mēnesī</t>
  </si>
  <si>
    <t>Nepieciešamais finansējums 2021.gada attiecīgiem mēnešiem, EUR</t>
  </si>
  <si>
    <r>
      <t>VSIA "Paula Stradiņa klīniskā universitātes slimnīca" (</t>
    </r>
    <r>
      <rPr>
        <b/>
        <i/>
        <sz val="10"/>
        <rFont val="Times New Roman"/>
        <family val="1"/>
      </rPr>
      <t>pirmā slodze no 1.aprīļa, otrā slodze no 1.jūlija</t>
    </r>
    <r>
      <rPr>
        <sz val="10"/>
        <rFont val="Times New Roman"/>
        <family val="1"/>
      </rPr>
      <t>)</t>
    </r>
  </si>
  <si>
    <t>1.slodze - 9
2.slodze - 6</t>
  </si>
  <si>
    <t>VSIA "Daugavpils psihoneiroloģiskā slimnīca" (t.sk. VSIA "Aknīstes psihoneiroloģiskā slimnīca)"</t>
  </si>
  <si>
    <t>** 2021.gadam samazināts slodžu skaits no 3 slodzēm un 2 slodzēm</t>
  </si>
  <si>
    <t>Veicināt psihoemocionālās komandas izveidi ārstniecības iestādēs, kurās personas, strādā COVID-19 pandēmijas apstākļos (ārstniecības personas, psihiskās veselības aprūpes speciālisti): kur saņemt psiholoģisku konsultāciju (attālināti vai tiešsaitē) vai atbalsta grupu/krīzes intervenci un/vai citus garīgās veselības aprūpes pakalpojumus atbilstoši veiktajam psiholoģiskajam izvērtējumam</t>
  </si>
  <si>
    <t>Mēnešu skaits***</t>
  </si>
  <si>
    <t>VSIA "Rīgas psihiatrijas un narkoloģijas centrs"**</t>
  </si>
  <si>
    <t>Slodzes 2022.gadā</t>
  </si>
  <si>
    <t xml:space="preserve">Pie COVID pacientu plūsmas pieauguma observācijas gultu uzturēšanas piemaksai nepieciešamais finansējums 2021. gada 10 mēnešiem  </t>
  </si>
  <si>
    <t>ĀI līmenis</t>
  </si>
  <si>
    <t>GD tarifi, EUR</t>
  </si>
  <si>
    <t>Dienas kalendārajā gadā</t>
  </si>
  <si>
    <t>Vidējā no vidējā gultas noslodze pēc ĀI atskaitēm 2020</t>
  </si>
  <si>
    <t>Pēc RAKUS speciālistu teiktā, miera laikā observējami apmēram no uzņemšanas pacientu plūsmas</t>
  </si>
  <si>
    <t>III/II līm. gultas dienas tarifs 2020</t>
  </si>
  <si>
    <t>IV līm. gultas dienas tarifs 2020</t>
  </si>
  <si>
    <t>V līm. gultas dienas tarifs 2020</t>
  </si>
  <si>
    <t>BKUS gultas dienas tarifs 2020</t>
  </si>
  <si>
    <t>Specializētās V līm.</t>
  </si>
  <si>
    <t>Specializētās</t>
  </si>
  <si>
    <t>Teritoriālā nodāla</t>
  </si>
  <si>
    <t>Iestādes Nr.</t>
  </si>
  <si>
    <t>Līgumos iekļautās fiksētās piemaksas 2021.gada apjoms par OG pacientiem, EUR</t>
  </si>
  <si>
    <t>Stacionārajā veselības aprūpē</t>
  </si>
  <si>
    <t>Ambulatorajā veselības aprūpē</t>
  </si>
  <si>
    <t>Faktiskā pacientu plūsma uzņemšanas nodaļā 9 mēnešos</t>
  </si>
  <si>
    <t>Faktiskā pacientu plūsma OG 9 mēnešos</t>
  </si>
  <si>
    <t>9 mēn. nepieciešams observēt 10% no pacientu plūsmas + 8% COVID ietekmē</t>
  </si>
  <si>
    <t>Observējamo gadījumu skaits diennaktī</t>
  </si>
  <si>
    <t>Nepieciešamo gultu skaits pie 107% noslodzes</t>
  </si>
  <si>
    <t>Gultas dienu skaits gadā</t>
  </si>
  <si>
    <t>Visu gultas dienu apmaksai nepieciešamais finansējums gadam, EUR</t>
  </si>
  <si>
    <t>2021.gada fiksētajai piemaksai papildus nepieciešamais finansējums, EUR</t>
  </si>
  <si>
    <t>Hospitalizāciju
 skaits 9m</t>
  </si>
  <si>
    <t>t.sk. observācijas pacientu skaits 9m</t>
  </si>
  <si>
    <t>Observācijas epizožu skaits (1.-6. epizode) 9m</t>
  </si>
  <si>
    <t>Epizožu skaits (1. -6. epizode) 9m</t>
  </si>
  <si>
    <t>Kurzemes teritorija</t>
  </si>
  <si>
    <t>Kuldīgas slimnīca, SIA</t>
  </si>
  <si>
    <t>Liepājas reģionālā slimnīca, SIA</t>
  </si>
  <si>
    <t>Tukuma slimnīca, SIA</t>
  </si>
  <si>
    <t>Ziemeļkurzemes reģionālā slimnīca, SIA</t>
  </si>
  <si>
    <t>Rīgas teritorija</t>
  </si>
  <si>
    <t>Jūrmalas slimnīca, SIA</t>
  </si>
  <si>
    <t>Paula Stradiņa klīniskā universitātes slimnīca, Valsts SIA</t>
  </si>
  <si>
    <t>Rīgas Austrumu klīniskā universitātes slimnīca, SIA</t>
  </si>
  <si>
    <t>Rīgas psihiatrijas un narkoloģijas centrs, Valsts SIA</t>
  </si>
  <si>
    <t>Zemgales teritorija</t>
  </si>
  <si>
    <t>Dobeles un apkārtnes slimnīca, SIA</t>
  </si>
  <si>
    <t>Jēkabpils reģionālā slimnīca, SIA</t>
  </si>
  <si>
    <t>Jelgavas pilsētas slimnīca, SIA</t>
  </si>
  <si>
    <t>Ogres rajona slimnīca, SIA</t>
  </si>
  <si>
    <t>Vidzemes teritorija</t>
  </si>
  <si>
    <t>Alūksnes slimnīca, SIA</t>
  </si>
  <si>
    <t>Balvu un Gulbenes slimnīcu apvienība, SIA</t>
  </si>
  <si>
    <t>Cēsu klīnika, SIA</t>
  </si>
  <si>
    <t>Madonas slimnīca, Madonas novada pašvaldības SIA</t>
  </si>
  <si>
    <t>Vidzemes slimnīca, SIA</t>
  </si>
  <si>
    <t>Latgales teritorija</t>
  </si>
  <si>
    <t>Daugavpils reģionālā slimnīca, SIA</t>
  </si>
  <si>
    <t>Krāslavas slimnīca, SIA</t>
  </si>
  <si>
    <t>Preiļu slimnīca, SIA</t>
  </si>
  <si>
    <t>Strenču psihoneiroloģiskā slimnīca</t>
  </si>
  <si>
    <t>Piejūras slimnīca, valsts SIA</t>
  </si>
  <si>
    <t>Daugavpils psihoneiroloģiskā slimnīca, valsts SIA + Aknīste</t>
  </si>
  <si>
    <t>Slimnīca "Ģintermuiža", valsts SIA</t>
  </si>
  <si>
    <t>Rēzeknes slimnīca, SIA</t>
  </si>
  <si>
    <t>2021.gada 10 mēnešiem fiksētajai piemaksai papildus nepieciešamais finansējums, EUR</t>
  </si>
  <si>
    <t>Klīniskā un veselības psihologa, kurš ir apguvis tālākizglītību psihoterapijā, vai psihoterapeita konsultācija</t>
  </si>
  <si>
    <t>Fiks.kab.maks. mēnesī*</t>
  </si>
  <si>
    <t>6.pielikums MK rīkojuma projekta “Par finanšu līdzekļu piešķiršanu no valsts budžeta programmas “Līdzekļi neparedzētiem gadījumiem”” un Ministru kabineta rīkojuma projekta “Par apropriācijas palielināšanu Veselības ministrijai”” anotācijai</t>
  </si>
  <si>
    <t>* Lai palielinātu psihiskās veselības aprūpes speciālistu klātienes un attālinātu konsultāciju saņemšanas iespējas iedzīvotājiem 2021. gadā ar ģimenes ārsta nosūtījumu plānots apmaksāt 5-10 divu veidu psihologu sniegtas konsultācijas. Plānotas apmaksāt divu veidu konsultācijas - pirmās sniedz klīniskais un veselības psihologs, savukārt otrās arī klīniskais un veselības psihologs, bet ar papildus apgūtu psihoterapijas metodi, vai vai psihoterapeits, tādēļ arī manipulāciju tarifs paredzēts lielāks, jo šīs speciālists ir ieguvis vairāk praktiskās iemaņas un zināšanas.</t>
  </si>
  <si>
    <t>*** Ieviešanas uzsākšanas mēnesis pamatots ar ārstniecības iestāžu atbildēm veiktajā aptaujā</t>
  </si>
  <si>
    <t>7.pielikums MK rīkojuma projekta “Par finanšu līdzekļu piešķiršanu no valsts budžeta programmas “Līdzekļi neparedzētiem gadījumiem”” un Ministru kabineta rīkojuma projekta “Par apropriācijas palielināšanu Veselības ministrijai”” anotācijai</t>
  </si>
  <si>
    <t>2021.gads</t>
  </si>
  <si>
    <t>Rīgas Dzemdību nams, SIA</t>
  </si>
  <si>
    <t>Rīgas 2. slimnīca, SIA</t>
  </si>
  <si>
    <t>Traumatoloģijas un ortopēdijas slimnīca, Valsts SIA</t>
  </si>
  <si>
    <t>Nacionālais rehabilitācijas centrs "Vaivari", Valsts SIA</t>
  </si>
  <si>
    <t>Siguldas slimnīca, SIA</t>
  </si>
  <si>
    <t>Līvānu slimnīca, Līvānu novada domes pašvaldības SIA</t>
  </si>
  <si>
    <t>Aizkraukles slimnīca, SIA</t>
  </si>
  <si>
    <t>Bauskas slimnīca, SIA</t>
  </si>
  <si>
    <t>Limbažu slimnīca, SIA</t>
  </si>
  <si>
    <t>Ludzas medicīnas centrs, SIA</t>
  </si>
  <si>
    <t>Saldus medicīnas centrs, SIA</t>
  </si>
  <si>
    <t>Kopā visās ārstniecības iestādēs</t>
  </si>
  <si>
    <t>46156 - PSA - prostatas specifiskais antigēna noteikšanas manipulācijas tarifs 2021. gadā, euro*</t>
  </si>
  <si>
    <t>Unikālo pacientu skaits 2019. gadā vecumā no 50-75 gadiem, kam bija noteikts PSA (neieskaitot "zaļā koridora" izmeklējumus)**</t>
  </si>
  <si>
    <t>** Aprēķinam tika ņemts unikālo pacientu skaits 2019. gadā vecumā no 50-75 gadiem, kam bija noteikts PSA, jo saistībā ar COVID-19 pandēmiju 2020. gadā bija ierobežoti veselības aprūpes pakalpojumi un palielinājās ģimenes ārstu noslodze, kas ietekmēja profilaktisko pakalpojumu apjomu.</t>
  </si>
  <si>
    <t>Izmaksas 2020. gadā, euro***</t>
  </si>
  <si>
    <t xml:space="preserve">*** Plānojot nepieciešamo finansējumu 2020. gadam tika izmantots pacientu skaits 2019. gadā, reizinot to ar 2020. gada manipulācijas tarifu. Norādīts plānotais finansējums 2020. gadam, ņemot vērā aprēkināto unikalo pacientu skaitu 2019.gadā. </t>
  </si>
  <si>
    <t>Mērķa grupa 2021. gadā (vīrieši 50-75 gadi, veicot testu reizi divos gados)****</t>
  </si>
  <si>
    <t>**** Centralās statistikas pārvaldes dati par 2020.gadu.</t>
  </si>
  <si>
    <t>Nepieciešamais finansējums mērķa grupai ar aptveri 81%, euro*****</t>
  </si>
  <si>
    <t>Vīriešu skaits no 45-50 gadiem, kam ģimenes anamnēzē asinsradiniekam ir konstatēts prostatas vēzis, balstoties uz prostatas vēža sastopamību Latvijā******</t>
  </si>
  <si>
    <t>****** Vecumā no 45-50 gadiem ir 64 156 vīriešu. No SPKC statistikas datiem prostatas vēža sastopamība Latvijā 2017. gadā ir 144,1 gadījums uz 100 000 iedzīvotāju. Tas nozīmē, ka mērķa grupā vīriešiem no 45-50 gadiem, kam ģimenes anamnēzē asinsradiniekam ir konstatēts prostatas vēzis, balstoties uz prostatas vēža sastopamību Latvijā, var būt 92 vīrieši.</t>
  </si>
  <si>
    <t>***** 2019. gadā PSA bija noteikts 69% vīriešiem vecumā no 50-75 gadiem. Ar papildus piešķirto finansējumu ir iespējams palielināt atsaucību par vidēji 12% un sasniegt vidēji 81%, attiecīgi tiek plānots, ka 2021. gadā un turpmāk vidēji 81% no prostatas vēža mērķa grupas vīriešiem tiks veikta PSA noteikšana.</t>
  </si>
  <si>
    <t>* Manipulācijas 46156 “PSA - prostatas specifiskais antigēns” tarifs 2021.gadā ir 5,39 euro, kas aprēķinā aizvieto 2020.gadā esošo manipulācijas 46156 “PSA - prostatas specifiskais antigēns” tarifu 5,20 apmērā.</t>
  </si>
  <si>
    <t>Norma par ikmēneša fiksēto maksājumu aprēķinu: garastāvokļa traucējumu kabinetā bērniem nodarbinātam psihologam, psihoterapeitam un psihiatram papildus iekļauj maksu par darbu paaugstinātas intensitātes apstākļos</t>
  </si>
  <si>
    <t>Slodzes apjoms mēnesī</t>
  </si>
  <si>
    <t>Piemaksas par pieejamības nodrošināšanu un darbu paaugstinātas intensitātes apstākļos, euro*</t>
  </si>
  <si>
    <t>Piemaksas apmērs, euro</t>
  </si>
  <si>
    <t>Psihologs un psihoterapeits</t>
  </si>
  <si>
    <t>Psihiatrs</t>
  </si>
  <si>
    <t>Kopā noteikumu projekta normas īstenošanai nepieciešamais finansējums 2021.gadā, euro*</t>
  </si>
  <si>
    <t>Noteikumu projekta normas īstenošanai 2021.gadā Veselības ministrijas valsts budžeta apakšprogrammā 33.16.00 "Pārējo ambulatoro veselības aprūpes pakalpojumu nodrošināšana" paredzētais finansējums, euro*</t>
  </si>
  <si>
    <t>Noteikumu projekta normas īstenošanai 2021.gadā Veselības ministrijas programmas 99.00.00 “Līdzekļu neparedzētiem gadījumiem izlietojums” ietvaros paredzētais finansējums, euro*</t>
  </si>
  <si>
    <t>* MK  2018. gada 28. augusta noteikumu Nr.555 "Veselības aprūpes pakalpojumu organizēšanas un samaksas kārtība" spēkā esošās redakcijas 253.punkts nosaka, ka 10. pielikuma 2.23. apakšpunkts stājas spēkā 2021. gada 1. jūlijā.</t>
  </si>
  <si>
    <t>* 555.noteikumu grozījumu projekta 5. punkts paredz papildināt noteikumus ar 254.1. apakšpunktu, nosakot, ka līdz 2021. gada 31. decembrim Dienests veic samaksu stacionāro veselības aprūpes pakalpojumu sniedzējiem par ārstniecības iestādes personāla psihoemocionālā atbalsta nodrošināšanu, paredzot fiksēto maksājumu par ārstniecības iestādes personāla psihoemocionālā atbalsta kabineta darbības nodrošināšanu 4367,00 euro gadā, ko ārstniecības iestāde katru mēnesi saņem kā 1/12 daļu, un darba samaksu pakalpojuma sniegšanā iesaistītajiem psihologiem un psihoterapeitiem par vienu slodzi 2 420,60 euro apmērā, atbildīgiem darbiniekiem, kurš uzrauga personāla psihoemocionālo stāvokli – 1 850,00 euro apmērā. Kabineta uzturēšanas izmaksas tiek segtas tikai psihologam vai psihoterapeitam.</t>
  </si>
  <si>
    <t>tai skaitā, no 2021.gada 1.jūlija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</si>
</sst>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
    <numFmt numFmtId="166" formatCode="#,##0.0"/>
  </numFmts>
  <fonts count="46"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1"/>
      <name val="Times New Roman"/>
      <family val="1"/>
      <charset val="186"/>
    </font>
    <font>
      <sz val="10"/>
      <color theme="1"/>
      <name val="Times New Roman"/>
      <family val="1"/>
      <charset val="186"/>
    </font>
    <font>
      <b/>
      <sz val="12"/>
      <color theme="1"/>
      <name val="Times New Roman"/>
      <family val="1"/>
      <charset val="186"/>
    </font>
    <font>
      <b/>
      <sz val="14"/>
      <color theme="1"/>
      <name val="Times New Roman"/>
      <family val="1"/>
      <charset val="186"/>
    </font>
    <font>
      <b/>
      <sz val="12"/>
      <color theme="1"/>
      <name val="Times New Roman"/>
      <family val="1"/>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1"/>
      <color theme="1"/>
      <name val="Calibri"/>
      <family val="2"/>
      <charset val="204"/>
      <scheme val="minor"/>
    </font>
    <font>
      <sz val="10"/>
      <name val="Times New Roman"/>
      <family val="1"/>
    </font>
    <font>
      <b/>
      <sz val="10"/>
      <color theme="1"/>
      <name val="Times New Roman"/>
      <family val="1"/>
      <charset val="186"/>
    </font>
    <font>
      <sz val="11"/>
      <name val="Times New Roman"/>
      <family val="1"/>
    </font>
    <font>
      <b/>
      <sz val="11"/>
      <name val="Times New Roman"/>
      <family val="1"/>
    </font>
    <font>
      <b/>
      <sz val="14"/>
      <name val="Times New Roman"/>
      <family val="1"/>
      <charset val="204"/>
    </font>
    <font>
      <sz val="11"/>
      <name val="Calibri"/>
      <family val="2"/>
      <charset val="204"/>
      <scheme val="minor"/>
    </font>
    <font>
      <sz val="11"/>
      <name val="Times New Roman"/>
      <family val="1"/>
      <charset val="204"/>
    </font>
    <font>
      <b/>
      <sz val="12"/>
      <name val="Times New Roman"/>
      <family val="1"/>
    </font>
    <font>
      <sz val="12"/>
      <name val="Times New Roman"/>
      <family val="1"/>
    </font>
    <font>
      <b/>
      <sz val="11"/>
      <name val="Times New Roman"/>
      <family val="1"/>
      <charset val="186"/>
    </font>
    <font>
      <sz val="11"/>
      <name val="Calibri"/>
      <family val="2"/>
      <scheme val="minor"/>
    </font>
    <font>
      <sz val="10"/>
      <name val="Arial"/>
      <family val="2"/>
      <charset val="186"/>
    </font>
    <font>
      <sz val="12"/>
      <name val="Times New Roman"/>
      <family val="1"/>
      <charset val="186"/>
    </font>
    <font>
      <b/>
      <sz val="12"/>
      <name val="Times New Roman"/>
      <family val="1"/>
      <charset val="204"/>
    </font>
    <font>
      <b/>
      <sz val="12"/>
      <name val="Times New Roman"/>
      <family val="1"/>
      <charset val="186"/>
    </font>
    <font>
      <i/>
      <sz val="10"/>
      <name val="Times New Roman"/>
      <family val="1"/>
      <charset val="204"/>
    </font>
    <font>
      <i/>
      <sz val="11"/>
      <name val="Times New Roman"/>
      <family val="1"/>
      <charset val="204"/>
    </font>
    <font>
      <b/>
      <sz val="14"/>
      <name val="Times New Roman"/>
      <family val="1"/>
    </font>
    <font>
      <b/>
      <sz val="10"/>
      <name val="Times New Roman"/>
      <family val="1"/>
    </font>
    <font>
      <b/>
      <i/>
      <sz val="10"/>
      <name val="Times New Roman"/>
      <family val="1"/>
    </font>
    <font>
      <b/>
      <sz val="9"/>
      <color indexed="81"/>
      <name val="Tahoma"/>
      <family val="2"/>
      <charset val="204"/>
    </font>
    <font>
      <sz val="9"/>
      <color indexed="81"/>
      <name val="Tahoma"/>
      <family val="2"/>
      <charset val="204"/>
    </font>
    <font>
      <b/>
      <sz val="16"/>
      <color theme="1"/>
      <name val="Calibri"/>
      <family val="2"/>
      <charset val="186"/>
      <scheme val="minor"/>
    </font>
    <font>
      <sz val="8"/>
      <name val="Times New Roman"/>
      <family val="1"/>
    </font>
    <font>
      <sz val="8"/>
      <color theme="1"/>
      <name val="Times New Roman"/>
      <family val="1"/>
      <charset val="186"/>
    </font>
    <font>
      <sz val="10"/>
      <name val="Arial"/>
      <family val="2"/>
    </font>
    <font>
      <sz val="10"/>
      <name val="Times New Roman"/>
      <family val="1"/>
      <charset val="186"/>
    </font>
    <font>
      <b/>
      <sz val="10"/>
      <name val="Times New Roman"/>
      <family val="1"/>
      <charset val="186"/>
    </font>
    <font>
      <sz val="10"/>
      <color rgb="FFFF0000"/>
      <name val="Times New Roman"/>
      <family val="1"/>
      <charset val="186"/>
    </font>
    <font>
      <b/>
      <sz val="14"/>
      <color theme="1"/>
      <name val="Times New Roman"/>
      <family val="1"/>
    </font>
    <font>
      <sz val="10"/>
      <color rgb="FF000000"/>
      <name val="Times New Roman"/>
      <family val="1"/>
    </font>
    <font>
      <sz val="11"/>
      <color rgb="FFFF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3">
    <xf numFmtId="0" fontId="0" fillId="0" borderId="0"/>
    <xf numFmtId="0" fontId="1" fillId="0" borderId="0"/>
    <xf numFmtId="0" fontId="12" fillId="0" borderId="0"/>
    <xf numFmtId="0" fontId="13" fillId="0" borderId="0"/>
    <xf numFmtId="0" fontId="12" fillId="0" borderId="0"/>
    <xf numFmtId="0" fontId="12" fillId="0" borderId="0"/>
    <xf numFmtId="0" fontId="1" fillId="0" borderId="0"/>
    <xf numFmtId="0" fontId="25" fillId="0" borderId="0"/>
    <xf numFmtId="0" fontId="1" fillId="0" borderId="0"/>
    <xf numFmtId="43" fontId="25" fillId="0" borderId="0" applyFont="0" applyFill="0" applyBorder="0" applyAlignment="0" applyProtection="0"/>
    <xf numFmtId="0" fontId="13" fillId="0" borderId="0"/>
    <xf numFmtId="0" fontId="39" fillId="0" borderId="0"/>
    <xf numFmtId="0" fontId="39" fillId="0" borderId="0"/>
  </cellStyleXfs>
  <cellXfs count="228">
    <xf numFmtId="0" fontId="0" fillId="0" borderId="0" xfId="0"/>
    <xf numFmtId="0" fontId="19" fillId="0" borderId="0" xfId="3" applyFont="1"/>
    <xf numFmtId="0" fontId="20" fillId="0" borderId="0" xfId="3" applyFont="1"/>
    <xf numFmtId="0" fontId="16" fillId="0" borderId="0" xfId="4" applyFont="1"/>
    <xf numFmtId="0" fontId="14" fillId="0" borderId="0" xfId="3" applyFont="1"/>
    <xf numFmtId="0" fontId="14" fillId="0" borderId="0" xfId="4" applyFont="1"/>
    <xf numFmtId="0" fontId="22" fillId="0" borderId="0" xfId="3" applyFont="1" applyAlignment="1">
      <alignment horizontal="left"/>
    </xf>
    <xf numFmtId="0" fontId="23" fillId="0" borderId="0" xfId="3" applyFont="1"/>
    <xf numFmtId="0" fontId="3" fillId="0" borderId="0" xfId="3" applyFont="1"/>
    <xf numFmtId="0" fontId="19" fillId="0" borderId="0" xfId="3" applyFont="1" applyAlignment="1">
      <alignment horizontal="center" vertical="center"/>
    </xf>
    <xf numFmtId="0" fontId="23" fillId="0" borderId="1" xfId="3" applyFont="1" applyBorder="1" applyAlignment="1">
      <alignment horizontal="center" vertical="center"/>
    </xf>
    <xf numFmtId="0" fontId="20" fillId="0" borderId="0" xfId="3" applyFont="1" applyAlignment="1">
      <alignment horizontal="center" vertical="center"/>
    </xf>
    <xf numFmtId="0" fontId="20" fillId="0" borderId="1" xfId="3" applyFont="1" applyBorder="1"/>
    <xf numFmtId="0" fontId="20" fillId="0" borderId="1" xfId="3" applyFont="1" applyBorder="1" applyAlignment="1">
      <alignment wrapText="1"/>
    </xf>
    <xf numFmtId="0" fontId="24" fillId="0" borderId="0" xfId="5" applyFont="1"/>
    <xf numFmtId="0" fontId="3" fillId="0" borderId="0" xfId="5" applyFont="1"/>
    <xf numFmtId="0" fontId="3" fillId="0" borderId="0" xfId="6" applyFont="1" applyAlignment="1">
      <alignment horizontal="right"/>
    </xf>
    <xf numFmtId="0" fontId="3" fillId="0" borderId="0" xfId="5" applyFont="1" applyAlignment="1">
      <alignment horizontal="left" wrapText="1"/>
    </xf>
    <xf numFmtId="0" fontId="16" fillId="0" borderId="0" xfId="3" applyFont="1"/>
    <xf numFmtId="0" fontId="16" fillId="0" borderId="0" xfId="3" applyFont="1" applyAlignment="1">
      <alignment horizontal="left"/>
    </xf>
    <xf numFmtId="0" fontId="23" fillId="0" borderId="1" xfId="3" applyFont="1" applyBorder="1" applyAlignment="1">
      <alignment horizontal="center" vertical="center" wrapText="1"/>
    </xf>
    <xf numFmtId="2" fontId="20" fillId="0" borderId="1" xfId="3" applyNumberFormat="1" applyFont="1" applyBorder="1"/>
    <xf numFmtId="1" fontId="20" fillId="0" borderId="1" xfId="3" applyNumberFormat="1" applyFont="1" applyBorder="1"/>
    <xf numFmtId="3" fontId="20" fillId="0" borderId="1" xfId="3" applyNumberFormat="1" applyFont="1" applyBorder="1"/>
    <xf numFmtId="3" fontId="16" fillId="0" borderId="1" xfId="3" applyNumberFormat="1" applyFont="1" applyBorder="1"/>
    <xf numFmtId="0" fontId="27" fillId="0" borderId="0" xfId="3" applyFont="1" applyAlignment="1">
      <alignment horizontal="center" vertical="center"/>
    </xf>
    <xf numFmtId="0" fontId="8" fillId="0" borderId="0" xfId="1" applyFont="1" applyFill="1" applyAlignment="1">
      <alignment horizontal="right" wrapText="1"/>
    </xf>
    <xf numFmtId="0" fontId="19" fillId="0" borderId="0" xfId="3" applyFont="1" applyFill="1"/>
    <xf numFmtId="0" fontId="27" fillId="0" borderId="0" xfId="3" applyFont="1" applyFill="1" applyAlignment="1">
      <alignment horizontal="center" vertical="center"/>
    </xf>
    <xf numFmtId="0" fontId="20" fillId="0" borderId="0" xfId="3" applyFont="1" applyFill="1"/>
    <xf numFmtId="0" fontId="2" fillId="0" borderId="0" xfId="1" applyFont="1" applyFill="1"/>
    <xf numFmtId="0" fontId="6" fillId="0" borderId="0" xfId="1" applyFont="1" applyFill="1"/>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3" fontId="2" fillId="0" borderId="1" xfId="0" applyNumberFormat="1" applyFont="1" applyFill="1" applyBorder="1" applyAlignment="1">
      <alignment horizontal="center" vertical="center"/>
    </xf>
    <xf numFmtId="0" fontId="5" fillId="0" borderId="0" xfId="1" applyFont="1" applyFill="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1" applyFont="1" applyFill="1" applyBorder="1" applyAlignment="1">
      <alignment horizontal="center"/>
    </xf>
    <xf numFmtId="2" fontId="2" fillId="0" borderId="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3" fontId="2" fillId="0" borderId="0" xfId="1" applyNumberFormat="1" applyFont="1" applyFill="1"/>
    <xf numFmtId="0" fontId="4" fillId="0" borderId="0" xfId="0" applyFont="1" applyFill="1" applyAlignment="1">
      <alignment vertical="center"/>
    </xf>
    <xf numFmtId="0" fontId="4" fillId="0" borderId="0" xfId="0" applyFont="1" applyFill="1"/>
    <xf numFmtId="0" fontId="2" fillId="0" borderId="0" xfId="0" applyFont="1" applyFill="1"/>
    <xf numFmtId="0" fontId="3" fillId="0" borderId="0" xfId="1" applyFont="1" applyFill="1"/>
    <xf numFmtId="3" fontId="23" fillId="3" borderId="1" xfId="5" applyNumberFormat="1" applyFont="1" applyFill="1" applyBorder="1"/>
    <xf numFmtId="0" fontId="18" fillId="0" borderId="0" xfId="3" applyFont="1"/>
    <xf numFmtId="0" fontId="29" fillId="0" borderId="0" xfId="3" applyFont="1" applyAlignment="1">
      <alignment horizontal="left" vertical="center" wrapText="1"/>
    </xf>
    <xf numFmtId="0" fontId="29" fillId="0" borderId="0" xfId="3" applyFont="1" applyAlignment="1">
      <alignment horizontal="left" vertical="center"/>
    </xf>
    <xf numFmtId="0" fontId="30" fillId="0" borderId="0" xfId="3" applyFont="1" applyAlignment="1">
      <alignment horizontal="left" vertical="center"/>
    </xf>
    <xf numFmtId="0" fontId="21" fillId="0" borderId="3" xfId="3" applyFont="1" applyBorder="1" applyAlignment="1">
      <alignment vertical="center"/>
    </xf>
    <xf numFmtId="0" fontId="17" fillId="0" borderId="1" xfId="3" applyFont="1" applyBorder="1" applyAlignment="1">
      <alignment horizontal="center" vertical="center" wrapText="1"/>
    </xf>
    <xf numFmtId="3" fontId="17" fillId="2" borderId="4" xfId="3" applyNumberFormat="1" applyFont="1" applyFill="1" applyBorder="1" applyAlignment="1">
      <alignment horizontal="center" vertical="center" wrapText="1"/>
    </xf>
    <xf numFmtId="0" fontId="28" fillId="0" borderId="3" xfId="3" applyFont="1" applyBorder="1"/>
    <xf numFmtId="0" fontId="26" fillId="0" borderId="0" xfId="3" applyFont="1"/>
    <xf numFmtId="0" fontId="17" fillId="0" borderId="5" xfId="3" applyFont="1" applyBorder="1" applyAlignment="1">
      <alignment horizontal="center" vertical="center"/>
    </xf>
    <xf numFmtId="0" fontId="17" fillId="0" borderId="5" xfId="3" applyFont="1" applyBorder="1" applyAlignment="1">
      <alignment horizontal="center" vertical="center" wrapText="1"/>
    </xf>
    <xf numFmtId="0" fontId="16" fillId="0" borderId="1" xfId="3" applyFont="1" applyBorder="1" applyAlignment="1">
      <alignment horizontal="center" vertical="center"/>
    </xf>
    <xf numFmtId="0" fontId="16" fillId="0" borderId="1" xfId="3" applyFont="1" applyBorder="1"/>
    <xf numFmtId="0" fontId="16" fillId="0" borderId="1" xfId="3" applyFont="1" applyBorder="1" applyAlignment="1">
      <alignment horizontal="center"/>
    </xf>
    <xf numFmtId="3" fontId="16" fillId="0" borderId="1" xfId="3" applyNumberFormat="1" applyFont="1" applyBorder="1" applyAlignment="1">
      <alignment horizontal="right"/>
    </xf>
    <xf numFmtId="0" fontId="16" fillId="0" borderId="1" xfId="3" applyFont="1" applyBorder="1" applyAlignment="1">
      <alignment wrapText="1"/>
    </xf>
    <xf numFmtId="0" fontId="16" fillId="0" borderId="2" xfId="3" applyFont="1" applyBorder="1" applyAlignment="1">
      <alignment horizontal="center" vertical="center"/>
    </xf>
    <xf numFmtId="0" fontId="16" fillId="0" borderId="6" xfId="3" applyFont="1" applyBorder="1"/>
    <xf numFmtId="0" fontId="16" fillId="0" borderId="6" xfId="3" applyFont="1" applyBorder="1" applyAlignment="1">
      <alignment horizontal="center"/>
    </xf>
    <xf numFmtId="3" fontId="17" fillId="0" borderId="4" xfId="3" applyNumberFormat="1" applyFont="1" applyBorder="1" applyAlignment="1">
      <alignment horizontal="right"/>
    </xf>
    <xf numFmtId="3" fontId="17" fillId="0" borderId="5" xfId="3" applyNumberFormat="1" applyFont="1" applyBorder="1" applyAlignment="1">
      <alignment horizontal="right"/>
    </xf>
    <xf numFmtId="3" fontId="17" fillId="0" borderId="1" xfId="3" applyNumberFormat="1" applyFont="1" applyBorder="1" applyAlignment="1">
      <alignment horizontal="right"/>
    </xf>
    <xf numFmtId="4" fontId="26" fillId="0" borderId="0" xfId="3" applyNumberFormat="1" applyFont="1" applyAlignment="1">
      <alignment horizontal="center"/>
    </xf>
    <xf numFmtId="0" fontId="16" fillId="0" borderId="0" xfId="3" applyFont="1" applyAlignment="1">
      <alignment horizontal="right"/>
    </xf>
    <xf numFmtId="3" fontId="17" fillId="0" borderId="0" xfId="3" applyNumberFormat="1" applyFont="1"/>
    <xf numFmtId="0" fontId="17" fillId="0" borderId="1" xfId="3" applyFont="1" applyBorder="1" applyAlignment="1">
      <alignment horizontal="center" vertical="center"/>
    </xf>
    <xf numFmtId="0" fontId="17" fillId="0" borderId="2" xfId="3" applyFont="1" applyBorder="1" applyAlignment="1">
      <alignment horizontal="center" vertical="center" wrapText="1"/>
    </xf>
    <xf numFmtId="0" fontId="17" fillId="0" borderId="0" xfId="3" applyFont="1" applyAlignment="1">
      <alignment horizontal="center" vertical="center" wrapText="1"/>
    </xf>
    <xf numFmtId="0" fontId="3" fillId="0" borderId="1" xfId="3" applyFont="1" applyBorder="1" applyAlignment="1">
      <alignment horizontal="center"/>
    </xf>
    <xf numFmtId="0" fontId="3" fillId="0" borderId="1" xfId="3" applyFont="1" applyBorder="1" applyAlignment="1">
      <alignment wrapText="1"/>
    </xf>
    <xf numFmtId="3" fontId="16" fillId="2" borderId="1" xfId="3" applyNumberFormat="1" applyFont="1" applyFill="1" applyBorder="1" applyAlignment="1">
      <alignment horizontal="right"/>
    </xf>
    <xf numFmtId="3" fontId="16" fillId="0" borderId="2" xfId="3" applyNumberFormat="1" applyFont="1" applyBorder="1" applyAlignment="1">
      <alignment horizontal="right"/>
    </xf>
    <xf numFmtId="3" fontId="16" fillId="0" borderId="0" xfId="3" applyNumberFormat="1" applyFont="1" applyAlignment="1">
      <alignment horizontal="right"/>
    </xf>
    <xf numFmtId="0" fontId="3" fillId="0" borderId="2" xfId="3" applyFont="1" applyBorder="1"/>
    <xf numFmtId="3" fontId="17" fillId="0" borderId="6" xfId="3" applyNumberFormat="1" applyFont="1" applyBorder="1" applyAlignment="1">
      <alignment horizontal="right"/>
    </xf>
    <xf numFmtId="3" fontId="17" fillId="0" borderId="0" xfId="3" applyNumberFormat="1" applyFont="1" applyAlignment="1">
      <alignment horizontal="right"/>
    </xf>
    <xf numFmtId="0" fontId="3" fillId="0" borderId="1" xfId="3" applyFont="1" applyBorder="1" applyAlignment="1">
      <alignment horizontal="center" vertical="center"/>
    </xf>
    <xf numFmtId="0" fontId="3" fillId="0" borderId="1" xfId="3" applyFont="1" applyBorder="1" applyAlignment="1">
      <alignment vertical="center" wrapText="1"/>
    </xf>
    <xf numFmtId="1" fontId="16" fillId="0" borderId="1" xfId="3" applyNumberFormat="1" applyFont="1" applyBorder="1" applyAlignment="1">
      <alignment horizontal="right" wrapText="1"/>
    </xf>
    <xf numFmtId="0" fontId="16" fillId="0" borderId="1" xfId="3" applyFont="1" applyBorder="1" applyAlignment="1">
      <alignment horizontal="right" vertical="center" wrapText="1"/>
    </xf>
    <xf numFmtId="0" fontId="3" fillId="0" borderId="1" xfId="3" applyFont="1" applyBorder="1" applyAlignment="1">
      <alignment horizontal="center" vertical="center" wrapText="1"/>
    </xf>
    <xf numFmtId="3" fontId="17" fillId="0" borderId="0" xfId="3" applyNumberFormat="1" applyFont="1" applyAlignment="1">
      <alignment horizontal="center"/>
    </xf>
    <xf numFmtId="0" fontId="3" fillId="0" borderId="0" xfId="3" applyFont="1" applyAlignment="1">
      <alignment wrapText="1"/>
    </xf>
    <xf numFmtId="3" fontId="17" fillId="3" borderId="1" xfId="3" applyNumberFormat="1" applyFont="1" applyFill="1" applyBorder="1"/>
    <xf numFmtId="3" fontId="17" fillId="0" borderId="1" xfId="3" applyNumberFormat="1" applyFont="1" applyFill="1" applyBorder="1" applyAlignment="1">
      <alignment horizontal="right"/>
    </xf>
    <xf numFmtId="3" fontId="16" fillId="0" borderId="1" xfId="0" applyNumberFormat="1" applyFont="1" applyFill="1" applyBorder="1" applyAlignment="1">
      <alignment horizontal="center" vertical="center"/>
    </xf>
    <xf numFmtId="3" fontId="9" fillId="3" borderId="1" xfId="0" applyNumberFormat="1" applyFont="1" applyFill="1" applyBorder="1" applyAlignment="1">
      <alignment horizontal="center" vertical="center"/>
    </xf>
    <xf numFmtId="0" fontId="31" fillId="0" borderId="0" xfId="3" applyFont="1"/>
    <xf numFmtId="0" fontId="32" fillId="4" borderId="1" xfId="3" applyFont="1" applyFill="1" applyBorder="1" applyAlignment="1">
      <alignment horizontal="center" vertical="center" wrapText="1"/>
    </xf>
    <xf numFmtId="164" fontId="32" fillId="4" borderId="1" xfId="3" applyNumberFormat="1" applyFont="1" applyFill="1" applyBorder="1" applyAlignment="1">
      <alignment horizontal="center" vertical="center" wrapText="1"/>
    </xf>
    <xf numFmtId="0" fontId="16" fillId="0" borderId="0" xfId="3" applyFont="1" applyAlignment="1">
      <alignment horizontal="center"/>
    </xf>
    <xf numFmtId="0" fontId="32" fillId="4" borderId="7" xfId="3" applyFont="1" applyFill="1" applyBorder="1" applyAlignment="1">
      <alignment horizontal="center" vertical="center" wrapText="1"/>
    </xf>
    <xf numFmtId="0" fontId="14" fillId="4" borderId="8" xfId="3" applyFont="1" applyFill="1" applyBorder="1" applyAlignment="1">
      <alignment vertical="center" wrapText="1"/>
    </xf>
    <xf numFmtId="164" fontId="32" fillId="4" borderId="8" xfId="3" applyNumberFormat="1" applyFont="1" applyFill="1" applyBorder="1" applyAlignment="1">
      <alignment horizontal="center" vertical="center" wrapText="1"/>
    </xf>
    <xf numFmtId="0" fontId="14" fillId="0" borderId="8" xfId="3" applyFont="1" applyBorder="1" applyAlignment="1">
      <alignment vertical="center"/>
    </xf>
    <xf numFmtId="3" fontId="14" fillId="0" borderId="8" xfId="3" applyNumberFormat="1" applyFont="1" applyBorder="1" applyAlignment="1">
      <alignment vertical="center"/>
    </xf>
    <xf numFmtId="3" fontId="14" fillId="0" borderId="9" xfId="3" applyNumberFormat="1" applyFont="1" applyBorder="1" applyAlignment="1">
      <alignment vertical="center"/>
    </xf>
    <xf numFmtId="3" fontId="14" fillId="0" borderId="1" xfId="3" applyNumberFormat="1" applyFont="1" applyBorder="1" applyAlignment="1">
      <alignment vertical="center"/>
    </xf>
    <xf numFmtId="0" fontId="32" fillId="4" borderId="7" xfId="3" applyFont="1" applyFill="1" applyBorder="1" applyAlignment="1">
      <alignment horizontal="center" vertical="center"/>
    </xf>
    <xf numFmtId="0" fontId="14" fillId="4" borderId="8" xfId="3" applyFont="1" applyFill="1" applyBorder="1" applyAlignment="1">
      <alignment horizontal="left" vertical="center" wrapText="1"/>
    </xf>
    <xf numFmtId="164" fontId="32" fillId="4" borderId="8" xfId="3" applyNumberFormat="1" applyFont="1" applyFill="1" applyBorder="1" applyAlignment="1">
      <alignment horizontal="center" vertical="center"/>
    </xf>
    <xf numFmtId="0" fontId="14" fillId="4" borderId="8" xfId="3" applyFont="1" applyFill="1" applyBorder="1"/>
    <xf numFmtId="0" fontId="17" fillId="0" borderId="0" xfId="3" applyFont="1" applyAlignment="1">
      <alignment horizontal="center"/>
    </xf>
    <xf numFmtId="0" fontId="17" fillId="0" borderId="0" xfId="3" applyFont="1" applyAlignment="1">
      <alignment horizontal="right"/>
    </xf>
    <xf numFmtId="164" fontId="17" fillId="0" borderId="0" xfId="3" applyNumberFormat="1" applyFont="1"/>
    <xf numFmtId="3" fontId="16" fillId="0" borderId="0" xfId="3" applyNumberFormat="1" applyFont="1"/>
    <xf numFmtId="0" fontId="32" fillId="5" borderId="1" xfId="3" applyFont="1" applyFill="1" applyBorder="1" applyAlignment="1">
      <alignment horizontal="center" wrapText="1"/>
    </xf>
    <xf numFmtId="0" fontId="16" fillId="5" borderId="1" xfId="3" applyFont="1" applyFill="1" applyBorder="1" applyAlignment="1">
      <alignment horizontal="center" vertical="center"/>
    </xf>
    <xf numFmtId="2" fontId="14" fillId="0" borderId="0" xfId="3" applyNumberFormat="1" applyFont="1"/>
    <xf numFmtId="2" fontId="14" fillId="0" borderId="0" xfId="3" applyNumberFormat="1" applyFont="1" applyAlignment="1">
      <alignment wrapText="1"/>
    </xf>
    <xf numFmtId="2" fontId="14" fillId="0" borderId="0" xfId="3" applyNumberFormat="1" applyFont="1" applyAlignment="1">
      <alignment horizontal="center" vertical="center"/>
    </xf>
    <xf numFmtId="2" fontId="14" fillId="0" borderId="0" xfId="3" applyNumberFormat="1" applyFont="1" applyAlignment="1">
      <alignment horizontal="center"/>
    </xf>
    <xf numFmtId="165" fontId="14" fillId="0" borderId="0" xfId="3" applyNumberFormat="1" applyFont="1"/>
    <xf numFmtId="2" fontId="32" fillId="4" borderId="1" xfId="3" applyNumberFormat="1" applyFont="1" applyFill="1" applyBorder="1" applyAlignment="1">
      <alignment horizontal="center" vertical="center" wrapText="1"/>
    </xf>
    <xf numFmtId="0" fontId="16" fillId="0" borderId="0" xfId="3" applyFont="1" applyAlignment="1">
      <alignment horizontal="center" vertical="center"/>
    </xf>
    <xf numFmtId="2" fontId="32" fillId="4" borderId="7" xfId="3" applyNumberFormat="1" applyFont="1" applyFill="1" applyBorder="1" applyAlignment="1">
      <alignment horizontal="center" vertical="center" wrapText="1"/>
    </xf>
    <xf numFmtId="2" fontId="14" fillId="4" borderId="8" xfId="3" applyNumberFormat="1" applyFont="1" applyFill="1" applyBorder="1" applyAlignment="1">
      <alignment vertical="center" wrapText="1"/>
    </xf>
    <xf numFmtId="2" fontId="32" fillId="4" borderId="8" xfId="3" applyNumberFormat="1" applyFont="1" applyFill="1" applyBorder="1" applyAlignment="1">
      <alignment horizontal="center" vertical="center" wrapText="1"/>
    </xf>
    <xf numFmtId="3" fontId="14" fillId="0" borderId="10" xfId="3" applyNumberFormat="1" applyFont="1" applyBorder="1" applyAlignment="1">
      <alignment horizontal="center" wrapText="1"/>
    </xf>
    <xf numFmtId="2" fontId="14" fillId="0" borderId="8" xfId="3" applyNumberFormat="1" applyFont="1" applyBorder="1"/>
    <xf numFmtId="3" fontId="14" fillId="0" borderId="8" xfId="3" applyNumberFormat="1" applyFont="1" applyBorder="1"/>
    <xf numFmtId="3" fontId="14" fillId="0" borderId="9" xfId="3" applyNumberFormat="1" applyFont="1" applyBorder="1"/>
    <xf numFmtId="3" fontId="14" fillId="0" borderId="10" xfId="3" applyNumberFormat="1" applyFont="1" applyBorder="1" applyAlignment="1">
      <alignment horizontal="center"/>
    </xf>
    <xf numFmtId="2" fontId="32" fillId="4" borderId="7" xfId="3" applyNumberFormat="1" applyFont="1" applyFill="1" applyBorder="1" applyAlignment="1">
      <alignment horizontal="center" vertical="center"/>
    </xf>
    <xf numFmtId="2" fontId="14" fillId="4" borderId="8" xfId="3" applyNumberFormat="1" applyFont="1" applyFill="1" applyBorder="1" applyAlignment="1">
      <alignment horizontal="left" vertical="center" wrapText="1"/>
    </xf>
    <xf numFmtId="2" fontId="32" fillId="4" borderId="8" xfId="3" applyNumberFormat="1" applyFont="1" applyFill="1" applyBorder="1" applyAlignment="1">
      <alignment horizontal="center"/>
    </xf>
    <xf numFmtId="2" fontId="14" fillId="4" borderId="8" xfId="3" applyNumberFormat="1" applyFont="1" applyFill="1" applyBorder="1"/>
    <xf numFmtId="2" fontId="16" fillId="0" borderId="0" xfId="3" applyNumberFormat="1" applyFont="1"/>
    <xf numFmtId="3" fontId="16" fillId="0" borderId="0" xfId="3" applyNumberFormat="1" applyFont="1" applyAlignment="1">
      <alignment horizontal="center"/>
    </xf>
    <xf numFmtId="2" fontId="16" fillId="0" borderId="0" xfId="3" applyNumberFormat="1" applyFont="1" applyAlignment="1">
      <alignment horizontal="left" wrapText="1"/>
    </xf>
    <xf numFmtId="3" fontId="16" fillId="0" borderId="0" xfId="3" applyNumberFormat="1" applyFont="1" applyAlignment="1">
      <alignment horizontal="right" wrapText="1"/>
    </xf>
    <xf numFmtId="3" fontId="14" fillId="0" borderId="0" xfId="3" applyNumberFormat="1" applyFont="1" applyFill="1" applyAlignment="1">
      <alignment horizontal="center"/>
    </xf>
    <xf numFmtId="3" fontId="32" fillId="0" borderId="0" xfId="3" applyNumberFormat="1" applyFont="1" applyFill="1" applyAlignment="1">
      <alignment horizontal="center"/>
    </xf>
    <xf numFmtId="2" fontId="16" fillId="0" borderId="0" xfId="3" applyNumberFormat="1" applyFont="1" applyAlignment="1">
      <alignment horizontal="left"/>
    </xf>
    <xf numFmtId="3" fontId="17" fillId="3" borderId="1" xfId="0" applyNumberFormat="1" applyFont="1" applyFill="1" applyBorder="1" applyAlignment="1">
      <alignment horizontal="center" vertical="center"/>
    </xf>
    <xf numFmtId="0" fontId="4" fillId="0" borderId="0" xfId="0" applyFont="1"/>
    <xf numFmtId="0" fontId="22" fillId="0" borderId="0" xfId="0" applyFont="1" applyAlignment="1">
      <alignment horizontal="left" vertical="center"/>
    </xf>
    <xf numFmtId="0" fontId="37" fillId="0" borderId="1" xfId="5" applyFont="1" applyBorder="1" applyAlignment="1">
      <alignment horizontal="center" vertical="center"/>
    </xf>
    <xf numFmtId="0" fontId="37" fillId="0" borderId="1" xfId="5" applyFont="1" applyBorder="1" applyAlignment="1">
      <alignment horizontal="center" vertical="center" wrapText="1"/>
    </xf>
    <xf numFmtId="0" fontId="38" fillId="0" borderId="1" xfId="0" applyFont="1" applyBorder="1" applyAlignment="1">
      <alignment horizontal="center" vertical="center" wrapText="1"/>
    </xf>
    <xf numFmtId="0" fontId="37" fillId="0" borderId="1" xfId="5" applyFont="1" applyBorder="1"/>
    <xf numFmtId="9" fontId="37" fillId="0" borderId="1" xfId="5" applyNumberFormat="1" applyFont="1" applyBorder="1"/>
    <xf numFmtId="9" fontId="4" fillId="0" borderId="1" xfId="0" applyNumberFormat="1" applyFont="1" applyBorder="1" applyAlignment="1">
      <alignment wrapText="1"/>
    </xf>
    <xf numFmtId="0" fontId="41" fillId="0" borderId="1" xfId="11" applyFont="1" applyBorder="1" applyAlignment="1">
      <alignment horizontal="center" vertical="center" wrapText="1"/>
    </xf>
    <xf numFmtId="3" fontId="41" fillId="0" borderId="1" xfId="11" applyNumberFormat="1" applyFont="1" applyBorder="1" applyAlignment="1">
      <alignment horizontal="center" vertical="center" wrapText="1"/>
    </xf>
    <xf numFmtId="0" fontId="40" fillId="2" borderId="1" xfId="0" applyFont="1" applyFill="1" applyBorder="1" applyAlignment="1">
      <alignment horizontal="left"/>
    </xf>
    <xf numFmtId="0" fontId="40" fillId="2" borderId="1" xfId="0" applyFont="1" applyFill="1" applyBorder="1" applyAlignment="1">
      <alignment horizontal="right"/>
    </xf>
    <xf numFmtId="3" fontId="40" fillId="0" borderId="1" xfId="0" applyNumberFormat="1" applyFont="1" applyBorder="1" applyAlignment="1">
      <alignment horizontal="center" vertical="center"/>
    </xf>
    <xf numFmtId="3" fontId="4" fillId="0" borderId="1" xfId="0" applyNumberFormat="1" applyFont="1" applyBorder="1"/>
    <xf numFmtId="0" fontId="4" fillId="0" borderId="1" xfId="0" applyFont="1" applyBorder="1"/>
    <xf numFmtId="0" fontId="40" fillId="0" borderId="1" xfId="0" applyFont="1" applyBorder="1" applyAlignment="1">
      <alignment horizontal="left"/>
    </xf>
    <xf numFmtId="0" fontId="40" fillId="0" borderId="1" xfId="0" applyFont="1" applyBorder="1" applyAlignment="1">
      <alignment horizontal="right"/>
    </xf>
    <xf numFmtId="3" fontId="41" fillId="2" borderId="1" xfId="11"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0" fontId="36" fillId="0" borderId="0" xfId="0" applyFont="1" applyAlignment="1">
      <alignment vertical="center" wrapText="1"/>
    </xf>
    <xf numFmtId="0" fontId="44" fillId="0" borderId="0" xfId="0" applyFont="1"/>
    <xf numFmtId="0" fontId="45" fillId="0" borderId="0" xfId="1" applyFont="1" applyFill="1"/>
    <xf numFmtId="0" fontId="42" fillId="0" borderId="0" xfId="0" applyFont="1" applyAlignment="1">
      <alignment wrapText="1"/>
    </xf>
    <xf numFmtId="3" fontId="15" fillId="0" borderId="0" xfId="0" applyNumberFormat="1" applyFont="1"/>
    <xf numFmtId="0" fontId="2" fillId="0" borderId="0" xfId="1" applyFont="1"/>
    <xf numFmtId="0" fontId="3" fillId="0" borderId="0" xfId="1" applyFont="1"/>
    <xf numFmtId="3" fontId="15" fillId="0" borderId="1" xfId="0" applyNumberFormat="1" applyFont="1" applyBorder="1" applyAlignment="1">
      <alignment horizontal="center"/>
    </xf>
    <xf numFmtId="3" fontId="11" fillId="3" borderId="1" xfId="0" applyNumberFormat="1" applyFont="1" applyFill="1" applyBorder="1" applyAlignment="1">
      <alignment horizontal="center"/>
    </xf>
    <xf numFmtId="0" fontId="0" fillId="0" borderId="0" xfId="0" applyAlignment="1">
      <alignment horizontal="center"/>
    </xf>
    <xf numFmtId="3" fontId="16" fillId="0" borderId="0" xfId="0" applyNumberFormat="1" applyFont="1" applyFill="1" applyBorder="1" applyAlignment="1">
      <alignment horizontal="center" vertical="center"/>
    </xf>
    <xf numFmtId="0" fontId="14" fillId="0" borderId="0" xfId="1" applyFont="1" applyFill="1" applyBorder="1" applyAlignment="1">
      <alignment horizontal="left"/>
    </xf>
    <xf numFmtId="2"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14" fillId="0" borderId="0" xfId="0" applyFont="1" applyFill="1" applyAlignment="1">
      <alignment vertical="center"/>
    </xf>
    <xf numFmtId="2" fontId="14" fillId="0" borderId="0" xfId="0" applyNumberFormat="1" applyFont="1" applyFill="1" applyAlignment="1">
      <alignment horizontal="center" vertical="center"/>
    </xf>
    <xf numFmtId="0" fontId="14" fillId="0" borderId="0" xfId="0" applyFont="1" applyFill="1" applyAlignment="1">
      <alignment horizontal="center" vertical="center"/>
    </xf>
    <xf numFmtId="2" fontId="32" fillId="0" borderId="0" xfId="0" applyNumberFormat="1" applyFont="1" applyFill="1" applyAlignment="1">
      <alignment horizontal="center" vertical="center"/>
    </xf>
    <xf numFmtId="0" fontId="10" fillId="0" borderId="1" xfId="0" applyFont="1" applyBorder="1"/>
    <xf numFmtId="2" fontId="10" fillId="0" borderId="1" xfId="0" applyNumberFormat="1" applyFont="1" applyBorder="1"/>
    <xf numFmtId="3" fontId="10" fillId="0" borderId="1" xfId="0" applyNumberFormat="1" applyFont="1" applyBorder="1"/>
    <xf numFmtId="0" fontId="10" fillId="0" borderId="0" xfId="0" applyFont="1"/>
    <xf numFmtId="0" fontId="10" fillId="0" borderId="0" xfId="0" applyFont="1" applyAlignment="1">
      <alignment horizontal="center" vertical="center"/>
    </xf>
    <xf numFmtId="0" fontId="43" fillId="0" borderId="0" xfId="0" applyFont="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xf numFmtId="0" fontId="10" fillId="0" borderId="0" xfId="0" applyFont="1" applyAlignment="1">
      <alignment wrapText="1"/>
    </xf>
    <xf numFmtId="2" fontId="16" fillId="0" borderId="0" xfId="3" applyNumberFormat="1" applyFont="1" applyAlignment="1">
      <alignment wrapText="1"/>
    </xf>
    <xf numFmtId="166" fontId="10" fillId="3" borderId="1" xfId="0" applyNumberFormat="1" applyFont="1" applyFill="1" applyBorder="1"/>
    <xf numFmtId="3" fontId="16" fillId="0" borderId="1" xfId="3" applyNumberFormat="1" applyFont="1" applyBorder="1" applyAlignment="1">
      <alignment horizontal="center"/>
    </xf>
    <xf numFmtId="3" fontId="29" fillId="0" borderId="0" xfId="3" applyNumberFormat="1" applyFont="1" applyAlignment="1">
      <alignment horizontal="left" vertical="center" wrapText="1"/>
    </xf>
    <xf numFmtId="0" fontId="10" fillId="0" borderId="0" xfId="0" applyFont="1" applyFill="1" applyAlignment="1">
      <alignment horizontal="left" vertical="center" wrapText="1"/>
    </xf>
    <xf numFmtId="0" fontId="8" fillId="0" borderId="0" xfId="1" applyFont="1" applyFill="1" applyAlignment="1">
      <alignment horizontal="right" wrapText="1"/>
    </xf>
    <xf numFmtId="0" fontId="7" fillId="0" borderId="0" xfId="1" applyFont="1" applyFill="1" applyAlignment="1">
      <alignment horizontal="center" vertical="center"/>
    </xf>
    <xf numFmtId="0" fontId="14" fillId="0" borderId="0" xfId="0" applyFont="1" applyFill="1" applyAlignment="1">
      <alignment horizontal="left" vertical="center" wrapText="1"/>
    </xf>
    <xf numFmtId="0" fontId="27" fillId="0" borderId="0" xfId="3" applyFont="1" applyAlignment="1">
      <alignment horizontal="center" vertical="center"/>
    </xf>
    <xf numFmtId="0" fontId="3" fillId="0" borderId="0" xfId="5" applyFont="1" applyAlignment="1">
      <alignment horizontal="left" wrapText="1"/>
    </xf>
    <xf numFmtId="0" fontId="16" fillId="0" borderId="0" xfId="3" applyFont="1" applyAlignment="1">
      <alignment horizontal="left" wrapText="1"/>
    </xf>
    <xf numFmtId="0" fontId="16" fillId="0" borderId="0" xfId="3" applyFont="1" applyAlignment="1">
      <alignment vertical="top" wrapText="1"/>
    </xf>
    <xf numFmtId="0" fontId="3" fillId="0" borderId="0" xfId="3" applyFont="1" applyAlignment="1">
      <alignment horizontal="left" wrapText="1"/>
    </xf>
    <xf numFmtId="0" fontId="27" fillId="0" borderId="0" xfId="3" applyFont="1" applyAlignment="1">
      <alignment horizontal="center" vertical="center" wrapText="1"/>
    </xf>
    <xf numFmtId="0" fontId="8" fillId="0" borderId="0" xfId="1" applyFont="1" applyFill="1" applyAlignment="1">
      <alignment horizontal="right" vertical="center" wrapText="1"/>
    </xf>
    <xf numFmtId="0" fontId="21" fillId="0" borderId="0" xfId="3" applyFont="1" applyAlignment="1">
      <alignment horizontal="center" vertical="center" wrapText="1"/>
    </xf>
    <xf numFmtId="2" fontId="16" fillId="0" borderId="0" xfId="3" applyNumberFormat="1" applyFont="1" applyAlignment="1">
      <alignment horizontal="left" wrapText="1"/>
    </xf>
    <xf numFmtId="0" fontId="16" fillId="0" borderId="0" xfId="1" applyFont="1" applyFill="1" applyAlignment="1">
      <alignment horizontal="right" vertical="center" wrapText="1"/>
    </xf>
    <xf numFmtId="0" fontId="7" fillId="0" borderId="0" xfId="0" applyFont="1" applyAlignment="1">
      <alignment horizontal="center" vertical="center"/>
    </xf>
    <xf numFmtId="0" fontId="16" fillId="0" borderId="0" xfId="10" applyFont="1" applyAlignment="1">
      <alignment horizontal="right" vertical="center" wrapText="1"/>
    </xf>
    <xf numFmtId="0" fontId="40" fillId="2" borderId="1" xfId="11" applyFont="1" applyFill="1" applyBorder="1" applyAlignment="1">
      <alignment horizontal="center" vertical="center" wrapText="1"/>
    </xf>
    <xf numFmtId="0" fontId="40" fillId="2" borderId="11" xfId="11" applyFont="1" applyFill="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40" fillId="0" borderId="1" xfId="11" applyFont="1" applyBorder="1" applyAlignment="1">
      <alignment horizontal="center" vertical="center" wrapText="1"/>
    </xf>
    <xf numFmtId="0" fontId="40" fillId="0" borderId="1" xfId="12" applyFont="1" applyBorder="1" applyAlignment="1">
      <alignment horizontal="center" vertical="center" wrapText="1"/>
    </xf>
    <xf numFmtId="0" fontId="4" fillId="0" borderId="1" xfId="0" applyFont="1" applyBorder="1" applyAlignment="1">
      <alignment horizontal="center" vertical="center" wrapText="1"/>
    </xf>
    <xf numFmtId="3" fontId="10" fillId="3" borderId="1" xfId="0" applyNumberFormat="1" applyFont="1" applyFill="1" applyBorder="1" applyAlignment="1">
      <alignment horizontal="center" vertical="center" wrapText="1"/>
    </xf>
    <xf numFmtId="0" fontId="41" fillId="2" borderId="1" xfId="11" applyFont="1" applyFill="1" applyBorder="1" applyAlignment="1">
      <alignment horizontal="center" vertical="center"/>
    </xf>
    <xf numFmtId="0" fontId="10" fillId="0" borderId="0" xfId="0" applyFont="1" applyAlignment="1">
      <alignment horizontal="right" wrapText="1"/>
    </xf>
    <xf numFmtId="0" fontId="10" fillId="0" borderId="13" xfId="0" applyFont="1" applyBorder="1" applyAlignment="1">
      <alignment horizontal="left" wrapText="1"/>
    </xf>
    <xf numFmtId="0" fontId="11" fillId="0" borderId="2" xfId="0" applyFont="1" applyBorder="1" applyAlignment="1">
      <alignment horizontal="left"/>
    </xf>
    <xf numFmtId="0" fontId="11" fillId="0" borderId="4" xfId="0" applyFont="1" applyBorder="1" applyAlignment="1">
      <alignment horizontal="left"/>
    </xf>
    <xf numFmtId="0" fontId="10" fillId="0" borderId="1" xfId="0" applyFont="1" applyBorder="1" applyAlignment="1">
      <alignment horizontal="left" wrapText="1"/>
    </xf>
    <xf numFmtId="0" fontId="11" fillId="0" borderId="1" xfId="0" applyFont="1" applyBorder="1" applyAlignment="1">
      <alignment horizontal="left" wrapText="1"/>
    </xf>
    <xf numFmtId="0" fontId="7" fillId="0" borderId="3" xfId="0" applyFont="1" applyBorder="1" applyAlignment="1">
      <alignment horizontal="center" vertical="center" wrapText="1"/>
    </xf>
  </cellXfs>
  <cellStyles count="13">
    <cellStyle name="Comma 6" xfId="9" xr:uid="{C515F236-E424-4B7E-8D04-581AE8534212}"/>
    <cellStyle name="Comma_R0001_veiktais_darbs_2009_UZŅEMŠANAS_NODAĻA" xfId="11" xr:uid="{E69DCFD5-31E9-416B-B0B1-E3667F694ABC}"/>
    <cellStyle name="Comma_R0019_darbs_uznemsanas_nodaļa_2009" xfId="12" xr:uid="{39672415-1547-4D34-A215-037964A68824}"/>
    <cellStyle name="Normal" xfId="0" builtinId="0"/>
    <cellStyle name="Normal 10 2 2" xfId="7" xr:uid="{A7BA830B-8531-4059-BA49-92DE8E8AB490}"/>
    <cellStyle name="Normal 10 7" xfId="5" xr:uid="{2A60899F-F5D7-4E22-9713-E74322589D5C}"/>
    <cellStyle name="Normal 2" xfId="2" xr:uid="{958291EC-2942-4C69-9547-215835FA0F7E}"/>
    <cellStyle name="Normal 3" xfId="3" xr:uid="{CA0EA376-27F0-40D6-8E62-C5EF61BF860F}"/>
    <cellStyle name="Normal 3 2" xfId="6" xr:uid="{6B433AB8-1D02-4D43-BD90-72B9B59D03CE}"/>
    <cellStyle name="Normal 3 3" xfId="8" xr:uid="{3CEFA469-CE99-414D-9AA3-68DCE5809173}"/>
    <cellStyle name="Normal 3 4" xfId="10" xr:uid="{72A48B15-094D-4D68-BDF6-6EA026A94375}"/>
    <cellStyle name="Normal 39 9" xfId="1" xr:uid="{652698C6-D760-4CBE-93D7-B7E1847A1748}"/>
    <cellStyle name="Normal 6" xfId="4" xr:uid="{F7D9C508-30C0-4143-9CF6-620AA23889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_redirect$\Documents%20and%20Settings\bd-adija\Local%20Settings\Temporary%20Internet%20Files\Content.Outlook\U63RD855\MK_izdev_samaz_2las_2009_31%2010%2008_arESI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nozare.pri\vm\Redirect_profiles\VM_Svetlana_Batare\My%20Documents\DARBA_faili_no%20majam\555_noteikumi\Jaun&#257;k&#257;s%20izmaksas%20Pusaud&#382;u%20centram%20(R&#299;ga%20un%20fili&#257;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Documents%20and%20Settings\Svetlana.Supulniece\Local%20Settings\Temporary%20Internet%20Files\Content.Outlook\J21U5MYL\LIC%20PP%20parrekins%20pec%202012%209m%20DB\LIC%20laboratorija\R0032%20-LIC%20darbs%20laboratorija%20citam%20ar%20palidz%20veidu%20AI%2031102012.xls?73E465BC" TargetMode="External"/><Relationship Id="rId1" Type="http://schemas.openxmlformats.org/officeDocument/2006/relationships/externalLinkPath" Target="file:///\\73E465BC\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mbulatoro_pakalpojumu_nodala\Planosana_2013\SAVA\P&#256;RPLANO&#352;ANA\parplanosana_9menesi\R0020%20-SAVA_izpilde_veiktais_darbs_09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bulatoro_pakalpojumu_nodala\Planosana_2012\SAVA\!_Grozijumi%202012.gada%20laikaa\Egija_Grozijumi%20ar%2001.10.2012_NEPIENEMTIE\Apaksas%20SAVA%20rikojum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mbulatoro_pakalpojumu_nodala\Planosana_2012\SAVA\!_Grozijumi%202012.gada%20laikaa\Egija_Grozijumi%20ar%2001.10.2012_NEPIENEMTIE\Apaksas%20SAVA%20rikojum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dris.skrastins\Desktop\Ivita\8_centralizeto_medikamentu_aprekin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bineta izmaksas 2021.gadam"/>
      <sheetName val="Sheet1"/>
    </sheetNames>
    <sheetDataSet>
      <sheetData sheetId="0">
        <row r="19">
          <cell r="F19">
            <v>5.5</v>
          </cell>
        </row>
        <row r="21">
          <cell r="F21">
            <v>0.5</v>
          </cell>
        </row>
        <row r="30">
          <cell r="F30">
            <v>3</v>
          </cell>
        </row>
        <row r="32">
          <cell r="F32">
            <v>0.5</v>
          </cell>
        </row>
        <row r="41">
          <cell r="F41">
            <v>2.5</v>
          </cell>
        </row>
        <row r="43">
          <cell r="F43">
            <v>0.5</v>
          </cell>
        </row>
        <row r="52">
          <cell r="F52">
            <v>2.5</v>
          </cell>
        </row>
        <row r="54">
          <cell r="F54">
            <v>0.5</v>
          </cell>
        </row>
        <row r="63">
          <cell r="F63">
            <v>2</v>
          </cell>
        </row>
        <row r="65">
          <cell r="F65">
            <v>0.5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Apvienota_DB"/>
      <sheetName val="Staru_terapija_1_9"/>
      <sheetName val="09"/>
      <sheetName val="08"/>
      <sheetName val="07"/>
      <sheetName val="06"/>
      <sheetName val="05"/>
      <sheetName val="04"/>
      <sheetName val="03"/>
      <sheetName val="02"/>
      <sheetName val="01"/>
      <sheetName val="Macro1"/>
      <sheetName val="PIVOT2"/>
      <sheetName val="greidots"/>
      <sheetName val="R0035.2"/>
      <sheetName val="GALA "/>
      <sheetName val="aprak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35">
          <cell r="A135" t="str">
            <v>Recover</v>
          </cell>
        </row>
      </sheetData>
      <sheetData sheetId="13" refreshError="1"/>
      <sheetData sheetId="14" refreshError="1"/>
      <sheetData sheetId="15">
        <row r="4">
          <cell r="G4" t="str">
            <v>010000495-AP025</v>
          </cell>
        </row>
      </sheetData>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2336E-BEAD-4DBF-8F8F-8AECE430F84F}">
  <dimension ref="A1:J19"/>
  <sheetViews>
    <sheetView showGridLines="0" tabSelected="1" zoomScale="80" zoomScaleNormal="80" workbookViewId="0">
      <pane ySplit="1" topLeftCell="A2" activePane="bottomLeft" state="frozen"/>
      <selection pane="bottomLeft" activeCell="B35" sqref="B35"/>
    </sheetView>
  </sheetViews>
  <sheetFormatPr defaultColWidth="11.5546875" defaultRowHeight="13.8" x14ac:dyDescent="0.25"/>
  <cols>
    <col min="1" max="1" width="51.109375" style="30" customWidth="1"/>
    <col min="2" max="2" width="18" style="30" customWidth="1"/>
    <col min="3" max="3" width="24.5546875" style="30" customWidth="1"/>
    <col min="4" max="4" width="12.88671875" style="30" customWidth="1"/>
    <col min="5" max="5" width="18.6640625" style="30" customWidth="1"/>
    <col min="6" max="6" width="16.88671875" style="30" customWidth="1"/>
    <col min="7" max="7" width="31.88671875" style="30" customWidth="1"/>
    <col min="8" max="8" width="32.88671875" style="30" customWidth="1"/>
    <col min="9" max="9" width="20.44140625" style="30" customWidth="1"/>
    <col min="10" max="16384" width="11.5546875" style="30"/>
  </cols>
  <sheetData>
    <row r="1" spans="1:10" ht="44.4" customHeight="1" x14ac:dyDescent="0.25">
      <c r="A1" s="198" t="s">
        <v>4</v>
      </c>
      <c r="B1" s="198"/>
      <c r="C1" s="198"/>
      <c r="D1" s="198"/>
      <c r="E1" s="198"/>
      <c r="F1" s="198"/>
      <c r="G1" s="198"/>
      <c r="H1" s="197" t="s">
        <v>3</v>
      </c>
      <c r="I1" s="197"/>
    </row>
    <row r="2" spans="1:10" ht="17.399999999999999" x14ac:dyDescent="0.3">
      <c r="A2" s="31"/>
    </row>
    <row r="3" spans="1:10" x14ac:dyDescent="0.25">
      <c r="A3" s="32"/>
      <c r="B3" s="33" t="s">
        <v>219</v>
      </c>
      <c r="C3" s="33" t="s">
        <v>2</v>
      </c>
      <c r="D3" s="33" t="s">
        <v>1</v>
      </c>
    </row>
    <row r="4" spans="1:10" ht="27.6" x14ac:dyDescent="0.25">
      <c r="A4" s="34" t="s">
        <v>5</v>
      </c>
      <c r="B4" s="144">
        <f>I7</f>
        <v>109389.60066400003</v>
      </c>
      <c r="C4" s="96">
        <v>109390</v>
      </c>
      <c r="D4" s="96">
        <v>109390</v>
      </c>
    </row>
    <row r="5" spans="1:10" ht="15.6" x14ac:dyDescent="0.3">
      <c r="A5" s="36"/>
    </row>
    <row r="6" spans="1:10" ht="69" x14ac:dyDescent="0.25">
      <c r="A6" s="37" t="s">
        <v>6</v>
      </c>
      <c r="B6" s="37" t="s">
        <v>232</v>
      </c>
      <c r="C6" s="37" t="s">
        <v>233</v>
      </c>
      <c r="D6" s="37" t="s">
        <v>235</v>
      </c>
      <c r="E6" s="37" t="s">
        <v>237</v>
      </c>
      <c r="F6" s="38" t="s">
        <v>239</v>
      </c>
      <c r="G6" s="38" t="s">
        <v>240</v>
      </c>
      <c r="H6" s="38" t="s">
        <v>0</v>
      </c>
      <c r="I6" s="37" t="s">
        <v>7</v>
      </c>
    </row>
    <row r="7" spans="1:10" x14ac:dyDescent="0.25">
      <c r="A7" s="39">
        <v>5.2</v>
      </c>
      <c r="B7" s="40">
        <v>5.39</v>
      </c>
      <c r="C7" s="35">
        <v>91167</v>
      </c>
      <c r="D7" s="35">
        <f>A7*C7</f>
        <v>474068.4</v>
      </c>
      <c r="E7" s="35">
        <f>133240*0.81174</f>
        <v>108156.23760000001</v>
      </c>
      <c r="F7" s="41">
        <f>B7*E7</f>
        <v>582962.12066400005</v>
      </c>
      <c r="G7" s="42">
        <v>92</v>
      </c>
      <c r="H7" s="43">
        <f>B7*G7</f>
        <v>495.88</v>
      </c>
      <c r="I7" s="95">
        <f>SUM(H7,F7)-D7</f>
        <v>109389.60066400003</v>
      </c>
      <c r="J7" s="44"/>
    </row>
    <row r="8" spans="1:10" x14ac:dyDescent="0.25">
      <c r="A8" s="175" t="s">
        <v>243</v>
      </c>
      <c r="B8" s="176"/>
      <c r="C8" s="174"/>
      <c r="D8" s="174"/>
      <c r="E8" s="174"/>
      <c r="F8" s="174"/>
      <c r="G8" s="177"/>
      <c r="H8" s="176"/>
      <c r="I8" s="174"/>
      <c r="J8" s="44"/>
    </row>
    <row r="9" spans="1:10" ht="29.25" customHeight="1" x14ac:dyDescent="0.25">
      <c r="A9" s="199" t="s">
        <v>234</v>
      </c>
      <c r="B9" s="199"/>
      <c r="C9" s="199"/>
      <c r="D9" s="199"/>
      <c r="E9" s="199"/>
      <c r="F9" s="199"/>
      <c r="G9" s="199"/>
      <c r="H9" s="199"/>
      <c r="I9" s="199"/>
    </row>
    <row r="10" spans="1:10" s="169" customFormat="1" x14ac:dyDescent="0.25">
      <c r="A10" s="199" t="s">
        <v>236</v>
      </c>
      <c r="B10" s="199"/>
      <c r="C10" s="199"/>
      <c r="D10" s="199"/>
      <c r="E10" s="199"/>
      <c r="F10" s="199"/>
      <c r="G10" s="199"/>
      <c r="H10" s="199"/>
      <c r="I10" s="199"/>
    </row>
    <row r="11" spans="1:10" x14ac:dyDescent="0.25">
      <c r="A11" s="178" t="s">
        <v>238</v>
      </c>
      <c r="B11" s="179"/>
      <c r="C11" s="180"/>
      <c r="D11" s="179"/>
      <c r="E11" s="180"/>
      <c r="F11" s="179"/>
      <c r="G11" s="179"/>
      <c r="H11" s="179"/>
      <c r="I11" s="181"/>
    </row>
    <row r="12" spans="1:10" s="170" customFormat="1" ht="29.25" customHeight="1" x14ac:dyDescent="0.25">
      <c r="A12" s="199" t="s">
        <v>242</v>
      </c>
      <c r="B12" s="199"/>
      <c r="C12" s="199"/>
      <c r="D12" s="199"/>
      <c r="E12" s="199"/>
      <c r="F12" s="199"/>
      <c r="G12" s="199"/>
      <c r="H12" s="199"/>
      <c r="I12" s="199"/>
    </row>
    <row r="13" spans="1:10" ht="29.25" customHeight="1" x14ac:dyDescent="0.25">
      <c r="A13" s="196" t="s">
        <v>241</v>
      </c>
      <c r="B13" s="196"/>
      <c r="C13" s="196"/>
      <c r="D13" s="196"/>
      <c r="E13" s="196"/>
      <c r="F13" s="196"/>
      <c r="G13" s="196"/>
      <c r="H13" s="196"/>
      <c r="I13" s="196"/>
    </row>
    <row r="14" spans="1:10" s="48" customFormat="1" ht="29.25" customHeight="1" x14ac:dyDescent="0.25">
      <c r="A14" s="30"/>
      <c r="B14" s="45"/>
      <c r="C14" s="46"/>
      <c r="D14" s="46"/>
      <c r="E14" s="46"/>
      <c r="F14" s="46"/>
      <c r="G14" s="46"/>
      <c r="H14" s="46"/>
      <c r="I14" s="47"/>
    </row>
    <row r="15" spans="1:10" s="48" customFormat="1" x14ac:dyDescent="0.25">
      <c r="A15" s="30"/>
      <c r="B15" s="30"/>
      <c r="C15" s="30"/>
      <c r="D15" s="30"/>
      <c r="E15" s="30"/>
      <c r="F15" s="30"/>
      <c r="G15" s="30"/>
      <c r="H15" s="30"/>
      <c r="I15" s="30"/>
    </row>
    <row r="16" spans="1:10" s="48" customFormat="1" x14ac:dyDescent="0.25">
      <c r="A16" s="30"/>
      <c r="B16" s="166"/>
      <c r="C16" s="30"/>
      <c r="D16" s="30"/>
      <c r="E16" s="30"/>
      <c r="F16" s="30"/>
      <c r="G16" s="30"/>
      <c r="H16" s="30"/>
      <c r="I16" s="30"/>
    </row>
    <row r="17" spans="1:9" s="48" customFormat="1" x14ac:dyDescent="0.25">
      <c r="A17" s="30"/>
      <c r="B17" s="166"/>
      <c r="C17" s="30"/>
      <c r="D17" s="30"/>
      <c r="E17" s="30"/>
      <c r="F17" s="30"/>
      <c r="G17" s="30"/>
      <c r="H17" s="30"/>
      <c r="I17" s="30"/>
    </row>
    <row r="18" spans="1:9" s="48" customFormat="1" x14ac:dyDescent="0.25">
      <c r="A18" s="30"/>
      <c r="B18" s="30"/>
      <c r="C18" s="30"/>
      <c r="D18" s="30"/>
      <c r="E18" s="30"/>
      <c r="F18" s="30"/>
      <c r="G18" s="30"/>
      <c r="H18" s="30"/>
      <c r="I18" s="30"/>
    </row>
    <row r="19" spans="1:9" s="48" customFormat="1" x14ac:dyDescent="0.25">
      <c r="A19" s="30"/>
      <c r="B19" s="30"/>
      <c r="C19" s="30"/>
      <c r="D19" s="30"/>
      <c r="E19" s="30"/>
      <c r="F19" s="30"/>
      <c r="G19" s="30"/>
      <c r="H19" s="30"/>
      <c r="I19" s="30"/>
    </row>
  </sheetData>
  <mergeCells count="6">
    <mergeCell ref="A13:I13"/>
    <mergeCell ref="H1:I1"/>
    <mergeCell ref="A1:G1"/>
    <mergeCell ref="A9:I9"/>
    <mergeCell ref="A10:I10"/>
    <mergeCell ref="A12:I12"/>
  </mergeCells>
  <pageMargins left="0.70866141732283472" right="0.70866141732283472"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F6326-DE3F-426D-9683-76DC88A62427}">
  <sheetPr>
    <pageSetUpPr fitToPage="1"/>
  </sheetPr>
  <dimension ref="A1:R11"/>
  <sheetViews>
    <sheetView topLeftCell="B1" zoomScaleNormal="100" workbookViewId="0">
      <selection activeCell="B15" sqref="B15"/>
    </sheetView>
  </sheetViews>
  <sheetFormatPr defaultColWidth="8.6640625" defaultRowHeight="14.4" x14ac:dyDescent="0.3"/>
  <cols>
    <col min="1" max="1" width="15" style="1" customWidth="1"/>
    <col min="2" max="2" width="40.44140625" style="1" customWidth="1"/>
    <col min="3" max="3" width="15.44140625" style="1" customWidth="1"/>
    <col min="4" max="4" width="13.5546875" style="1" customWidth="1"/>
    <col min="5" max="5" width="12.5546875" style="1" customWidth="1"/>
    <col min="6" max="6" width="14.44140625" style="1" customWidth="1"/>
    <col min="7" max="7" width="18.88671875" style="1" customWidth="1"/>
    <col min="8" max="8" width="17.33203125" style="1" customWidth="1"/>
    <col min="9" max="9" width="23.44140625" style="1" customWidth="1"/>
    <col min="10" max="10" width="11.5546875" style="1" customWidth="1"/>
    <col min="11" max="11" width="10.5546875" style="1" customWidth="1"/>
    <col min="12" max="12" width="13.33203125" style="1" customWidth="1"/>
    <col min="13" max="13" width="14.109375" style="1" customWidth="1"/>
    <col min="14" max="14" width="11.88671875" style="1" customWidth="1"/>
    <col min="15" max="15" width="10.109375" style="1" customWidth="1"/>
    <col min="16" max="16" width="12.44140625" style="1" customWidth="1"/>
    <col min="17" max="17" width="10.109375" style="1" bestFit="1" customWidth="1"/>
    <col min="18" max="16384" width="8.6640625" style="1"/>
  </cols>
  <sheetData>
    <row r="1" spans="1:18" ht="44.1" customHeight="1" x14ac:dyDescent="0.3">
      <c r="A1" s="200" t="s">
        <v>21</v>
      </c>
      <c r="B1" s="200"/>
      <c r="C1" s="200"/>
      <c r="D1" s="200"/>
      <c r="E1" s="200"/>
      <c r="F1" s="200"/>
      <c r="G1" s="200"/>
      <c r="H1" s="200"/>
      <c r="I1" s="200"/>
      <c r="J1" s="200"/>
      <c r="K1" s="200"/>
      <c r="L1" s="200"/>
      <c r="M1" s="197" t="s">
        <v>8</v>
      </c>
      <c r="N1" s="197"/>
      <c r="O1" s="197"/>
      <c r="P1" s="197"/>
      <c r="Q1" s="197"/>
      <c r="R1" s="27"/>
    </row>
    <row r="2" spans="1:18" ht="15.6" x14ac:dyDescent="0.3">
      <c r="A2" s="25"/>
      <c r="B2" s="25"/>
      <c r="C2" s="25"/>
      <c r="D2" s="25"/>
      <c r="E2" s="25"/>
      <c r="F2" s="25"/>
      <c r="G2" s="25"/>
      <c r="H2" s="25"/>
      <c r="I2" s="25"/>
      <c r="J2" s="25"/>
      <c r="K2" s="25"/>
      <c r="L2" s="25"/>
      <c r="M2" s="28"/>
      <c r="N2" s="26"/>
      <c r="O2" s="26"/>
      <c r="P2" s="26"/>
      <c r="Q2" s="26"/>
      <c r="R2" s="27"/>
    </row>
    <row r="3" spans="1:18" x14ac:dyDescent="0.3">
      <c r="B3" s="7" t="s">
        <v>22</v>
      </c>
      <c r="C3" s="2"/>
      <c r="D3" s="2"/>
      <c r="E3" s="2"/>
      <c r="F3" s="2"/>
      <c r="G3" s="2"/>
      <c r="H3" s="2"/>
      <c r="I3" s="2"/>
      <c r="J3" s="2"/>
      <c r="K3" s="2"/>
      <c r="L3" s="2"/>
      <c r="M3" s="29"/>
      <c r="N3" s="27"/>
      <c r="O3" s="27"/>
      <c r="P3" s="27"/>
      <c r="Q3" s="27"/>
      <c r="R3" s="27"/>
    </row>
    <row r="4" spans="1:18" x14ac:dyDescent="0.3">
      <c r="B4" s="2"/>
      <c r="C4" s="2"/>
      <c r="D4" s="2"/>
      <c r="E4" s="2">
        <v>189</v>
      </c>
      <c r="F4" s="8" t="s">
        <v>9</v>
      </c>
      <c r="G4" s="2"/>
      <c r="H4" s="2"/>
      <c r="I4" s="2">
        <v>252</v>
      </c>
      <c r="J4" s="8" t="s">
        <v>10</v>
      </c>
      <c r="K4" s="2"/>
      <c r="L4" s="2"/>
      <c r="M4" s="29"/>
      <c r="N4" s="27"/>
      <c r="O4" s="27"/>
      <c r="P4" s="27"/>
      <c r="Q4" s="27"/>
      <c r="R4" s="27"/>
    </row>
    <row r="5" spans="1:18" s="9" customFormat="1" ht="59.25" customHeight="1" x14ac:dyDescent="0.3">
      <c r="B5" s="10" t="s">
        <v>11</v>
      </c>
      <c r="C5" s="20" t="s">
        <v>12</v>
      </c>
      <c r="D5" s="20" t="s">
        <v>13</v>
      </c>
      <c r="E5" s="20" t="s">
        <v>14</v>
      </c>
      <c r="F5" s="20" t="s">
        <v>15</v>
      </c>
      <c r="G5" s="20" t="s">
        <v>16</v>
      </c>
      <c r="H5" s="20" t="s">
        <v>17</v>
      </c>
      <c r="I5" s="11"/>
      <c r="J5" s="11"/>
      <c r="K5" s="11"/>
      <c r="L5" s="11"/>
      <c r="M5" s="11"/>
      <c r="N5" s="11"/>
      <c r="O5" s="11"/>
    </row>
    <row r="6" spans="1:18" x14ac:dyDescent="0.3">
      <c r="B6" s="12" t="s">
        <v>18</v>
      </c>
      <c r="C6" s="21">
        <v>24.43</v>
      </c>
      <c r="D6" s="22">
        <v>75</v>
      </c>
      <c r="E6" s="22">
        <v>4</v>
      </c>
      <c r="F6" s="23">
        <f>D6*E6*E4</f>
        <v>56700</v>
      </c>
      <c r="G6" s="23">
        <f>F6*C6</f>
        <v>1385181</v>
      </c>
      <c r="H6" s="24">
        <f>C6*D6*E6*I4</f>
        <v>1846908</v>
      </c>
      <c r="I6" s="2"/>
      <c r="J6" s="2"/>
      <c r="K6" s="2"/>
      <c r="L6" s="2"/>
      <c r="M6" s="2"/>
      <c r="N6" s="2"/>
      <c r="O6" s="2"/>
    </row>
    <row r="7" spans="1:18" ht="42" x14ac:dyDescent="0.3">
      <c r="B7" s="13" t="s">
        <v>213</v>
      </c>
      <c r="C7" s="21">
        <v>28.188814000000001</v>
      </c>
      <c r="D7" s="22">
        <v>75</v>
      </c>
      <c r="E7" s="22">
        <v>1</v>
      </c>
      <c r="F7" s="23">
        <f>E7*D7*E4</f>
        <v>14175</v>
      </c>
      <c r="G7" s="23">
        <f>F7*C7</f>
        <v>399576.43845000002</v>
      </c>
      <c r="H7" s="24">
        <f>C7*D7*E7*I4</f>
        <v>532768.58460000006</v>
      </c>
      <c r="I7" s="2"/>
      <c r="J7" s="2"/>
      <c r="K7" s="2"/>
      <c r="L7" s="2"/>
      <c r="M7" s="2"/>
      <c r="N7" s="2"/>
      <c r="O7" s="2"/>
    </row>
    <row r="8" spans="1:18" x14ac:dyDescent="0.3">
      <c r="A8" s="14"/>
      <c r="B8" s="15" t="s">
        <v>19</v>
      </c>
      <c r="C8" s="14"/>
      <c r="D8" s="14"/>
      <c r="E8" s="14"/>
      <c r="G8" s="49">
        <f>ROUND((G6+G7),0)</f>
        <v>1784757</v>
      </c>
      <c r="H8" s="49">
        <f>ROUND((H6+H7),0)</f>
        <v>2379677</v>
      </c>
      <c r="I8" s="14"/>
      <c r="J8" s="14"/>
      <c r="K8" s="14"/>
      <c r="L8" s="14"/>
      <c r="M8" s="14"/>
      <c r="N8" s="14"/>
      <c r="O8" s="14"/>
      <c r="P8" s="14"/>
      <c r="Q8" s="14"/>
      <c r="R8" s="16"/>
    </row>
    <row r="9" spans="1:18" ht="63.75" customHeight="1" x14ac:dyDescent="0.3">
      <c r="A9" s="14"/>
      <c r="B9" s="201" t="s">
        <v>216</v>
      </c>
      <c r="C9" s="201"/>
      <c r="D9" s="201"/>
      <c r="E9" s="201"/>
      <c r="F9" s="201"/>
      <c r="G9" s="201"/>
      <c r="H9" s="201"/>
      <c r="I9" s="14"/>
      <c r="J9" s="14"/>
      <c r="K9" s="14"/>
      <c r="L9" s="14"/>
      <c r="M9" s="14"/>
      <c r="N9" s="14"/>
      <c r="O9" s="14"/>
      <c r="P9" s="14"/>
      <c r="Q9" s="14"/>
      <c r="R9" s="16"/>
    </row>
    <row r="10" spans="1:18" ht="24" customHeight="1" x14ac:dyDescent="0.3">
      <c r="A10" s="14"/>
      <c r="B10" s="17"/>
      <c r="C10" s="17"/>
      <c r="D10" s="17"/>
      <c r="E10" s="17"/>
      <c r="F10" s="17"/>
      <c r="G10" s="17"/>
      <c r="H10" s="17"/>
      <c r="I10" s="14"/>
      <c r="J10" s="14"/>
      <c r="K10" s="14"/>
      <c r="L10" s="14"/>
      <c r="M10" s="14"/>
      <c r="N10" s="14"/>
      <c r="O10" s="14"/>
      <c r="P10" s="14"/>
      <c r="Q10" s="14"/>
      <c r="R10" s="16"/>
    </row>
    <row r="11" spans="1:18" x14ac:dyDescent="0.3">
      <c r="B11" s="165"/>
    </row>
  </sheetData>
  <mergeCells count="3">
    <mergeCell ref="A1:L1"/>
    <mergeCell ref="M1:Q1"/>
    <mergeCell ref="B9:H9"/>
  </mergeCells>
  <pageMargins left="0.7" right="0.7" top="0.75" bottom="0.75" header="0.3" footer="0.3"/>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29AA3-2E4A-4C85-9AFE-B2EFD9AA6025}">
  <sheetPr>
    <pageSetUpPr fitToPage="1"/>
  </sheetPr>
  <dimension ref="A1:P39"/>
  <sheetViews>
    <sheetView zoomScale="90" zoomScaleNormal="90" workbookViewId="0">
      <selection activeCell="I24" sqref="I24"/>
    </sheetView>
  </sheetViews>
  <sheetFormatPr defaultColWidth="8.6640625" defaultRowHeight="14.4" x14ac:dyDescent="0.3"/>
  <cols>
    <col min="1" max="1" width="8.6640625" style="1" customWidth="1"/>
    <col min="2" max="2" width="44" style="1" customWidth="1"/>
    <col min="3" max="3" width="27.33203125" style="1" customWidth="1"/>
    <col min="4" max="4" width="25.33203125" style="1" customWidth="1"/>
    <col min="5" max="5" width="22.33203125" style="1" customWidth="1"/>
    <col min="6" max="6" width="24.88671875" style="1" customWidth="1"/>
    <col min="7" max="7" width="23.109375" style="1" customWidth="1"/>
    <col min="8" max="8" width="18.33203125" style="1" customWidth="1"/>
    <col min="9" max="9" width="34.6640625" style="1" customWidth="1"/>
    <col min="10" max="10" width="39.6640625" style="1" customWidth="1"/>
    <col min="11" max="16384" width="8.6640625" style="1"/>
  </cols>
  <sheetData>
    <row r="1" spans="1:11" ht="66.75" customHeight="1" x14ac:dyDescent="0.3">
      <c r="A1" s="205" t="s">
        <v>78</v>
      </c>
      <c r="B1" s="205"/>
      <c r="C1" s="205"/>
      <c r="D1" s="205"/>
      <c r="E1" s="205"/>
      <c r="F1" s="205"/>
      <c r="G1" s="205"/>
      <c r="H1" s="206" t="s">
        <v>20</v>
      </c>
      <c r="I1" s="206"/>
      <c r="K1" s="50"/>
    </row>
    <row r="2" spans="1:11" x14ac:dyDescent="0.3">
      <c r="A2" s="52"/>
      <c r="B2" s="53" t="s">
        <v>26</v>
      </c>
      <c r="C2" s="52"/>
      <c r="D2" s="52">
        <v>1</v>
      </c>
      <c r="E2" s="52"/>
      <c r="F2" s="52"/>
      <c r="H2" s="52"/>
      <c r="I2" s="52"/>
      <c r="J2" s="52"/>
    </row>
    <row r="3" spans="1:11" x14ac:dyDescent="0.3">
      <c r="A3" s="51"/>
      <c r="B3" s="53" t="s">
        <v>27</v>
      </c>
      <c r="C3" s="51"/>
      <c r="D3" s="51">
        <v>2</v>
      </c>
      <c r="E3" s="51"/>
      <c r="F3" s="51"/>
      <c r="H3" s="51"/>
      <c r="I3" s="51"/>
    </row>
    <row r="4" spans="1:11" x14ac:dyDescent="0.3">
      <c r="A4" s="51"/>
      <c r="B4" s="53"/>
      <c r="C4" s="51"/>
      <c r="D4" s="51"/>
      <c r="E4" s="51"/>
      <c r="F4" s="51"/>
      <c r="G4" s="51"/>
      <c r="H4" s="51"/>
      <c r="I4" s="51"/>
    </row>
    <row r="5" spans="1:11" ht="15.75" customHeight="1" x14ac:dyDescent="0.3">
      <c r="A5" s="51"/>
      <c r="B5" s="54" t="s">
        <v>28</v>
      </c>
      <c r="C5" s="54"/>
      <c r="D5" s="51"/>
      <c r="E5" s="51"/>
      <c r="F5" s="51"/>
      <c r="G5" s="51"/>
      <c r="H5" s="51"/>
      <c r="I5" s="51"/>
    </row>
    <row r="6" spans="1:11" ht="41.4" x14ac:dyDescent="0.3">
      <c r="A6" s="51"/>
      <c r="B6" s="55" t="s">
        <v>29</v>
      </c>
      <c r="C6" s="56" t="s">
        <v>30</v>
      </c>
      <c r="D6" s="51"/>
      <c r="E6" s="51"/>
      <c r="F6" s="51"/>
      <c r="G6" s="51"/>
      <c r="H6" s="51"/>
      <c r="I6" s="51"/>
    </row>
    <row r="7" spans="1:11" x14ac:dyDescent="0.3">
      <c r="A7" s="51"/>
      <c r="B7" s="93">
        <f>ROUND(H17+F26+E33,0)</f>
        <v>430862</v>
      </c>
      <c r="C7" s="93">
        <f>ROUND(I17+G26+F33,0)</f>
        <v>589017</v>
      </c>
      <c r="D7" s="51"/>
      <c r="E7" s="51"/>
      <c r="F7" s="51"/>
      <c r="G7" s="51"/>
      <c r="H7" s="51"/>
      <c r="I7" s="51"/>
    </row>
    <row r="8" spans="1:11" x14ac:dyDescent="0.3">
      <c r="A8" s="51"/>
      <c r="B8" s="194" t="s">
        <v>255</v>
      </c>
      <c r="C8" s="74"/>
      <c r="D8" s="51"/>
      <c r="E8" s="51"/>
      <c r="F8" s="51"/>
      <c r="G8" s="51"/>
      <c r="H8" s="51"/>
      <c r="I8" s="51"/>
    </row>
    <row r="9" spans="1:11" x14ac:dyDescent="0.3">
      <c r="A9" s="51"/>
      <c r="B9" s="93">
        <f>G17+E26+E33</f>
        <v>294559.58400000003</v>
      </c>
      <c r="C9" s="74"/>
      <c r="D9" s="195"/>
      <c r="E9" s="51"/>
      <c r="F9" s="51"/>
      <c r="G9" s="51"/>
      <c r="H9" s="51"/>
      <c r="I9" s="51"/>
    </row>
    <row r="10" spans="1:11" x14ac:dyDescent="0.3">
      <c r="A10" s="51"/>
      <c r="B10" s="53"/>
      <c r="C10" s="51"/>
      <c r="D10" s="51"/>
      <c r="E10" s="51"/>
      <c r="F10" s="51"/>
      <c r="G10" s="51"/>
      <c r="H10" s="51"/>
      <c r="I10" s="51"/>
    </row>
    <row r="11" spans="1:11" s="9" customFormat="1" ht="15.6" x14ac:dyDescent="0.3">
      <c r="A11" s="57" t="s">
        <v>31</v>
      </c>
      <c r="B11" s="57"/>
      <c r="C11" s="57"/>
      <c r="D11" s="57"/>
      <c r="E11" s="57"/>
      <c r="F11" s="58"/>
      <c r="G11" s="1"/>
      <c r="H11" s="1"/>
    </row>
    <row r="12" spans="1:11" s="9" customFormat="1" ht="64.5" customHeight="1" x14ac:dyDescent="0.3">
      <c r="A12" s="59" t="s">
        <v>32</v>
      </c>
      <c r="B12" s="59" t="s">
        <v>23</v>
      </c>
      <c r="C12" s="60" t="s">
        <v>33</v>
      </c>
      <c r="D12" s="60" t="s">
        <v>34</v>
      </c>
      <c r="E12" s="55" t="s">
        <v>35</v>
      </c>
      <c r="F12" s="55" t="s">
        <v>36</v>
      </c>
      <c r="G12" s="55" t="s">
        <v>37</v>
      </c>
      <c r="H12" s="55" t="s">
        <v>38</v>
      </c>
      <c r="I12" s="55" t="s">
        <v>39</v>
      </c>
    </row>
    <row r="13" spans="1:11" x14ac:dyDescent="0.3">
      <c r="A13" s="61">
        <v>1.1000000000000001</v>
      </c>
      <c r="B13" s="62" t="s">
        <v>40</v>
      </c>
      <c r="C13" s="63">
        <v>3</v>
      </c>
      <c r="D13" s="64">
        <v>2497</v>
      </c>
      <c r="E13" s="64">
        <f>C13*D13</f>
        <v>7491</v>
      </c>
      <c r="F13" s="64">
        <f>E13*5</f>
        <v>37455</v>
      </c>
      <c r="G13" s="64">
        <f>E13*6</f>
        <v>44946</v>
      </c>
      <c r="H13" s="24">
        <f>F13+G13</f>
        <v>82401</v>
      </c>
      <c r="I13" s="24">
        <f>G13*2</f>
        <v>89892</v>
      </c>
    </row>
    <row r="14" spans="1:11" x14ac:dyDescent="0.3">
      <c r="A14" s="61" t="s">
        <v>41</v>
      </c>
      <c r="B14" s="65" t="s">
        <v>42</v>
      </c>
      <c r="C14" s="63">
        <v>9.3000000000000007</v>
      </c>
      <c r="D14" s="64">
        <v>1630.74</v>
      </c>
      <c r="E14" s="64">
        <f>D14*C14</f>
        <v>15165.882000000001</v>
      </c>
      <c r="F14" s="64">
        <f t="shared" ref="F14:F16" si="0">E14*5</f>
        <v>75829.41</v>
      </c>
      <c r="G14" s="64">
        <f>E14*6*$D$3</f>
        <v>181990.58400000003</v>
      </c>
      <c r="H14" s="24">
        <f t="shared" ref="H14:H16" si="1">F14+G14</f>
        <v>257819.99400000004</v>
      </c>
      <c r="I14" s="24">
        <f t="shared" ref="I14:I16" si="2">G14*2</f>
        <v>363981.16800000006</v>
      </c>
    </row>
    <row r="15" spans="1:11" x14ac:dyDescent="0.3">
      <c r="A15" s="61" t="s">
        <v>43</v>
      </c>
      <c r="B15" s="62" t="s">
        <v>44</v>
      </c>
      <c r="C15" s="63">
        <v>1</v>
      </c>
      <c r="D15" s="64">
        <v>1708</v>
      </c>
      <c r="E15" s="64">
        <f>D15*C15</f>
        <v>1708</v>
      </c>
      <c r="F15" s="64">
        <f t="shared" si="0"/>
        <v>8540</v>
      </c>
      <c r="G15" s="64">
        <f>E15*6</f>
        <v>10248</v>
      </c>
      <c r="H15" s="24">
        <f t="shared" si="1"/>
        <v>18788</v>
      </c>
      <c r="I15" s="24">
        <f t="shared" si="2"/>
        <v>20496</v>
      </c>
    </row>
    <row r="16" spans="1:11" x14ac:dyDescent="0.3">
      <c r="A16" s="61" t="s">
        <v>45</v>
      </c>
      <c r="B16" s="65" t="s">
        <v>46</v>
      </c>
      <c r="C16" s="63">
        <v>0.5</v>
      </c>
      <c r="D16" s="64">
        <v>1350</v>
      </c>
      <c r="E16" s="64">
        <f>D16*C16</f>
        <v>675</v>
      </c>
      <c r="F16" s="64">
        <f t="shared" si="0"/>
        <v>3375</v>
      </c>
      <c r="G16" s="64">
        <f>E16*6</f>
        <v>4050</v>
      </c>
      <c r="H16" s="24">
        <f t="shared" si="1"/>
        <v>7425</v>
      </c>
      <c r="I16" s="24">
        <f t="shared" si="2"/>
        <v>8100</v>
      </c>
    </row>
    <row r="17" spans="1:16" x14ac:dyDescent="0.3">
      <c r="A17" s="66"/>
      <c r="B17" s="67"/>
      <c r="C17" s="68">
        <f>C14/2</f>
        <v>4.6500000000000004</v>
      </c>
      <c r="D17" s="69" t="s">
        <v>47</v>
      </c>
      <c r="E17" s="70">
        <f>E13+E14+E15+E16</f>
        <v>25039.882000000001</v>
      </c>
      <c r="F17" s="70">
        <f>F13+F14+F15+F16</f>
        <v>125199.41</v>
      </c>
      <c r="G17" s="71">
        <f>G13+G14+G15+G16</f>
        <v>241234.58400000003</v>
      </c>
      <c r="H17" s="94">
        <f>ROUND(H13+H14+H15+H16,0)</f>
        <v>366434</v>
      </c>
      <c r="I17" s="94">
        <f>ROUND(I13+I14+I15+I16,0)</f>
        <v>482469</v>
      </c>
    </row>
    <row r="18" spans="1:16" ht="15.6" x14ac:dyDescent="0.3">
      <c r="A18" s="57" t="s">
        <v>48</v>
      </c>
      <c r="B18" s="57"/>
      <c r="C18" s="57"/>
      <c r="D18" s="57"/>
      <c r="E18" s="57"/>
      <c r="F18" s="72"/>
      <c r="N18" s="73"/>
      <c r="O18" s="73"/>
      <c r="P18" s="74"/>
    </row>
    <row r="19" spans="1:16" ht="57.75" customHeight="1" x14ac:dyDescent="0.3">
      <c r="A19" s="75" t="s">
        <v>32</v>
      </c>
      <c r="B19" s="75" t="s">
        <v>23</v>
      </c>
      <c r="C19" s="55" t="s">
        <v>35</v>
      </c>
      <c r="D19" s="55" t="s">
        <v>36</v>
      </c>
      <c r="E19" s="55" t="s">
        <v>37</v>
      </c>
      <c r="F19" s="76" t="s">
        <v>38</v>
      </c>
      <c r="G19" s="55" t="s">
        <v>39</v>
      </c>
      <c r="H19" s="77"/>
      <c r="M19" s="73"/>
      <c r="N19" s="73"/>
      <c r="O19" s="74"/>
    </row>
    <row r="20" spans="1:16" x14ac:dyDescent="0.3">
      <c r="A20" s="78" t="s">
        <v>49</v>
      </c>
      <c r="B20" s="79" t="s">
        <v>50</v>
      </c>
      <c r="C20" s="64">
        <v>300</v>
      </c>
      <c r="D20" s="80">
        <f>C20*5</f>
        <v>1500</v>
      </c>
      <c r="E20" s="64">
        <f>C20*6*$D$3</f>
        <v>3600</v>
      </c>
      <c r="F20" s="81">
        <f>D20+E20</f>
        <v>5100</v>
      </c>
      <c r="G20" s="64">
        <f>E20*2</f>
        <v>7200</v>
      </c>
      <c r="H20" s="82"/>
      <c r="M20" s="73"/>
      <c r="N20" s="73"/>
      <c r="O20" s="74"/>
    </row>
    <row r="21" spans="1:16" x14ac:dyDescent="0.3">
      <c r="A21" s="78" t="s">
        <v>51</v>
      </c>
      <c r="B21" s="79" t="s">
        <v>52</v>
      </c>
      <c r="C21" s="64">
        <v>20.5</v>
      </c>
      <c r="D21" s="80">
        <f>C21*5</f>
        <v>102.5</v>
      </c>
      <c r="E21" s="64">
        <f>C21*6*$D$3</f>
        <v>246</v>
      </c>
      <c r="F21" s="64">
        <f t="shared" ref="F21:F25" si="3">D21+E21</f>
        <v>348.5</v>
      </c>
      <c r="G21" s="64">
        <f t="shared" ref="G21:G24" si="4">E21*2</f>
        <v>492</v>
      </c>
      <c r="H21" s="82"/>
      <c r="M21" s="73"/>
      <c r="N21" s="73"/>
      <c r="O21" s="74"/>
    </row>
    <row r="22" spans="1:16" ht="15.6" x14ac:dyDescent="0.3">
      <c r="A22" s="78" t="s">
        <v>53</v>
      </c>
      <c r="B22" s="79" t="s">
        <v>54</v>
      </c>
      <c r="C22" s="64">
        <v>150</v>
      </c>
      <c r="D22" s="80">
        <f>C22*5</f>
        <v>750</v>
      </c>
      <c r="E22" s="64">
        <f>C22*6*$D$3</f>
        <v>1800</v>
      </c>
      <c r="F22" s="64">
        <f t="shared" si="3"/>
        <v>2550</v>
      </c>
      <c r="G22" s="64">
        <f t="shared" si="4"/>
        <v>3600</v>
      </c>
      <c r="H22" s="82"/>
      <c r="J22" s="58"/>
      <c r="M22" s="73"/>
      <c r="N22" s="73"/>
      <c r="O22" s="74"/>
    </row>
    <row r="23" spans="1:16" ht="15.6" x14ac:dyDescent="0.3">
      <c r="A23" s="78" t="s">
        <v>55</v>
      </c>
      <c r="B23" s="79" t="s">
        <v>56</v>
      </c>
      <c r="C23" s="64">
        <v>2000</v>
      </c>
      <c r="D23" s="64">
        <f>C23</f>
        <v>2000</v>
      </c>
      <c r="E23" s="64">
        <v>0</v>
      </c>
      <c r="F23" s="64">
        <f t="shared" si="3"/>
        <v>2000</v>
      </c>
      <c r="G23" s="64">
        <f t="shared" si="4"/>
        <v>0</v>
      </c>
      <c r="H23" s="82"/>
      <c r="J23" s="58"/>
      <c r="M23" s="73"/>
      <c r="N23" s="73"/>
      <c r="O23" s="74"/>
    </row>
    <row r="24" spans="1:16" ht="15.6" x14ac:dyDescent="0.3">
      <c r="A24" s="78" t="s">
        <v>57</v>
      </c>
      <c r="B24" s="79" t="s">
        <v>58</v>
      </c>
      <c r="C24" s="64">
        <v>350</v>
      </c>
      <c r="D24" s="80">
        <f>C24*5</f>
        <v>1750</v>
      </c>
      <c r="E24" s="64">
        <f>C24*6</f>
        <v>2100</v>
      </c>
      <c r="F24" s="64">
        <f t="shared" si="3"/>
        <v>3850</v>
      </c>
      <c r="G24" s="64">
        <f t="shared" si="4"/>
        <v>4200</v>
      </c>
      <c r="H24" s="82"/>
      <c r="J24" s="58"/>
      <c r="M24" s="73"/>
      <c r="N24" s="73"/>
      <c r="O24" s="74"/>
    </row>
    <row r="25" spans="1:16" ht="28.2" x14ac:dyDescent="0.3">
      <c r="A25" s="78" t="s">
        <v>59</v>
      </c>
      <c r="B25" s="79" t="s">
        <v>60</v>
      </c>
      <c r="C25" s="64">
        <v>1000</v>
      </c>
      <c r="D25" s="80">
        <f>C25*5</f>
        <v>5000</v>
      </c>
      <c r="E25" s="64">
        <f>C25*6</f>
        <v>6000</v>
      </c>
      <c r="F25" s="64">
        <f t="shared" si="3"/>
        <v>11000</v>
      </c>
      <c r="G25" s="64">
        <f>E25*2</f>
        <v>12000</v>
      </c>
      <c r="H25" s="82"/>
      <c r="J25" s="58"/>
      <c r="M25" s="73"/>
      <c r="N25" s="73"/>
      <c r="O25" s="74"/>
    </row>
    <row r="26" spans="1:16" ht="15.6" x14ac:dyDescent="0.3">
      <c r="A26" s="83"/>
      <c r="B26" s="84"/>
      <c r="C26" s="69" t="s">
        <v>47</v>
      </c>
      <c r="D26" s="70">
        <f>D20+D21+D22+D23+D24+D25</f>
        <v>11102.5</v>
      </c>
      <c r="E26" s="71">
        <f>E20+E21+E22+E23+E24+E25</f>
        <v>13746</v>
      </c>
      <c r="F26" s="94">
        <f>ROUND(F20+F21+F22+F23+F24+F25,0)</f>
        <v>24849</v>
      </c>
      <c r="G26" s="94">
        <f>ROUND(G20+G21+G22+G23+G24+G25,0)</f>
        <v>27492</v>
      </c>
      <c r="H26" s="85"/>
      <c r="J26" s="58"/>
    </row>
    <row r="27" spans="1:16" ht="15.6" x14ac:dyDescent="0.3">
      <c r="A27" s="57" t="s">
        <v>61</v>
      </c>
      <c r="B27" s="57"/>
      <c r="C27" s="57"/>
      <c r="D27" s="57"/>
      <c r="E27" s="57"/>
      <c r="F27" s="72"/>
      <c r="H27" s="85"/>
      <c r="J27" s="58"/>
    </row>
    <row r="28" spans="1:16" ht="55.2" x14ac:dyDescent="0.3">
      <c r="A28" s="75" t="s">
        <v>32</v>
      </c>
      <c r="B28" s="75" t="s">
        <v>23</v>
      </c>
      <c r="C28" s="75" t="s">
        <v>62</v>
      </c>
      <c r="D28" s="55" t="s">
        <v>35</v>
      </c>
      <c r="E28" s="55" t="s">
        <v>37</v>
      </c>
      <c r="F28" s="55" t="s">
        <v>39</v>
      </c>
      <c r="G28" s="85"/>
      <c r="I28" s="58"/>
    </row>
    <row r="29" spans="1:16" ht="15.6" x14ac:dyDescent="0.3">
      <c r="A29" s="86" t="s">
        <v>63</v>
      </c>
      <c r="B29" s="87" t="s">
        <v>64</v>
      </c>
      <c r="C29" s="61" t="s">
        <v>65</v>
      </c>
      <c r="D29" s="88">
        <f>ROUND(42.2*1.21,0)</f>
        <v>51</v>
      </c>
      <c r="E29" s="64">
        <f>D29</f>
        <v>51</v>
      </c>
      <c r="F29" s="64">
        <v>0</v>
      </c>
      <c r="G29" s="85"/>
      <c r="I29" s="58"/>
    </row>
    <row r="30" spans="1:16" ht="15.6" x14ac:dyDescent="0.3">
      <c r="A30" s="86" t="s">
        <v>66</v>
      </c>
      <c r="B30" s="87" t="s">
        <v>67</v>
      </c>
      <c r="C30" s="61" t="s">
        <v>68</v>
      </c>
      <c r="D30" s="89">
        <f>ROUND(14.23*1.21,0)</f>
        <v>17</v>
      </c>
      <c r="E30" s="64">
        <f>D30*6</f>
        <v>102</v>
      </c>
      <c r="F30" s="64">
        <f t="shared" ref="F30:F32" si="5">E30*2</f>
        <v>204</v>
      </c>
      <c r="G30" s="85"/>
      <c r="I30" s="58"/>
    </row>
    <row r="31" spans="1:16" ht="96.6" x14ac:dyDescent="0.3">
      <c r="A31" s="86" t="s">
        <v>69</v>
      </c>
      <c r="B31" s="87" t="s">
        <v>70</v>
      </c>
      <c r="C31" s="90" t="s">
        <v>71</v>
      </c>
      <c r="D31" s="64">
        <f>ROUND(0.1326*1.21*40800,0)</f>
        <v>6546</v>
      </c>
      <c r="E31" s="64">
        <f>D31*6</f>
        <v>39276</v>
      </c>
      <c r="F31" s="64">
        <f t="shared" si="5"/>
        <v>78552</v>
      </c>
      <c r="G31" s="85"/>
      <c r="I31" s="58"/>
    </row>
    <row r="32" spans="1:16" ht="15.6" x14ac:dyDescent="0.3">
      <c r="A32" s="86" t="s">
        <v>72</v>
      </c>
      <c r="B32" s="87" t="s">
        <v>73</v>
      </c>
      <c r="C32" s="90"/>
      <c r="D32" s="64">
        <v>25</v>
      </c>
      <c r="E32" s="64">
        <f>D32*6</f>
        <v>150</v>
      </c>
      <c r="F32" s="64">
        <f t="shared" si="5"/>
        <v>300</v>
      </c>
      <c r="G32" s="85"/>
      <c r="I32" s="58"/>
    </row>
    <row r="33" spans="1:10" ht="15.6" x14ac:dyDescent="0.3">
      <c r="A33" s="83"/>
      <c r="B33" s="84"/>
      <c r="C33" s="84"/>
      <c r="D33" s="69" t="s">
        <v>47</v>
      </c>
      <c r="E33" s="94">
        <f>ROUND(SUM(E29:E32),0)</f>
        <v>39579</v>
      </c>
      <c r="F33" s="94">
        <f>ROUND(SUM(F29:F32),0)</f>
        <v>79056</v>
      </c>
      <c r="G33" s="85"/>
      <c r="I33" s="58"/>
    </row>
    <row r="34" spans="1:10" ht="15.6" x14ac:dyDescent="0.3">
      <c r="A34" s="8"/>
      <c r="B34" s="85"/>
      <c r="C34" s="85"/>
      <c r="D34" s="91"/>
      <c r="E34" s="85"/>
      <c r="F34" s="85"/>
      <c r="G34" s="85"/>
      <c r="H34" s="85"/>
      <c r="J34" s="58"/>
    </row>
    <row r="35" spans="1:10" ht="75" customHeight="1" x14ac:dyDescent="0.3">
      <c r="A35" s="202" t="s">
        <v>74</v>
      </c>
      <c r="B35" s="202"/>
      <c r="C35" s="202"/>
      <c r="D35" s="202"/>
      <c r="E35" s="202"/>
      <c r="F35" s="202"/>
      <c r="G35" s="202"/>
    </row>
    <row r="36" spans="1:10" x14ac:dyDescent="0.3">
      <c r="A36" s="18" t="s">
        <v>75</v>
      </c>
    </row>
    <row r="37" spans="1:10" ht="51.75" customHeight="1" x14ac:dyDescent="0.3">
      <c r="A37" s="203" t="s">
        <v>76</v>
      </c>
      <c r="B37" s="203"/>
      <c r="C37" s="203"/>
      <c r="D37" s="203"/>
      <c r="E37" s="203"/>
      <c r="F37" s="203"/>
      <c r="G37" s="203"/>
    </row>
    <row r="38" spans="1:10" ht="30.75" customHeight="1" x14ac:dyDescent="0.3">
      <c r="A38" s="204" t="s">
        <v>77</v>
      </c>
      <c r="B38" s="204"/>
      <c r="C38" s="204"/>
      <c r="D38" s="204"/>
      <c r="E38" s="204"/>
      <c r="F38" s="204"/>
      <c r="G38" s="204"/>
      <c r="H38" s="92"/>
      <c r="J38" s="58"/>
    </row>
    <row r="39" spans="1:10" x14ac:dyDescent="0.3">
      <c r="A39" s="18"/>
    </row>
  </sheetData>
  <mergeCells count="5">
    <mergeCell ref="A35:G35"/>
    <mergeCell ref="A37:G37"/>
    <mergeCell ref="A38:G38"/>
    <mergeCell ref="A1:G1"/>
    <mergeCell ref="H1:I1"/>
  </mergeCells>
  <pageMargins left="0.7" right="0.7" top="0.75" bottom="0.75" header="0.3" footer="0.3"/>
  <pageSetup paperSize="9" scale="4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F8AA7-0421-4733-95B0-85220FFE6975}">
  <sheetPr>
    <pageSetUpPr fitToPage="1"/>
  </sheetPr>
  <dimension ref="A1:O45"/>
  <sheetViews>
    <sheetView zoomScale="90" zoomScaleNormal="90" workbookViewId="0">
      <selection activeCell="G5" sqref="G5"/>
    </sheetView>
  </sheetViews>
  <sheetFormatPr defaultColWidth="8.6640625" defaultRowHeight="13.8" x14ac:dyDescent="0.25"/>
  <cols>
    <col min="1" max="1" width="10.44140625" style="18" customWidth="1"/>
    <col min="2" max="2" width="42.88671875" style="18" customWidth="1"/>
    <col min="3" max="3" width="21.44140625" style="18" customWidth="1"/>
    <col min="4" max="4" width="8.6640625" style="18" customWidth="1"/>
    <col min="5" max="5" width="8.6640625" style="18"/>
    <col min="6" max="6" width="9" style="18" customWidth="1"/>
    <col min="7" max="7" width="16.5546875" style="18" customWidth="1"/>
    <col min="8" max="8" width="15.88671875" style="18" bestFit="1" customWidth="1"/>
    <col min="9" max="9" width="49.44140625" style="18" customWidth="1"/>
    <col min="10" max="10" width="10.44140625" style="18" customWidth="1"/>
    <col min="11" max="11" width="42.44140625" style="18" customWidth="1"/>
    <col min="12" max="12" width="11.33203125" style="18" customWidth="1"/>
    <col min="13" max="16384" width="8.6640625" style="18"/>
  </cols>
  <sheetData>
    <row r="1" spans="1:11" ht="63.6" customHeight="1" x14ac:dyDescent="0.3">
      <c r="A1" s="207" t="s">
        <v>134</v>
      </c>
      <c r="B1" s="207"/>
      <c r="C1" s="207"/>
      <c r="D1" s="207"/>
      <c r="E1" s="207"/>
      <c r="F1" s="207"/>
      <c r="G1" s="207"/>
      <c r="H1" s="207"/>
      <c r="I1" s="26" t="s">
        <v>24</v>
      </c>
      <c r="K1" s="97"/>
    </row>
    <row r="2" spans="1:11" s="3" customFormat="1" ht="15.6" x14ac:dyDescent="0.3">
      <c r="B2" s="19"/>
      <c r="C2" s="6"/>
      <c r="D2" s="6"/>
      <c r="E2" s="6"/>
      <c r="F2" s="6"/>
      <c r="G2" s="5"/>
      <c r="H2" s="5"/>
      <c r="I2" s="5"/>
    </row>
    <row r="3" spans="1:11" ht="20.25" customHeight="1" x14ac:dyDescent="0.25">
      <c r="B3" s="117" t="s">
        <v>79</v>
      </c>
      <c r="D3" s="18">
        <f>ROUND(((1800+1950+1800)/3),2)</f>
        <v>1850</v>
      </c>
      <c r="E3" s="18">
        <v>0.2359</v>
      </c>
    </row>
    <row r="4" spans="1:11" s="100" customFormat="1" ht="57" customHeight="1" x14ac:dyDescent="0.25">
      <c r="A4" s="98" t="s">
        <v>80</v>
      </c>
      <c r="B4" s="98" t="s">
        <v>81</v>
      </c>
      <c r="C4" s="99" t="s">
        <v>82</v>
      </c>
      <c r="D4" s="98" t="s">
        <v>83</v>
      </c>
      <c r="E4" s="98" t="s">
        <v>84</v>
      </c>
      <c r="F4" s="98" t="s">
        <v>85</v>
      </c>
      <c r="G4" s="116" t="s">
        <v>86</v>
      </c>
      <c r="H4" s="98" t="s">
        <v>17</v>
      </c>
    </row>
    <row r="5" spans="1:11" ht="24.75" customHeight="1" x14ac:dyDescent="0.25">
      <c r="A5" s="101" t="s">
        <v>87</v>
      </c>
      <c r="B5" s="102" t="s">
        <v>88</v>
      </c>
      <c r="C5" s="103">
        <v>1</v>
      </c>
      <c r="D5" s="104">
        <f t="shared" ref="D5:D43" si="0">C5*$D$3</f>
        <v>1850</v>
      </c>
      <c r="E5" s="104">
        <f>ROUND((D5*$E$3),2)</f>
        <v>436.42</v>
      </c>
      <c r="F5" s="105">
        <f>ROUND((D5+E5),0)</f>
        <v>2286</v>
      </c>
      <c r="G5" s="106">
        <f>F5*7</f>
        <v>16002</v>
      </c>
      <c r="H5" s="107">
        <f>F5*12</f>
        <v>27432</v>
      </c>
    </row>
    <row r="6" spans="1:11" ht="29.25" customHeight="1" x14ac:dyDescent="0.25">
      <c r="A6" s="101" t="s">
        <v>87</v>
      </c>
      <c r="B6" s="102" t="s">
        <v>89</v>
      </c>
      <c r="C6" s="103">
        <v>1</v>
      </c>
      <c r="D6" s="104">
        <f t="shared" si="0"/>
        <v>1850</v>
      </c>
      <c r="E6" s="104">
        <f t="shared" ref="E6:E43" si="1">ROUND((D6*$E$3),2)</f>
        <v>436.42</v>
      </c>
      <c r="F6" s="105">
        <f t="shared" ref="F6:F43" si="2">ROUND((D6+E6),0)</f>
        <v>2286</v>
      </c>
      <c r="G6" s="106">
        <f t="shared" ref="G6:G43" si="3">F6*7</f>
        <v>16002</v>
      </c>
      <c r="H6" s="107">
        <f t="shared" ref="H6:H43" si="4">F6*12</f>
        <v>27432</v>
      </c>
    </row>
    <row r="7" spans="1:11" x14ac:dyDescent="0.25">
      <c r="A7" s="101" t="s">
        <v>87</v>
      </c>
      <c r="B7" s="102" t="s">
        <v>90</v>
      </c>
      <c r="C7" s="103">
        <v>1</v>
      </c>
      <c r="D7" s="104">
        <f t="shared" si="0"/>
        <v>1850</v>
      </c>
      <c r="E7" s="104">
        <f t="shared" si="1"/>
        <v>436.42</v>
      </c>
      <c r="F7" s="105">
        <f t="shared" si="2"/>
        <v>2286</v>
      </c>
      <c r="G7" s="106">
        <f t="shared" si="3"/>
        <v>16002</v>
      </c>
      <c r="H7" s="107">
        <f t="shared" si="4"/>
        <v>27432</v>
      </c>
    </row>
    <row r="8" spans="1:11" x14ac:dyDescent="0.25">
      <c r="A8" s="108" t="s">
        <v>91</v>
      </c>
      <c r="B8" s="102" t="s">
        <v>92</v>
      </c>
      <c r="C8" s="103">
        <v>1</v>
      </c>
      <c r="D8" s="104">
        <f t="shared" si="0"/>
        <v>1850</v>
      </c>
      <c r="E8" s="104">
        <f t="shared" si="1"/>
        <v>436.42</v>
      </c>
      <c r="F8" s="105">
        <f t="shared" si="2"/>
        <v>2286</v>
      </c>
      <c r="G8" s="106">
        <f t="shared" si="3"/>
        <v>16002</v>
      </c>
      <c r="H8" s="107">
        <f t="shared" si="4"/>
        <v>27432</v>
      </c>
    </row>
    <row r="9" spans="1:11" x14ac:dyDescent="0.25">
      <c r="A9" s="108" t="s">
        <v>91</v>
      </c>
      <c r="B9" s="102" t="s">
        <v>93</v>
      </c>
      <c r="C9" s="103">
        <v>1</v>
      </c>
      <c r="D9" s="104">
        <f t="shared" si="0"/>
        <v>1850</v>
      </c>
      <c r="E9" s="104">
        <f t="shared" si="1"/>
        <v>436.42</v>
      </c>
      <c r="F9" s="105">
        <f t="shared" si="2"/>
        <v>2286</v>
      </c>
      <c r="G9" s="106">
        <f t="shared" si="3"/>
        <v>16002</v>
      </c>
      <c r="H9" s="107">
        <f t="shared" si="4"/>
        <v>27432</v>
      </c>
    </row>
    <row r="10" spans="1:11" x14ac:dyDescent="0.25">
      <c r="A10" s="108" t="s">
        <v>91</v>
      </c>
      <c r="B10" s="109" t="s">
        <v>94</v>
      </c>
      <c r="C10" s="103">
        <v>1</v>
      </c>
      <c r="D10" s="104">
        <f t="shared" si="0"/>
        <v>1850</v>
      </c>
      <c r="E10" s="104">
        <f t="shared" si="1"/>
        <v>436.42</v>
      </c>
      <c r="F10" s="105">
        <f t="shared" si="2"/>
        <v>2286</v>
      </c>
      <c r="G10" s="106">
        <f t="shared" si="3"/>
        <v>16002</v>
      </c>
      <c r="H10" s="107">
        <f t="shared" si="4"/>
        <v>27432</v>
      </c>
    </row>
    <row r="11" spans="1:11" x14ac:dyDescent="0.25">
      <c r="A11" s="108" t="s">
        <v>91</v>
      </c>
      <c r="B11" s="102" t="s">
        <v>95</v>
      </c>
      <c r="C11" s="103">
        <v>1</v>
      </c>
      <c r="D11" s="104">
        <f t="shared" si="0"/>
        <v>1850</v>
      </c>
      <c r="E11" s="104">
        <f t="shared" si="1"/>
        <v>436.42</v>
      </c>
      <c r="F11" s="105">
        <f t="shared" si="2"/>
        <v>2286</v>
      </c>
      <c r="G11" s="106">
        <f t="shared" si="3"/>
        <v>16002</v>
      </c>
      <c r="H11" s="107">
        <f t="shared" si="4"/>
        <v>27432</v>
      </c>
    </row>
    <row r="12" spans="1:11" x14ac:dyDescent="0.25">
      <c r="A12" s="108" t="s">
        <v>91</v>
      </c>
      <c r="B12" s="102" t="s">
        <v>96</v>
      </c>
      <c r="C12" s="103">
        <v>1</v>
      </c>
      <c r="D12" s="104">
        <f t="shared" si="0"/>
        <v>1850</v>
      </c>
      <c r="E12" s="104">
        <f t="shared" si="1"/>
        <v>436.42</v>
      </c>
      <c r="F12" s="105">
        <f t="shared" si="2"/>
        <v>2286</v>
      </c>
      <c r="G12" s="106">
        <f t="shared" si="3"/>
        <v>16002</v>
      </c>
      <c r="H12" s="107">
        <f t="shared" si="4"/>
        <v>27432</v>
      </c>
    </row>
    <row r="13" spans="1:11" x14ac:dyDescent="0.25">
      <c r="A13" s="108" t="s">
        <v>91</v>
      </c>
      <c r="B13" s="102" t="s">
        <v>97</v>
      </c>
      <c r="C13" s="103">
        <v>1</v>
      </c>
      <c r="D13" s="104">
        <f t="shared" si="0"/>
        <v>1850</v>
      </c>
      <c r="E13" s="104">
        <f t="shared" si="1"/>
        <v>436.42</v>
      </c>
      <c r="F13" s="105">
        <f t="shared" si="2"/>
        <v>2286</v>
      </c>
      <c r="G13" s="106">
        <f t="shared" si="3"/>
        <v>16002</v>
      </c>
      <c r="H13" s="107">
        <f t="shared" si="4"/>
        <v>27432</v>
      </c>
    </row>
    <row r="14" spans="1:11" x14ac:dyDescent="0.25">
      <c r="A14" s="108" t="s">
        <v>91</v>
      </c>
      <c r="B14" s="102" t="s">
        <v>98</v>
      </c>
      <c r="C14" s="103">
        <v>1</v>
      </c>
      <c r="D14" s="104">
        <f t="shared" si="0"/>
        <v>1850</v>
      </c>
      <c r="E14" s="104">
        <f t="shared" si="1"/>
        <v>436.42</v>
      </c>
      <c r="F14" s="105">
        <f t="shared" si="2"/>
        <v>2286</v>
      </c>
      <c r="G14" s="106">
        <f t="shared" si="3"/>
        <v>16002</v>
      </c>
      <c r="H14" s="107">
        <f t="shared" si="4"/>
        <v>27432</v>
      </c>
    </row>
    <row r="15" spans="1:11" ht="31.5" customHeight="1" x14ac:dyDescent="0.25">
      <c r="A15" s="108" t="s">
        <v>99</v>
      </c>
      <c r="B15" s="102" t="s">
        <v>100</v>
      </c>
      <c r="C15" s="103">
        <v>0.5</v>
      </c>
      <c r="D15" s="104">
        <f t="shared" si="0"/>
        <v>925</v>
      </c>
      <c r="E15" s="104">
        <f t="shared" si="1"/>
        <v>218.21</v>
      </c>
      <c r="F15" s="105">
        <f t="shared" si="2"/>
        <v>1143</v>
      </c>
      <c r="G15" s="106">
        <f t="shared" si="3"/>
        <v>8001</v>
      </c>
      <c r="H15" s="107">
        <f t="shared" si="4"/>
        <v>13716</v>
      </c>
    </row>
    <row r="16" spans="1:11" x14ac:dyDescent="0.25">
      <c r="A16" s="108" t="s">
        <v>99</v>
      </c>
      <c r="B16" s="102" t="s">
        <v>101</v>
      </c>
      <c r="C16" s="103">
        <v>0.5</v>
      </c>
      <c r="D16" s="104">
        <f t="shared" si="0"/>
        <v>925</v>
      </c>
      <c r="E16" s="104">
        <f t="shared" si="1"/>
        <v>218.21</v>
      </c>
      <c r="F16" s="105">
        <f t="shared" si="2"/>
        <v>1143</v>
      </c>
      <c r="G16" s="106">
        <f t="shared" si="3"/>
        <v>8001</v>
      </c>
      <c r="H16" s="107">
        <f t="shared" si="4"/>
        <v>13716</v>
      </c>
    </row>
    <row r="17" spans="1:8" x14ac:dyDescent="0.25">
      <c r="A17" s="108" t="s">
        <v>99</v>
      </c>
      <c r="B17" s="102" t="s">
        <v>102</v>
      </c>
      <c r="C17" s="103">
        <v>0.5</v>
      </c>
      <c r="D17" s="104">
        <f t="shared" si="0"/>
        <v>925</v>
      </c>
      <c r="E17" s="104">
        <f t="shared" si="1"/>
        <v>218.21</v>
      </c>
      <c r="F17" s="105">
        <f t="shared" si="2"/>
        <v>1143</v>
      </c>
      <c r="G17" s="106">
        <f t="shared" si="3"/>
        <v>8001</v>
      </c>
      <c r="H17" s="107">
        <f t="shared" si="4"/>
        <v>13716</v>
      </c>
    </row>
    <row r="18" spans="1:8" x14ac:dyDescent="0.25">
      <c r="A18" s="108" t="s">
        <v>99</v>
      </c>
      <c r="B18" s="102" t="s">
        <v>103</v>
      </c>
      <c r="C18" s="103">
        <v>0.5</v>
      </c>
      <c r="D18" s="104">
        <f t="shared" si="0"/>
        <v>925</v>
      </c>
      <c r="E18" s="104">
        <f t="shared" si="1"/>
        <v>218.21</v>
      </c>
      <c r="F18" s="105">
        <f t="shared" si="2"/>
        <v>1143</v>
      </c>
      <c r="G18" s="106">
        <f t="shared" si="3"/>
        <v>8001</v>
      </c>
      <c r="H18" s="107">
        <f t="shared" si="4"/>
        <v>13716</v>
      </c>
    </row>
    <row r="19" spans="1:8" x14ac:dyDescent="0.25">
      <c r="A19" s="108" t="s">
        <v>99</v>
      </c>
      <c r="B19" s="102" t="s">
        <v>104</v>
      </c>
      <c r="C19" s="103">
        <v>0.5</v>
      </c>
      <c r="D19" s="104">
        <f t="shared" si="0"/>
        <v>925</v>
      </c>
      <c r="E19" s="104">
        <f t="shared" si="1"/>
        <v>218.21</v>
      </c>
      <c r="F19" s="105">
        <f t="shared" si="2"/>
        <v>1143</v>
      </c>
      <c r="G19" s="106">
        <f t="shared" si="3"/>
        <v>8001</v>
      </c>
      <c r="H19" s="107">
        <f t="shared" si="4"/>
        <v>13716</v>
      </c>
    </row>
    <row r="20" spans="1:8" x14ac:dyDescent="0.25">
      <c r="A20" s="108" t="s">
        <v>99</v>
      </c>
      <c r="B20" s="102" t="s">
        <v>105</v>
      </c>
      <c r="C20" s="103">
        <v>0.5</v>
      </c>
      <c r="D20" s="104">
        <f t="shared" si="0"/>
        <v>925</v>
      </c>
      <c r="E20" s="104">
        <f t="shared" si="1"/>
        <v>218.21</v>
      </c>
      <c r="F20" s="105">
        <f t="shared" si="2"/>
        <v>1143</v>
      </c>
      <c r="G20" s="106">
        <f t="shared" si="3"/>
        <v>8001</v>
      </c>
      <c r="H20" s="107">
        <f t="shared" si="4"/>
        <v>13716</v>
      </c>
    </row>
    <row r="21" spans="1:8" x14ac:dyDescent="0.25">
      <c r="A21" s="108" t="s">
        <v>99</v>
      </c>
      <c r="B21" s="102" t="s">
        <v>106</v>
      </c>
      <c r="C21" s="103">
        <v>0.5</v>
      </c>
      <c r="D21" s="104">
        <f t="shared" si="0"/>
        <v>925</v>
      </c>
      <c r="E21" s="104">
        <f t="shared" si="1"/>
        <v>218.21</v>
      </c>
      <c r="F21" s="105">
        <f t="shared" si="2"/>
        <v>1143</v>
      </c>
      <c r="G21" s="106">
        <f t="shared" si="3"/>
        <v>8001</v>
      </c>
      <c r="H21" s="107">
        <f t="shared" si="4"/>
        <v>13716</v>
      </c>
    </row>
    <row r="22" spans="1:8" x14ac:dyDescent="0.25">
      <c r="A22" s="108" t="s">
        <v>107</v>
      </c>
      <c r="B22" s="102" t="s">
        <v>108</v>
      </c>
      <c r="C22" s="103">
        <v>0.5</v>
      </c>
      <c r="D22" s="104">
        <f t="shared" si="0"/>
        <v>925</v>
      </c>
      <c r="E22" s="104">
        <f t="shared" si="1"/>
        <v>218.21</v>
      </c>
      <c r="F22" s="105">
        <f t="shared" si="2"/>
        <v>1143</v>
      </c>
      <c r="G22" s="106">
        <f t="shared" si="3"/>
        <v>8001</v>
      </c>
      <c r="H22" s="107">
        <f t="shared" si="4"/>
        <v>13716</v>
      </c>
    </row>
    <row r="23" spans="1:8" x14ac:dyDescent="0.25">
      <c r="A23" s="108" t="s">
        <v>107</v>
      </c>
      <c r="B23" s="102" t="s">
        <v>109</v>
      </c>
      <c r="C23" s="103">
        <v>0.5</v>
      </c>
      <c r="D23" s="104">
        <f t="shared" si="0"/>
        <v>925</v>
      </c>
      <c r="E23" s="104">
        <f t="shared" si="1"/>
        <v>218.21</v>
      </c>
      <c r="F23" s="105">
        <f t="shared" si="2"/>
        <v>1143</v>
      </c>
      <c r="G23" s="106">
        <f t="shared" si="3"/>
        <v>8001</v>
      </c>
      <c r="H23" s="107">
        <f t="shared" si="4"/>
        <v>13716</v>
      </c>
    </row>
    <row r="24" spans="1:8" x14ac:dyDescent="0.25">
      <c r="A24" s="108" t="s">
        <v>107</v>
      </c>
      <c r="B24" s="102" t="s">
        <v>110</v>
      </c>
      <c r="C24" s="103">
        <v>0.5</v>
      </c>
      <c r="D24" s="104">
        <f t="shared" si="0"/>
        <v>925</v>
      </c>
      <c r="E24" s="104">
        <f t="shared" si="1"/>
        <v>218.21</v>
      </c>
      <c r="F24" s="105">
        <f t="shared" si="2"/>
        <v>1143</v>
      </c>
      <c r="G24" s="106">
        <f t="shared" si="3"/>
        <v>8001</v>
      </c>
      <c r="H24" s="107">
        <f t="shared" si="4"/>
        <v>13716</v>
      </c>
    </row>
    <row r="25" spans="1:8" x14ac:dyDescent="0.25">
      <c r="A25" s="108" t="s">
        <v>107</v>
      </c>
      <c r="B25" s="102" t="s">
        <v>111</v>
      </c>
      <c r="C25" s="103">
        <v>0.5</v>
      </c>
      <c r="D25" s="104">
        <f t="shared" si="0"/>
        <v>925</v>
      </c>
      <c r="E25" s="104">
        <f t="shared" si="1"/>
        <v>218.21</v>
      </c>
      <c r="F25" s="105">
        <f t="shared" si="2"/>
        <v>1143</v>
      </c>
      <c r="G25" s="106">
        <f t="shared" si="3"/>
        <v>8001</v>
      </c>
      <c r="H25" s="107">
        <f t="shared" si="4"/>
        <v>13716</v>
      </c>
    </row>
    <row r="26" spans="1:8" ht="26.4" x14ac:dyDescent="0.25">
      <c r="A26" s="108" t="s">
        <v>112</v>
      </c>
      <c r="B26" s="102" t="s">
        <v>113</v>
      </c>
      <c r="C26" s="103">
        <v>0.5</v>
      </c>
      <c r="D26" s="104">
        <f t="shared" si="0"/>
        <v>925</v>
      </c>
      <c r="E26" s="104">
        <f t="shared" si="1"/>
        <v>218.21</v>
      </c>
      <c r="F26" s="105">
        <f t="shared" si="2"/>
        <v>1143</v>
      </c>
      <c r="G26" s="106">
        <f t="shared" si="3"/>
        <v>8001</v>
      </c>
      <c r="H26" s="107">
        <f t="shared" si="4"/>
        <v>13716</v>
      </c>
    </row>
    <row r="27" spans="1:8" x14ac:dyDescent="0.25">
      <c r="A27" s="108" t="s">
        <v>112</v>
      </c>
      <c r="B27" s="102" t="s">
        <v>114</v>
      </c>
      <c r="C27" s="103">
        <v>0.5</v>
      </c>
      <c r="D27" s="104">
        <f t="shared" si="0"/>
        <v>925</v>
      </c>
      <c r="E27" s="104">
        <f t="shared" si="1"/>
        <v>218.21</v>
      </c>
      <c r="F27" s="105">
        <f t="shared" si="2"/>
        <v>1143</v>
      </c>
      <c r="G27" s="106">
        <f t="shared" si="3"/>
        <v>8001</v>
      </c>
      <c r="H27" s="107">
        <f t="shared" si="4"/>
        <v>13716</v>
      </c>
    </row>
    <row r="28" spans="1:8" x14ac:dyDescent="0.25">
      <c r="A28" s="108" t="s">
        <v>112</v>
      </c>
      <c r="B28" s="102" t="s">
        <v>115</v>
      </c>
      <c r="C28" s="103">
        <v>0.5</v>
      </c>
      <c r="D28" s="104">
        <f t="shared" si="0"/>
        <v>925</v>
      </c>
      <c r="E28" s="104">
        <f t="shared" si="1"/>
        <v>218.21</v>
      </c>
      <c r="F28" s="105">
        <f t="shared" si="2"/>
        <v>1143</v>
      </c>
      <c r="G28" s="106">
        <f t="shared" si="3"/>
        <v>8001</v>
      </c>
      <c r="H28" s="107">
        <f t="shared" si="4"/>
        <v>13716</v>
      </c>
    </row>
    <row r="29" spans="1:8" x14ac:dyDescent="0.25">
      <c r="A29" s="108" t="s">
        <v>112</v>
      </c>
      <c r="B29" s="102" t="s">
        <v>116</v>
      </c>
      <c r="C29" s="103">
        <v>0.5</v>
      </c>
      <c r="D29" s="104">
        <f t="shared" si="0"/>
        <v>925</v>
      </c>
      <c r="E29" s="104">
        <f t="shared" si="1"/>
        <v>218.21</v>
      </c>
      <c r="F29" s="105">
        <f t="shared" si="2"/>
        <v>1143</v>
      </c>
      <c r="G29" s="106">
        <f t="shared" si="3"/>
        <v>8001</v>
      </c>
      <c r="H29" s="107">
        <f t="shared" si="4"/>
        <v>13716</v>
      </c>
    </row>
    <row r="30" spans="1:8" x14ac:dyDescent="0.25">
      <c r="A30" s="108" t="s">
        <v>112</v>
      </c>
      <c r="B30" s="102" t="s">
        <v>117</v>
      </c>
      <c r="C30" s="103">
        <v>0.5</v>
      </c>
      <c r="D30" s="104">
        <f t="shared" si="0"/>
        <v>925</v>
      </c>
      <c r="E30" s="104">
        <f t="shared" si="1"/>
        <v>218.21</v>
      </c>
      <c r="F30" s="105">
        <f t="shared" si="2"/>
        <v>1143</v>
      </c>
      <c r="G30" s="106">
        <f t="shared" si="3"/>
        <v>8001</v>
      </c>
      <c r="H30" s="107">
        <f t="shared" si="4"/>
        <v>13716</v>
      </c>
    </row>
    <row r="31" spans="1:8" x14ac:dyDescent="0.25">
      <c r="A31" s="108" t="s">
        <v>118</v>
      </c>
      <c r="B31" s="102" t="s">
        <v>119</v>
      </c>
      <c r="C31" s="103">
        <v>0.5</v>
      </c>
      <c r="D31" s="104">
        <f t="shared" si="0"/>
        <v>925</v>
      </c>
      <c r="E31" s="104">
        <f t="shared" si="1"/>
        <v>218.21</v>
      </c>
      <c r="F31" s="105">
        <f t="shared" si="2"/>
        <v>1143</v>
      </c>
      <c r="G31" s="106">
        <f t="shared" si="3"/>
        <v>8001</v>
      </c>
      <c r="H31" s="107">
        <f t="shared" si="4"/>
        <v>13716</v>
      </c>
    </row>
    <row r="32" spans="1:8" x14ac:dyDescent="0.25">
      <c r="A32" s="108" t="s">
        <v>118</v>
      </c>
      <c r="B32" s="102" t="s">
        <v>120</v>
      </c>
      <c r="C32" s="103">
        <v>0.5</v>
      </c>
      <c r="D32" s="104">
        <f t="shared" si="0"/>
        <v>925</v>
      </c>
      <c r="E32" s="104">
        <f>ROUND((D32*$E$3),2)</f>
        <v>218.21</v>
      </c>
      <c r="F32" s="105">
        <f t="shared" si="2"/>
        <v>1143</v>
      </c>
      <c r="G32" s="106">
        <f t="shared" si="3"/>
        <v>8001</v>
      </c>
      <c r="H32" s="107">
        <f t="shared" si="4"/>
        <v>13716</v>
      </c>
    </row>
    <row r="33" spans="1:15" x14ac:dyDescent="0.25">
      <c r="A33" s="108" t="s">
        <v>118</v>
      </c>
      <c r="B33" s="102" t="s">
        <v>121</v>
      </c>
      <c r="C33" s="103">
        <v>0.5</v>
      </c>
      <c r="D33" s="104">
        <f t="shared" si="0"/>
        <v>925</v>
      </c>
      <c r="E33" s="104">
        <f t="shared" si="1"/>
        <v>218.21</v>
      </c>
      <c r="F33" s="105">
        <f t="shared" si="2"/>
        <v>1143</v>
      </c>
      <c r="G33" s="106">
        <f t="shared" si="3"/>
        <v>8001</v>
      </c>
      <c r="H33" s="107">
        <f t="shared" si="4"/>
        <v>13716</v>
      </c>
    </row>
    <row r="34" spans="1:15" x14ac:dyDescent="0.25">
      <c r="A34" s="108" t="s">
        <v>122</v>
      </c>
      <c r="B34" s="102" t="s">
        <v>123</v>
      </c>
      <c r="C34" s="103">
        <v>1</v>
      </c>
      <c r="D34" s="104">
        <f t="shared" si="0"/>
        <v>1850</v>
      </c>
      <c r="E34" s="104">
        <f t="shared" si="1"/>
        <v>436.42</v>
      </c>
      <c r="F34" s="105">
        <f t="shared" si="2"/>
        <v>2286</v>
      </c>
      <c r="G34" s="106">
        <f t="shared" si="3"/>
        <v>16002</v>
      </c>
      <c r="H34" s="107">
        <f t="shared" si="4"/>
        <v>27432</v>
      </c>
    </row>
    <row r="35" spans="1:15" x14ac:dyDescent="0.25">
      <c r="A35" s="108" t="s">
        <v>122</v>
      </c>
      <c r="B35" s="102" t="s">
        <v>124</v>
      </c>
      <c r="C35" s="103">
        <v>1</v>
      </c>
      <c r="D35" s="104">
        <f t="shared" si="0"/>
        <v>1850</v>
      </c>
      <c r="E35" s="104">
        <f t="shared" si="1"/>
        <v>436.42</v>
      </c>
      <c r="F35" s="105">
        <f t="shared" si="2"/>
        <v>2286</v>
      </c>
      <c r="G35" s="106">
        <f t="shared" si="3"/>
        <v>16002</v>
      </c>
      <c r="H35" s="107">
        <f t="shared" si="4"/>
        <v>27432</v>
      </c>
    </row>
    <row r="36" spans="1:15" x14ac:dyDescent="0.25">
      <c r="A36" s="108" t="s">
        <v>122</v>
      </c>
      <c r="B36" s="102" t="s">
        <v>125</v>
      </c>
      <c r="C36" s="103">
        <v>1</v>
      </c>
      <c r="D36" s="104">
        <f t="shared" si="0"/>
        <v>1850</v>
      </c>
      <c r="E36" s="104">
        <f t="shared" si="1"/>
        <v>436.42</v>
      </c>
      <c r="F36" s="105">
        <f t="shared" si="2"/>
        <v>2286</v>
      </c>
      <c r="G36" s="106">
        <f t="shared" si="3"/>
        <v>16002</v>
      </c>
      <c r="H36" s="107">
        <f t="shared" si="4"/>
        <v>27432</v>
      </c>
    </row>
    <row r="37" spans="1:15" x14ac:dyDescent="0.25">
      <c r="A37" s="108" t="s">
        <v>122</v>
      </c>
      <c r="B37" s="102" t="s">
        <v>126</v>
      </c>
      <c r="C37" s="103">
        <v>1</v>
      </c>
      <c r="D37" s="104">
        <f t="shared" si="0"/>
        <v>1850</v>
      </c>
      <c r="E37" s="104">
        <f t="shared" si="1"/>
        <v>436.42</v>
      </c>
      <c r="F37" s="105">
        <f t="shared" si="2"/>
        <v>2286</v>
      </c>
      <c r="G37" s="106">
        <f t="shared" si="3"/>
        <v>16002</v>
      </c>
      <c r="H37" s="107">
        <f t="shared" si="4"/>
        <v>27432</v>
      </c>
    </row>
    <row r="38" spans="1:15" ht="26.4" x14ac:dyDescent="0.25">
      <c r="A38" s="108" t="s">
        <v>122</v>
      </c>
      <c r="B38" s="102" t="s">
        <v>127</v>
      </c>
      <c r="C38" s="103">
        <v>1</v>
      </c>
      <c r="D38" s="104">
        <f t="shared" si="0"/>
        <v>1850</v>
      </c>
      <c r="E38" s="104">
        <f t="shared" si="1"/>
        <v>436.42</v>
      </c>
      <c r="F38" s="105">
        <f t="shared" si="2"/>
        <v>2286</v>
      </c>
      <c r="G38" s="106">
        <f t="shared" si="3"/>
        <v>16002</v>
      </c>
      <c r="H38" s="107">
        <f t="shared" si="4"/>
        <v>27432</v>
      </c>
    </row>
    <row r="39" spans="1:15" x14ac:dyDescent="0.25">
      <c r="A39" s="108" t="s">
        <v>122</v>
      </c>
      <c r="B39" s="102" t="s">
        <v>128</v>
      </c>
      <c r="C39" s="103">
        <v>1</v>
      </c>
      <c r="D39" s="104">
        <f t="shared" si="0"/>
        <v>1850</v>
      </c>
      <c r="E39" s="104">
        <f t="shared" si="1"/>
        <v>436.42</v>
      </c>
      <c r="F39" s="105">
        <f t="shared" si="2"/>
        <v>2286</v>
      </c>
      <c r="G39" s="106">
        <f t="shared" si="3"/>
        <v>16002</v>
      </c>
      <c r="H39" s="107">
        <f t="shared" si="4"/>
        <v>27432</v>
      </c>
    </row>
    <row r="40" spans="1:15" x14ac:dyDescent="0.25">
      <c r="A40" s="108" t="s">
        <v>122</v>
      </c>
      <c r="B40" s="102" t="s">
        <v>129</v>
      </c>
      <c r="C40" s="110">
        <v>1</v>
      </c>
      <c r="D40" s="104">
        <f t="shared" si="0"/>
        <v>1850</v>
      </c>
      <c r="E40" s="104">
        <f t="shared" si="1"/>
        <v>436.42</v>
      </c>
      <c r="F40" s="105">
        <f t="shared" si="2"/>
        <v>2286</v>
      </c>
      <c r="G40" s="106">
        <f t="shared" si="3"/>
        <v>16002</v>
      </c>
      <c r="H40" s="107">
        <f t="shared" si="4"/>
        <v>27432</v>
      </c>
    </row>
    <row r="41" spans="1:15" x14ac:dyDescent="0.25">
      <c r="A41" s="108" t="s">
        <v>122</v>
      </c>
      <c r="B41" s="111" t="s">
        <v>130</v>
      </c>
      <c r="C41" s="103">
        <v>0.5</v>
      </c>
      <c r="D41" s="104">
        <f t="shared" si="0"/>
        <v>925</v>
      </c>
      <c r="E41" s="104">
        <f t="shared" si="1"/>
        <v>218.21</v>
      </c>
      <c r="F41" s="105">
        <f t="shared" si="2"/>
        <v>1143</v>
      </c>
      <c r="G41" s="106">
        <f t="shared" si="3"/>
        <v>8001</v>
      </c>
      <c r="H41" s="107">
        <f t="shared" si="4"/>
        <v>13716</v>
      </c>
    </row>
    <row r="42" spans="1:15" x14ac:dyDescent="0.25">
      <c r="A42" s="108" t="s">
        <v>131</v>
      </c>
      <c r="B42" s="102" t="s">
        <v>132</v>
      </c>
      <c r="C42" s="103">
        <v>0.5</v>
      </c>
      <c r="D42" s="104">
        <f t="shared" si="0"/>
        <v>925</v>
      </c>
      <c r="E42" s="104">
        <f t="shared" si="1"/>
        <v>218.21</v>
      </c>
      <c r="F42" s="105">
        <f t="shared" si="2"/>
        <v>1143</v>
      </c>
      <c r="G42" s="106">
        <f t="shared" si="3"/>
        <v>8001</v>
      </c>
      <c r="H42" s="107">
        <f t="shared" si="4"/>
        <v>13716</v>
      </c>
    </row>
    <row r="43" spans="1:15" x14ac:dyDescent="0.25">
      <c r="A43" s="108" t="s">
        <v>131</v>
      </c>
      <c r="B43" s="102" t="s">
        <v>133</v>
      </c>
      <c r="C43" s="103">
        <v>0.5</v>
      </c>
      <c r="D43" s="104">
        <f t="shared" si="0"/>
        <v>925</v>
      </c>
      <c r="E43" s="104">
        <f t="shared" si="1"/>
        <v>218.21</v>
      </c>
      <c r="F43" s="105">
        <f t="shared" si="2"/>
        <v>1143</v>
      </c>
      <c r="G43" s="106">
        <f t="shared" si="3"/>
        <v>8001</v>
      </c>
      <c r="H43" s="107">
        <f t="shared" si="4"/>
        <v>13716</v>
      </c>
      <c r="I43" s="112"/>
    </row>
    <row r="44" spans="1:15" x14ac:dyDescent="0.25">
      <c r="B44" s="113"/>
      <c r="C44" s="114"/>
      <c r="F44" s="115"/>
      <c r="G44" s="93">
        <f>SUM(G5:G43)</f>
        <v>448056</v>
      </c>
      <c r="H44" s="93">
        <f>SUM(H5:H43)</f>
        <v>768096</v>
      </c>
      <c r="I44" s="91"/>
    </row>
    <row r="45" spans="1:15" ht="95.25" customHeight="1" x14ac:dyDescent="0.25">
      <c r="A45" s="208" t="s">
        <v>254</v>
      </c>
      <c r="B45" s="208"/>
      <c r="C45" s="208"/>
      <c r="D45" s="208"/>
      <c r="E45" s="208"/>
      <c r="F45" s="208"/>
      <c r="G45" s="208"/>
      <c r="H45" s="208"/>
      <c r="I45" s="192"/>
      <c r="J45" s="192"/>
      <c r="K45" s="192"/>
      <c r="L45" s="192"/>
      <c r="M45" s="192"/>
      <c r="N45" s="192"/>
      <c r="O45" s="192"/>
    </row>
  </sheetData>
  <mergeCells count="2">
    <mergeCell ref="A1:H1"/>
    <mergeCell ref="A45:H45"/>
  </mergeCells>
  <pageMargins left="0.7" right="0.7" top="0.75" bottom="0.75" header="0.3" footer="0.3"/>
  <pageSetup paperSize="9" scale="56"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0A9DD-1F30-4224-9A5E-FF0BCA576792}">
  <sheetPr>
    <pageSetUpPr fitToPage="1"/>
  </sheetPr>
  <dimension ref="A1:P48"/>
  <sheetViews>
    <sheetView zoomScale="90" zoomScaleNormal="90" zoomScaleSheetLayoutView="70" workbookViewId="0">
      <selection activeCell="D27" sqref="D27"/>
    </sheetView>
  </sheetViews>
  <sheetFormatPr defaultColWidth="8.6640625" defaultRowHeight="13.8" x14ac:dyDescent="0.25"/>
  <cols>
    <col min="1" max="1" width="10.44140625" style="18" customWidth="1"/>
    <col min="2" max="2" width="44" style="18" customWidth="1"/>
    <col min="3" max="4" width="19.109375" style="18" bestFit="1" customWidth="1"/>
    <col min="5" max="5" width="10.33203125" style="100" customWidth="1"/>
    <col min="6" max="6" width="13.88671875" style="18" customWidth="1"/>
    <col min="7" max="7" width="8.88671875" style="18" customWidth="1"/>
    <col min="8" max="8" width="11.5546875" style="18" bestFit="1" customWidth="1"/>
    <col min="9" max="9" width="8.33203125" style="18" bestFit="1" customWidth="1"/>
    <col min="10" max="10" width="8.6640625" style="18" customWidth="1"/>
    <col min="11" max="11" width="8.6640625" style="18"/>
    <col min="12" max="12" width="10.33203125" style="18" customWidth="1"/>
    <col min="13" max="13" width="24.33203125" style="18" customWidth="1"/>
    <col min="14" max="14" width="15.5546875" style="18" customWidth="1"/>
    <col min="15" max="15" width="39.109375" style="18" customWidth="1"/>
    <col min="16" max="16384" width="8.6640625" style="18"/>
  </cols>
  <sheetData>
    <row r="1" spans="1:16" ht="61.5" customHeight="1" x14ac:dyDescent="0.25">
      <c r="A1" s="207" t="s">
        <v>149</v>
      </c>
      <c r="B1" s="207"/>
      <c r="C1" s="207"/>
      <c r="D1" s="207"/>
      <c r="E1" s="207"/>
      <c r="F1" s="207"/>
      <c r="G1" s="207"/>
      <c r="H1" s="207"/>
      <c r="I1" s="207"/>
      <c r="J1" s="207"/>
      <c r="K1" s="207"/>
      <c r="L1" s="207"/>
      <c r="M1" s="207"/>
      <c r="N1" s="209" t="s">
        <v>25</v>
      </c>
      <c r="O1" s="209"/>
    </row>
    <row r="2" spans="1:16" x14ac:dyDescent="0.25">
      <c r="A2" s="4"/>
      <c r="B2" s="4"/>
      <c r="C2" s="4"/>
      <c r="D2" s="4"/>
      <c r="E2" s="141"/>
      <c r="F2" s="4"/>
      <c r="G2" s="4"/>
      <c r="H2" s="4"/>
      <c r="I2" s="4"/>
      <c r="J2" s="4"/>
      <c r="K2" s="4"/>
      <c r="L2" s="4"/>
      <c r="M2" s="4"/>
      <c r="N2" s="4"/>
      <c r="O2" s="4"/>
      <c r="P2" s="4"/>
    </row>
    <row r="3" spans="1:16" s="4" customFormat="1" ht="13.2" x14ac:dyDescent="0.25">
      <c r="A3" s="118"/>
      <c r="B3" s="119"/>
      <c r="C3" s="118" t="s">
        <v>135</v>
      </c>
      <c r="D3" s="118"/>
      <c r="E3" s="142"/>
      <c r="F3" s="118">
        <v>4367</v>
      </c>
      <c r="G3" s="120" t="s">
        <v>136</v>
      </c>
      <c r="H3" s="118"/>
      <c r="I3" s="118"/>
      <c r="J3" s="118"/>
      <c r="K3" s="118"/>
      <c r="L3" s="118"/>
      <c r="M3" s="118"/>
    </row>
    <row r="4" spans="1:16" s="4" customFormat="1" ht="13.2" x14ac:dyDescent="0.25">
      <c r="A4" s="118"/>
      <c r="B4" s="118"/>
      <c r="C4" s="118" t="s">
        <v>137</v>
      </c>
      <c r="D4" s="118"/>
      <c r="E4" s="121"/>
      <c r="F4" s="118">
        <f>F3/12</f>
        <v>363.91666666666669</v>
      </c>
      <c r="G4" s="118">
        <v>1862</v>
      </c>
      <c r="H4" s="118"/>
      <c r="I4" s="118"/>
      <c r="J4" s="122">
        <v>0.2359</v>
      </c>
      <c r="K4" s="118"/>
      <c r="L4" s="118"/>
      <c r="M4" s="118"/>
    </row>
    <row r="5" spans="1:16" s="124" customFormat="1" ht="39.6" x14ac:dyDescent="0.3">
      <c r="A5" s="123" t="s">
        <v>80</v>
      </c>
      <c r="B5" s="123" t="s">
        <v>81</v>
      </c>
      <c r="C5" s="123" t="s">
        <v>138</v>
      </c>
      <c r="D5" s="123" t="s">
        <v>152</v>
      </c>
      <c r="E5" s="123" t="s">
        <v>150</v>
      </c>
      <c r="F5" s="123" t="s">
        <v>214</v>
      </c>
      <c r="G5" s="123" t="s">
        <v>139</v>
      </c>
      <c r="H5" s="123" t="s">
        <v>140</v>
      </c>
      <c r="I5" s="123" t="s">
        <v>141</v>
      </c>
      <c r="J5" s="123" t="s">
        <v>84</v>
      </c>
      <c r="K5" s="123" t="s">
        <v>142</v>
      </c>
      <c r="L5" s="123" t="s">
        <v>143</v>
      </c>
      <c r="M5" s="98" t="s">
        <v>144</v>
      </c>
      <c r="N5" s="98" t="s">
        <v>17</v>
      </c>
    </row>
    <row r="6" spans="1:16" ht="27" x14ac:dyDescent="0.25">
      <c r="A6" s="125" t="s">
        <v>87</v>
      </c>
      <c r="B6" s="126" t="s">
        <v>145</v>
      </c>
      <c r="C6" s="127">
        <v>2</v>
      </c>
      <c r="D6" s="127">
        <v>2</v>
      </c>
      <c r="E6" s="128" t="s">
        <v>146</v>
      </c>
      <c r="F6" s="129">
        <f t="shared" ref="F6:F44" si="0">C6*$F$4</f>
        <v>727.83333333333337</v>
      </c>
      <c r="G6" s="129">
        <f t="shared" ref="G6:G44" si="1">C6*$G$4</f>
        <v>3724</v>
      </c>
      <c r="H6" s="129">
        <v>1.3</v>
      </c>
      <c r="I6" s="129">
        <f>G6*H6</f>
        <v>4841.2</v>
      </c>
      <c r="J6" s="129">
        <f t="shared" ref="J6:J44" si="2">ROUND(I6*$J$4,2)</f>
        <v>1142.04</v>
      </c>
      <c r="K6" s="129">
        <f>ROUND((I6+J6),2)</f>
        <v>5983.24</v>
      </c>
      <c r="L6" s="130">
        <f>ROUND(F6+K6,0)</f>
        <v>6711</v>
      </c>
      <c r="M6" s="131">
        <f>L6/C6*9+L6/C6*6</f>
        <v>50332.5</v>
      </c>
      <c r="N6" s="131">
        <f>L6*12</f>
        <v>80532</v>
      </c>
      <c r="O6" s="115"/>
    </row>
    <row r="7" spans="1:16" x14ac:dyDescent="0.25">
      <c r="A7" s="125" t="s">
        <v>87</v>
      </c>
      <c r="B7" s="126" t="s">
        <v>89</v>
      </c>
      <c r="C7" s="127">
        <v>2</v>
      </c>
      <c r="D7" s="127">
        <v>2</v>
      </c>
      <c r="E7" s="132">
        <v>7</v>
      </c>
      <c r="F7" s="129">
        <f t="shared" si="0"/>
        <v>727.83333333333337</v>
      </c>
      <c r="G7" s="129">
        <f t="shared" si="1"/>
        <v>3724</v>
      </c>
      <c r="H7" s="129">
        <v>1.3</v>
      </c>
      <c r="I7" s="129">
        <f t="shared" ref="I7:I44" si="3">G7*H7</f>
        <v>4841.2</v>
      </c>
      <c r="J7" s="129">
        <f t="shared" si="2"/>
        <v>1142.04</v>
      </c>
      <c r="K7" s="129">
        <f t="shared" ref="K7:K44" si="4">ROUND((I7+J7),2)</f>
        <v>5983.24</v>
      </c>
      <c r="L7" s="130">
        <f t="shared" ref="L7:L8" si="5">ROUND(F7+K7,0)</f>
        <v>6711</v>
      </c>
      <c r="M7" s="131">
        <f>L7*E7</f>
        <v>46977</v>
      </c>
      <c r="N7" s="131">
        <f t="shared" ref="N7:N44" si="6">L7*12</f>
        <v>80532</v>
      </c>
      <c r="O7" s="115"/>
    </row>
    <row r="8" spans="1:16" x14ac:dyDescent="0.25">
      <c r="A8" s="125" t="s">
        <v>87</v>
      </c>
      <c r="B8" s="126" t="s">
        <v>90</v>
      </c>
      <c r="C8" s="127">
        <v>2</v>
      </c>
      <c r="D8" s="127">
        <v>2</v>
      </c>
      <c r="E8" s="132">
        <v>9</v>
      </c>
      <c r="F8" s="129">
        <f t="shared" si="0"/>
        <v>727.83333333333337</v>
      </c>
      <c r="G8" s="129">
        <f t="shared" si="1"/>
        <v>3724</v>
      </c>
      <c r="H8" s="129">
        <v>1.3</v>
      </c>
      <c r="I8" s="129">
        <f t="shared" si="3"/>
        <v>4841.2</v>
      </c>
      <c r="J8" s="129">
        <f t="shared" si="2"/>
        <v>1142.04</v>
      </c>
      <c r="K8" s="129">
        <f t="shared" si="4"/>
        <v>5983.24</v>
      </c>
      <c r="L8" s="130">
        <f t="shared" si="5"/>
        <v>6711</v>
      </c>
      <c r="M8" s="131">
        <f t="shared" ref="M8:M44" si="7">L8*E8</f>
        <v>60399</v>
      </c>
      <c r="N8" s="131">
        <f t="shared" si="6"/>
        <v>80532</v>
      </c>
      <c r="O8" s="115"/>
    </row>
    <row r="9" spans="1:16" x14ac:dyDescent="0.25">
      <c r="A9" s="133" t="s">
        <v>91</v>
      </c>
      <c r="B9" s="126" t="s">
        <v>92</v>
      </c>
      <c r="C9" s="127">
        <v>1</v>
      </c>
      <c r="D9" s="127">
        <v>1</v>
      </c>
      <c r="E9" s="132">
        <v>9</v>
      </c>
      <c r="F9" s="129">
        <f>C9*$F$4</f>
        <v>363.91666666666669</v>
      </c>
      <c r="G9" s="129">
        <f t="shared" si="1"/>
        <v>1862</v>
      </c>
      <c r="H9" s="129">
        <v>1.3</v>
      </c>
      <c r="I9" s="129">
        <f t="shared" si="3"/>
        <v>2420.6</v>
      </c>
      <c r="J9" s="129">
        <f t="shared" si="2"/>
        <v>571.02</v>
      </c>
      <c r="K9" s="129">
        <f t="shared" si="4"/>
        <v>2991.62</v>
      </c>
      <c r="L9" s="130">
        <f t="shared" ref="L9:L41" si="8">F9+K9</f>
        <v>3355.5366666666664</v>
      </c>
      <c r="M9" s="131">
        <f t="shared" si="7"/>
        <v>30199.829999999998</v>
      </c>
      <c r="N9" s="131">
        <f>ROUND(L9*12,0)</f>
        <v>40266</v>
      </c>
      <c r="O9" s="115"/>
    </row>
    <row r="10" spans="1:16" x14ac:dyDescent="0.25">
      <c r="A10" s="133" t="s">
        <v>91</v>
      </c>
      <c r="B10" s="126" t="s">
        <v>93</v>
      </c>
      <c r="C10" s="127">
        <v>1</v>
      </c>
      <c r="D10" s="127">
        <v>1</v>
      </c>
      <c r="E10" s="132">
        <v>6</v>
      </c>
      <c r="F10" s="129">
        <f t="shared" si="0"/>
        <v>363.91666666666669</v>
      </c>
      <c r="G10" s="129">
        <f t="shared" si="1"/>
        <v>1862</v>
      </c>
      <c r="H10" s="129">
        <v>1.3</v>
      </c>
      <c r="I10" s="129">
        <f t="shared" si="3"/>
        <v>2420.6</v>
      </c>
      <c r="J10" s="129">
        <f t="shared" si="2"/>
        <v>571.02</v>
      </c>
      <c r="K10" s="129">
        <f t="shared" si="4"/>
        <v>2991.62</v>
      </c>
      <c r="L10" s="130">
        <f t="shared" si="8"/>
        <v>3355.5366666666664</v>
      </c>
      <c r="M10" s="131">
        <f t="shared" si="7"/>
        <v>20133.219999999998</v>
      </c>
      <c r="N10" s="131">
        <f t="shared" ref="N10:N15" si="9">ROUND(L10*12,0)</f>
        <v>40266</v>
      </c>
      <c r="O10" s="115"/>
    </row>
    <row r="11" spans="1:16" x14ac:dyDescent="0.25">
      <c r="A11" s="133" t="s">
        <v>91</v>
      </c>
      <c r="B11" s="134" t="s">
        <v>94</v>
      </c>
      <c r="C11" s="127">
        <v>1</v>
      </c>
      <c r="D11" s="127">
        <v>1</v>
      </c>
      <c r="E11" s="132">
        <v>6</v>
      </c>
      <c r="F11" s="129">
        <f t="shared" si="0"/>
        <v>363.91666666666669</v>
      </c>
      <c r="G11" s="129">
        <f t="shared" si="1"/>
        <v>1862</v>
      </c>
      <c r="H11" s="129">
        <v>1.3</v>
      </c>
      <c r="I11" s="129">
        <f t="shared" si="3"/>
        <v>2420.6</v>
      </c>
      <c r="J11" s="129">
        <f t="shared" si="2"/>
        <v>571.02</v>
      </c>
      <c r="K11" s="129">
        <f t="shared" si="4"/>
        <v>2991.62</v>
      </c>
      <c r="L11" s="130">
        <f t="shared" si="8"/>
        <v>3355.5366666666664</v>
      </c>
      <c r="M11" s="131">
        <f t="shared" si="7"/>
        <v>20133.219999999998</v>
      </c>
      <c r="N11" s="131">
        <f t="shared" si="9"/>
        <v>40266</v>
      </c>
      <c r="O11" s="115"/>
    </row>
    <row r="12" spans="1:16" x14ac:dyDescent="0.25">
      <c r="A12" s="133" t="s">
        <v>91</v>
      </c>
      <c r="B12" s="126" t="s">
        <v>95</v>
      </c>
      <c r="C12" s="127">
        <v>1</v>
      </c>
      <c r="D12" s="127">
        <v>1</v>
      </c>
      <c r="E12" s="132">
        <v>6</v>
      </c>
      <c r="F12" s="129">
        <f t="shared" si="0"/>
        <v>363.91666666666669</v>
      </c>
      <c r="G12" s="129">
        <f t="shared" si="1"/>
        <v>1862</v>
      </c>
      <c r="H12" s="129">
        <v>1.3</v>
      </c>
      <c r="I12" s="129">
        <f t="shared" si="3"/>
        <v>2420.6</v>
      </c>
      <c r="J12" s="129">
        <f t="shared" si="2"/>
        <v>571.02</v>
      </c>
      <c r="K12" s="129">
        <f t="shared" si="4"/>
        <v>2991.62</v>
      </c>
      <c r="L12" s="130">
        <f t="shared" si="8"/>
        <v>3355.5366666666664</v>
      </c>
      <c r="M12" s="131">
        <f t="shared" si="7"/>
        <v>20133.219999999998</v>
      </c>
      <c r="N12" s="131">
        <f t="shared" si="9"/>
        <v>40266</v>
      </c>
      <c r="O12" s="115"/>
    </row>
    <row r="13" spans="1:16" x14ac:dyDescent="0.25">
      <c r="A13" s="133" t="s">
        <v>91</v>
      </c>
      <c r="B13" s="126" t="s">
        <v>96</v>
      </c>
      <c r="C13" s="127">
        <v>1</v>
      </c>
      <c r="D13" s="127">
        <v>1</v>
      </c>
      <c r="E13" s="132">
        <v>8</v>
      </c>
      <c r="F13" s="129">
        <f t="shared" si="0"/>
        <v>363.91666666666669</v>
      </c>
      <c r="G13" s="129">
        <f t="shared" si="1"/>
        <v>1862</v>
      </c>
      <c r="H13" s="129">
        <v>1.3</v>
      </c>
      <c r="I13" s="129">
        <f t="shared" si="3"/>
        <v>2420.6</v>
      </c>
      <c r="J13" s="129">
        <f t="shared" si="2"/>
        <v>571.02</v>
      </c>
      <c r="K13" s="129">
        <f t="shared" si="4"/>
        <v>2991.62</v>
      </c>
      <c r="L13" s="130">
        <f t="shared" si="8"/>
        <v>3355.5366666666664</v>
      </c>
      <c r="M13" s="131">
        <f t="shared" si="7"/>
        <v>26844.293333333331</v>
      </c>
      <c r="N13" s="131">
        <f t="shared" si="9"/>
        <v>40266</v>
      </c>
      <c r="O13" s="115"/>
    </row>
    <row r="14" spans="1:16" x14ac:dyDescent="0.25">
      <c r="A14" s="133" t="s">
        <v>91</v>
      </c>
      <c r="B14" s="126" t="s">
        <v>97</v>
      </c>
      <c r="C14" s="127">
        <v>1</v>
      </c>
      <c r="D14" s="127">
        <v>1</v>
      </c>
      <c r="E14" s="132">
        <v>7</v>
      </c>
      <c r="F14" s="129">
        <f t="shared" si="0"/>
        <v>363.91666666666669</v>
      </c>
      <c r="G14" s="129">
        <f t="shared" si="1"/>
        <v>1862</v>
      </c>
      <c r="H14" s="129">
        <v>1.3</v>
      </c>
      <c r="I14" s="129">
        <f t="shared" si="3"/>
        <v>2420.6</v>
      </c>
      <c r="J14" s="129">
        <f t="shared" si="2"/>
        <v>571.02</v>
      </c>
      <c r="K14" s="129">
        <f t="shared" si="4"/>
        <v>2991.62</v>
      </c>
      <c r="L14" s="130">
        <f t="shared" si="8"/>
        <v>3355.5366666666664</v>
      </c>
      <c r="M14" s="131">
        <f t="shared" si="7"/>
        <v>23488.756666666664</v>
      </c>
      <c r="N14" s="131">
        <f t="shared" si="9"/>
        <v>40266</v>
      </c>
      <c r="O14" s="115"/>
    </row>
    <row r="15" spans="1:16" x14ac:dyDescent="0.25">
      <c r="A15" s="133" t="s">
        <v>91</v>
      </c>
      <c r="B15" s="126" t="s">
        <v>98</v>
      </c>
      <c r="C15" s="127">
        <v>1</v>
      </c>
      <c r="D15" s="127">
        <v>1</v>
      </c>
      <c r="E15" s="132">
        <v>6</v>
      </c>
      <c r="F15" s="129">
        <f t="shared" si="0"/>
        <v>363.91666666666669</v>
      </c>
      <c r="G15" s="129">
        <f t="shared" si="1"/>
        <v>1862</v>
      </c>
      <c r="H15" s="129">
        <v>1.3</v>
      </c>
      <c r="I15" s="129">
        <f t="shared" si="3"/>
        <v>2420.6</v>
      </c>
      <c r="J15" s="129">
        <f t="shared" si="2"/>
        <v>571.02</v>
      </c>
      <c r="K15" s="129">
        <f t="shared" si="4"/>
        <v>2991.62</v>
      </c>
      <c r="L15" s="130">
        <f t="shared" si="8"/>
        <v>3355.5366666666664</v>
      </c>
      <c r="M15" s="131">
        <f t="shared" si="7"/>
        <v>20133.219999999998</v>
      </c>
      <c r="N15" s="131">
        <f t="shared" si="9"/>
        <v>40266</v>
      </c>
      <c r="O15" s="115"/>
    </row>
    <row r="16" spans="1:16" x14ac:dyDescent="0.25">
      <c r="A16" s="133" t="s">
        <v>99</v>
      </c>
      <c r="B16" s="126" t="s">
        <v>100</v>
      </c>
      <c r="C16" s="127">
        <v>0.5</v>
      </c>
      <c r="D16" s="127">
        <v>0.5</v>
      </c>
      <c r="E16" s="132">
        <v>9</v>
      </c>
      <c r="F16" s="129">
        <f t="shared" si="0"/>
        <v>181.95833333333334</v>
      </c>
      <c r="G16" s="129">
        <f t="shared" si="1"/>
        <v>931</v>
      </c>
      <c r="H16" s="129">
        <v>1.3</v>
      </c>
      <c r="I16" s="129">
        <f t="shared" si="3"/>
        <v>1210.3</v>
      </c>
      <c r="J16" s="129">
        <f t="shared" si="2"/>
        <v>285.51</v>
      </c>
      <c r="K16" s="129">
        <f t="shared" si="4"/>
        <v>1495.81</v>
      </c>
      <c r="L16" s="130">
        <f>ROUND(F16+K16,1)</f>
        <v>1677.8</v>
      </c>
      <c r="M16" s="131">
        <f t="shared" si="7"/>
        <v>15100.199999999999</v>
      </c>
      <c r="N16" s="131">
        <f>ROUND(L16*12,0)</f>
        <v>20134</v>
      </c>
      <c r="O16" s="115"/>
    </row>
    <row r="17" spans="1:15" x14ac:dyDescent="0.25">
      <c r="A17" s="133" t="s">
        <v>99</v>
      </c>
      <c r="B17" s="126" t="s">
        <v>101</v>
      </c>
      <c r="C17" s="127">
        <v>0.5</v>
      </c>
      <c r="D17" s="127">
        <v>0.5</v>
      </c>
      <c r="E17" s="132">
        <v>6</v>
      </c>
      <c r="F17" s="129">
        <f t="shared" si="0"/>
        <v>181.95833333333334</v>
      </c>
      <c r="G17" s="129">
        <f t="shared" si="1"/>
        <v>931</v>
      </c>
      <c r="H17" s="129">
        <v>1.3</v>
      </c>
      <c r="I17" s="129">
        <f t="shared" si="3"/>
        <v>1210.3</v>
      </c>
      <c r="J17" s="129">
        <f t="shared" si="2"/>
        <v>285.51</v>
      </c>
      <c r="K17" s="129">
        <f t="shared" si="4"/>
        <v>1495.81</v>
      </c>
      <c r="L17" s="130">
        <f t="shared" ref="L17:L34" si="10">ROUND(F17+K17,1)</f>
        <v>1677.8</v>
      </c>
      <c r="M17" s="131">
        <f t="shared" si="7"/>
        <v>10066.799999999999</v>
      </c>
      <c r="N17" s="131">
        <f t="shared" ref="N17:N34" si="11">ROUND(L17*12,0)</f>
        <v>20134</v>
      </c>
      <c r="O17" s="115"/>
    </row>
    <row r="18" spans="1:15" x14ac:dyDescent="0.25">
      <c r="A18" s="133" t="s">
        <v>99</v>
      </c>
      <c r="B18" s="126" t="s">
        <v>102</v>
      </c>
      <c r="C18" s="127">
        <v>0.5</v>
      </c>
      <c r="D18" s="127">
        <v>0.5</v>
      </c>
      <c r="E18" s="132">
        <v>6</v>
      </c>
      <c r="F18" s="129">
        <f t="shared" si="0"/>
        <v>181.95833333333334</v>
      </c>
      <c r="G18" s="129">
        <f t="shared" si="1"/>
        <v>931</v>
      </c>
      <c r="H18" s="129">
        <v>1.3</v>
      </c>
      <c r="I18" s="129">
        <f t="shared" si="3"/>
        <v>1210.3</v>
      </c>
      <c r="J18" s="129">
        <f t="shared" si="2"/>
        <v>285.51</v>
      </c>
      <c r="K18" s="129">
        <f t="shared" si="4"/>
        <v>1495.81</v>
      </c>
      <c r="L18" s="130">
        <f t="shared" si="10"/>
        <v>1677.8</v>
      </c>
      <c r="M18" s="131">
        <f t="shared" si="7"/>
        <v>10066.799999999999</v>
      </c>
      <c r="N18" s="131">
        <f t="shared" si="11"/>
        <v>20134</v>
      </c>
      <c r="O18" s="115"/>
    </row>
    <row r="19" spans="1:15" x14ac:dyDescent="0.25">
      <c r="A19" s="133" t="s">
        <v>99</v>
      </c>
      <c r="B19" s="126" t="s">
        <v>103</v>
      </c>
      <c r="C19" s="127">
        <v>0.5</v>
      </c>
      <c r="D19" s="127">
        <v>0.5</v>
      </c>
      <c r="E19" s="132">
        <v>6</v>
      </c>
      <c r="F19" s="129">
        <f t="shared" si="0"/>
        <v>181.95833333333334</v>
      </c>
      <c r="G19" s="129">
        <f t="shared" si="1"/>
        <v>931</v>
      </c>
      <c r="H19" s="129">
        <v>1.3</v>
      </c>
      <c r="I19" s="129">
        <f t="shared" si="3"/>
        <v>1210.3</v>
      </c>
      <c r="J19" s="129">
        <f t="shared" si="2"/>
        <v>285.51</v>
      </c>
      <c r="K19" s="129">
        <f t="shared" si="4"/>
        <v>1495.81</v>
      </c>
      <c r="L19" s="130">
        <f t="shared" si="10"/>
        <v>1677.8</v>
      </c>
      <c r="M19" s="131">
        <f t="shared" si="7"/>
        <v>10066.799999999999</v>
      </c>
      <c r="N19" s="131">
        <f t="shared" si="11"/>
        <v>20134</v>
      </c>
      <c r="O19" s="115"/>
    </row>
    <row r="20" spans="1:15" x14ac:dyDescent="0.25">
      <c r="A20" s="133" t="s">
        <v>99</v>
      </c>
      <c r="B20" s="126" t="s">
        <v>104</v>
      </c>
      <c r="C20" s="127">
        <v>0.5</v>
      </c>
      <c r="D20" s="127">
        <v>0.5</v>
      </c>
      <c r="E20" s="132">
        <v>9</v>
      </c>
      <c r="F20" s="129">
        <f t="shared" si="0"/>
        <v>181.95833333333334</v>
      </c>
      <c r="G20" s="129">
        <f t="shared" si="1"/>
        <v>931</v>
      </c>
      <c r="H20" s="129">
        <v>1.3</v>
      </c>
      <c r="I20" s="129">
        <f t="shared" si="3"/>
        <v>1210.3</v>
      </c>
      <c r="J20" s="129">
        <f t="shared" si="2"/>
        <v>285.51</v>
      </c>
      <c r="K20" s="129">
        <f t="shared" si="4"/>
        <v>1495.81</v>
      </c>
      <c r="L20" s="130">
        <f t="shared" si="10"/>
        <v>1677.8</v>
      </c>
      <c r="M20" s="131">
        <f t="shared" si="7"/>
        <v>15100.199999999999</v>
      </c>
      <c r="N20" s="131">
        <f t="shared" si="11"/>
        <v>20134</v>
      </c>
      <c r="O20" s="115"/>
    </row>
    <row r="21" spans="1:15" x14ac:dyDescent="0.25">
      <c r="A21" s="133" t="s">
        <v>99</v>
      </c>
      <c r="B21" s="126" t="s">
        <v>105</v>
      </c>
      <c r="C21" s="127">
        <v>0.5</v>
      </c>
      <c r="D21" s="127">
        <v>0.5</v>
      </c>
      <c r="E21" s="132">
        <v>6</v>
      </c>
      <c r="F21" s="129">
        <f t="shared" si="0"/>
        <v>181.95833333333334</v>
      </c>
      <c r="G21" s="129">
        <f t="shared" si="1"/>
        <v>931</v>
      </c>
      <c r="H21" s="129">
        <v>1.3</v>
      </c>
      <c r="I21" s="129">
        <f t="shared" si="3"/>
        <v>1210.3</v>
      </c>
      <c r="J21" s="129">
        <f t="shared" si="2"/>
        <v>285.51</v>
      </c>
      <c r="K21" s="129">
        <f t="shared" si="4"/>
        <v>1495.81</v>
      </c>
      <c r="L21" s="130">
        <f t="shared" si="10"/>
        <v>1677.8</v>
      </c>
      <c r="M21" s="131">
        <f t="shared" si="7"/>
        <v>10066.799999999999</v>
      </c>
      <c r="N21" s="131">
        <f t="shared" si="11"/>
        <v>20134</v>
      </c>
      <c r="O21" s="115"/>
    </row>
    <row r="22" spans="1:15" x14ac:dyDescent="0.25">
      <c r="A22" s="133" t="s">
        <v>99</v>
      </c>
      <c r="B22" s="126" t="s">
        <v>106</v>
      </c>
      <c r="C22" s="127">
        <v>0.5</v>
      </c>
      <c r="D22" s="127">
        <v>0.5</v>
      </c>
      <c r="E22" s="132">
        <v>7</v>
      </c>
      <c r="F22" s="129">
        <f t="shared" si="0"/>
        <v>181.95833333333334</v>
      </c>
      <c r="G22" s="129">
        <f t="shared" si="1"/>
        <v>931</v>
      </c>
      <c r="H22" s="129">
        <v>1.3</v>
      </c>
      <c r="I22" s="129">
        <f t="shared" si="3"/>
        <v>1210.3</v>
      </c>
      <c r="J22" s="129">
        <f t="shared" si="2"/>
        <v>285.51</v>
      </c>
      <c r="K22" s="129">
        <f t="shared" si="4"/>
        <v>1495.81</v>
      </c>
      <c r="L22" s="130">
        <f t="shared" si="10"/>
        <v>1677.8</v>
      </c>
      <c r="M22" s="131">
        <f t="shared" si="7"/>
        <v>11744.6</v>
      </c>
      <c r="N22" s="131">
        <f t="shared" si="11"/>
        <v>20134</v>
      </c>
      <c r="O22" s="115"/>
    </row>
    <row r="23" spans="1:15" x14ac:dyDescent="0.25">
      <c r="A23" s="133" t="s">
        <v>107</v>
      </c>
      <c r="B23" s="126" t="s">
        <v>108</v>
      </c>
      <c r="C23" s="127">
        <v>0.5</v>
      </c>
      <c r="D23" s="127">
        <v>0.5</v>
      </c>
      <c r="E23" s="132">
        <v>7</v>
      </c>
      <c r="F23" s="129">
        <f t="shared" si="0"/>
        <v>181.95833333333334</v>
      </c>
      <c r="G23" s="129">
        <f t="shared" si="1"/>
        <v>931</v>
      </c>
      <c r="H23" s="129">
        <v>1.3</v>
      </c>
      <c r="I23" s="129">
        <f t="shared" si="3"/>
        <v>1210.3</v>
      </c>
      <c r="J23" s="129">
        <f t="shared" si="2"/>
        <v>285.51</v>
      </c>
      <c r="K23" s="129">
        <f t="shared" si="4"/>
        <v>1495.81</v>
      </c>
      <c r="L23" s="130">
        <f t="shared" si="10"/>
        <v>1677.8</v>
      </c>
      <c r="M23" s="131">
        <f t="shared" si="7"/>
        <v>11744.6</v>
      </c>
      <c r="N23" s="131">
        <f t="shared" si="11"/>
        <v>20134</v>
      </c>
      <c r="O23" s="115"/>
    </row>
    <row r="24" spans="1:15" x14ac:dyDescent="0.25">
      <c r="A24" s="133" t="s">
        <v>107</v>
      </c>
      <c r="B24" s="126" t="s">
        <v>109</v>
      </c>
      <c r="C24" s="127">
        <v>0.5</v>
      </c>
      <c r="D24" s="127">
        <v>0.5</v>
      </c>
      <c r="E24" s="132">
        <v>7</v>
      </c>
      <c r="F24" s="129">
        <f t="shared" si="0"/>
        <v>181.95833333333334</v>
      </c>
      <c r="G24" s="129">
        <f t="shared" si="1"/>
        <v>931</v>
      </c>
      <c r="H24" s="129">
        <v>1.3</v>
      </c>
      <c r="I24" s="129">
        <f t="shared" si="3"/>
        <v>1210.3</v>
      </c>
      <c r="J24" s="129">
        <f t="shared" si="2"/>
        <v>285.51</v>
      </c>
      <c r="K24" s="129">
        <f t="shared" si="4"/>
        <v>1495.81</v>
      </c>
      <c r="L24" s="130">
        <f t="shared" si="10"/>
        <v>1677.8</v>
      </c>
      <c r="M24" s="131">
        <f t="shared" si="7"/>
        <v>11744.6</v>
      </c>
      <c r="N24" s="131">
        <f t="shared" si="11"/>
        <v>20134</v>
      </c>
      <c r="O24" s="115"/>
    </row>
    <row r="25" spans="1:15" x14ac:dyDescent="0.25">
      <c r="A25" s="133" t="s">
        <v>107</v>
      </c>
      <c r="B25" s="126" t="s">
        <v>110</v>
      </c>
      <c r="C25" s="127">
        <v>0.5</v>
      </c>
      <c r="D25" s="127">
        <v>0.5</v>
      </c>
      <c r="E25" s="132">
        <v>6</v>
      </c>
      <c r="F25" s="129">
        <f t="shared" si="0"/>
        <v>181.95833333333334</v>
      </c>
      <c r="G25" s="129">
        <f t="shared" si="1"/>
        <v>931</v>
      </c>
      <c r="H25" s="129">
        <v>1.3</v>
      </c>
      <c r="I25" s="129">
        <f t="shared" si="3"/>
        <v>1210.3</v>
      </c>
      <c r="J25" s="129">
        <f t="shared" si="2"/>
        <v>285.51</v>
      </c>
      <c r="K25" s="129">
        <f t="shared" si="4"/>
        <v>1495.81</v>
      </c>
      <c r="L25" s="130">
        <f t="shared" si="10"/>
        <v>1677.8</v>
      </c>
      <c r="M25" s="131">
        <f t="shared" si="7"/>
        <v>10066.799999999999</v>
      </c>
      <c r="N25" s="131">
        <f t="shared" si="11"/>
        <v>20134</v>
      </c>
      <c r="O25" s="115"/>
    </row>
    <row r="26" spans="1:15" x14ac:dyDescent="0.25">
      <c r="A26" s="133" t="s">
        <v>107</v>
      </c>
      <c r="B26" s="126" t="s">
        <v>111</v>
      </c>
      <c r="C26" s="127">
        <v>0.5</v>
      </c>
      <c r="D26" s="127">
        <v>0.5</v>
      </c>
      <c r="E26" s="132">
        <v>9</v>
      </c>
      <c r="F26" s="129">
        <f t="shared" si="0"/>
        <v>181.95833333333334</v>
      </c>
      <c r="G26" s="129">
        <f t="shared" si="1"/>
        <v>931</v>
      </c>
      <c r="H26" s="129">
        <v>1.3</v>
      </c>
      <c r="I26" s="129">
        <f t="shared" si="3"/>
        <v>1210.3</v>
      </c>
      <c r="J26" s="129">
        <f t="shared" si="2"/>
        <v>285.51</v>
      </c>
      <c r="K26" s="129">
        <f t="shared" si="4"/>
        <v>1495.81</v>
      </c>
      <c r="L26" s="130">
        <f t="shared" si="10"/>
        <v>1677.8</v>
      </c>
      <c r="M26" s="131">
        <f t="shared" si="7"/>
        <v>15100.199999999999</v>
      </c>
      <c r="N26" s="131">
        <f t="shared" si="11"/>
        <v>20134</v>
      </c>
      <c r="O26" s="115"/>
    </row>
    <row r="27" spans="1:15" x14ac:dyDescent="0.25">
      <c r="A27" s="133" t="s">
        <v>112</v>
      </c>
      <c r="B27" s="126" t="s">
        <v>113</v>
      </c>
      <c r="C27" s="127">
        <v>0.5</v>
      </c>
      <c r="D27" s="127">
        <v>0.5</v>
      </c>
      <c r="E27" s="132">
        <v>6</v>
      </c>
      <c r="F27" s="129">
        <f t="shared" si="0"/>
        <v>181.95833333333334</v>
      </c>
      <c r="G27" s="129">
        <f t="shared" si="1"/>
        <v>931</v>
      </c>
      <c r="H27" s="129">
        <v>1.3</v>
      </c>
      <c r="I27" s="129">
        <f t="shared" si="3"/>
        <v>1210.3</v>
      </c>
      <c r="J27" s="129">
        <f t="shared" si="2"/>
        <v>285.51</v>
      </c>
      <c r="K27" s="129">
        <f t="shared" si="4"/>
        <v>1495.81</v>
      </c>
      <c r="L27" s="130">
        <f t="shared" si="10"/>
        <v>1677.8</v>
      </c>
      <c r="M27" s="131">
        <f t="shared" si="7"/>
        <v>10066.799999999999</v>
      </c>
      <c r="N27" s="131">
        <f t="shared" si="11"/>
        <v>20134</v>
      </c>
      <c r="O27" s="115"/>
    </row>
    <row r="28" spans="1:15" x14ac:dyDescent="0.25">
      <c r="A28" s="133" t="s">
        <v>112</v>
      </c>
      <c r="B28" s="126" t="s">
        <v>114</v>
      </c>
      <c r="C28" s="127">
        <v>0.5</v>
      </c>
      <c r="D28" s="127">
        <v>0.5</v>
      </c>
      <c r="E28" s="132">
        <v>9</v>
      </c>
      <c r="F28" s="129">
        <f t="shared" si="0"/>
        <v>181.95833333333334</v>
      </c>
      <c r="G28" s="129">
        <f t="shared" si="1"/>
        <v>931</v>
      </c>
      <c r="H28" s="129">
        <v>1.3</v>
      </c>
      <c r="I28" s="129">
        <f t="shared" si="3"/>
        <v>1210.3</v>
      </c>
      <c r="J28" s="129">
        <f t="shared" si="2"/>
        <v>285.51</v>
      </c>
      <c r="K28" s="129">
        <f t="shared" si="4"/>
        <v>1495.81</v>
      </c>
      <c r="L28" s="130">
        <f t="shared" si="10"/>
        <v>1677.8</v>
      </c>
      <c r="M28" s="131">
        <f t="shared" si="7"/>
        <v>15100.199999999999</v>
      </c>
      <c r="N28" s="131">
        <f t="shared" si="11"/>
        <v>20134</v>
      </c>
      <c r="O28" s="115"/>
    </row>
    <row r="29" spans="1:15" x14ac:dyDescent="0.25">
      <c r="A29" s="133" t="s">
        <v>112</v>
      </c>
      <c r="B29" s="126" t="s">
        <v>115</v>
      </c>
      <c r="C29" s="127">
        <v>0.5</v>
      </c>
      <c r="D29" s="127">
        <v>0.5</v>
      </c>
      <c r="E29" s="132">
        <v>9</v>
      </c>
      <c r="F29" s="129">
        <f t="shared" si="0"/>
        <v>181.95833333333334</v>
      </c>
      <c r="G29" s="129">
        <f t="shared" si="1"/>
        <v>931</v>
      </c>
      <c r="H29" s="129">
        <v>1.3</v>
      </c>
      <c r="I29" s="129">
        <f t="shared" si="3"/>
        <v>1210.3</v>
      </c>
      <c r="J29" s="129">
        <f t="shared" si="2"/>
        <v>285.51</v>
      </c>
      <c r="K29" s="129">
        <f t="shared" si="4"/>
        <v>1495.81</v>
      </c>
      <c r="L29" s="130">
        <f t="shared" si="10"/>
        <v>1677.8</v>
      </c>
      <c r="M29" s="131">
        <f t="shared" si="7"/>
        <v>15100.199999999999</v>
      </c>
      <c r="N29" s="131">
        <f t="shared" si="11"/>
        <v>20134</v>
      </c>
      <c r="O29" s="115"/>
    </row>
    <row r="30" spans="1:15" x14ac:dyDescent="0.25">
      <c r="A30" s="133" t="s">
        <v>112</v>
      </c>
      <c r="B30" s="126" t="s">
        <v>116</v>
      </c>
      <c r="C30" s="127">
        <v>0.5</v>
      </c>
      <c r="D30" s="127">
        <v>0.5</v>
      </c>
      <c r="E30" s="132">
        <v>9</v>
      </c>
      <c r="F30" s="129">
        <f t="shared" si="0"/>
        <v>181.95833333333334</v>
      </c>
      <c r="G30" s="129">
        <f t="shared" si="1"/>
        <v>931</v>
      </c>
      <c r="H30" s="129">
        <v>1.3</v>
      </c>
      <c r="I30" s="129">
        <f t="shared" si="3"/>
        <v>1210.3</v>
      </c>
      <c r="J30" s="129">
        <f t="shared" si="2"/>
        <v>285.51</v>
      </c>
      <c r="K30" s="129">
        <f t="shared" si="4"/>
        <v>1495.81</v>
      </c>
      <c r="L30" s="130">
        <f t="shared" si="10"/>
        <v>1677.8</v>
      </c>
      <c r="M30" s="131">
        <f t="shared" si="7"/>
        <v>15100.199999999999</v>
      </c>
      <c r="N30" s="131">
        <f t="shared" si="11"/>
        <v>20134</v>
      </c>
      <c r="O30" s="115"/>
    </row>
    <row r="31" spans="1:15" x14ac:dyDescent="0.25">
      <c r="A31" s="133" t="s">
        <v>112</v>
      </c>
      <c r="B31" s="126" t="s">
        <v>117</v>
      </c>
      <c r="C31" s="127">
        <v>0.5</v>
      </c>
      <c r="D31" s="127">
        <v>0.5</v>
      </c>
      <c r="E31" s="132">
        <v>9</v>
      </c>
      <c r="F31" s="129">
        <f t="shared" si="0"/>
        <v>181.95833333333334</v>
      </c>
      <c r="G31" s="129">
        <f t="shared" si="1"/>
        <v>931</v>
      </c>
      <c r="H31" s="129">
        <v>1.3</v>
      </c>
      <c r="I31" s="129">
        <f t="shared" si="3"/>
        <v>1210.3</v>
      </c>
      <c r="J31" s="129">
        <f t="shared" si="2"/>
        <v>285.51</v>
      </c>
      <c r="K31" s="129">
        <f t="shared" si="4"/>
        <v>1495.81</v>
      </c>
      <c r="L31" s="130">
        <f t="shared" si="10"/>
        <v>1677.8</v>
      </c>
      <c r="M31" s="131">
        <f t="shared" si="7"/>
        <v>15100.199999999999</v>
      </c>
      <c r="N31" s="131">
        <f t="shared" si="11"/>
        <v>20134</v>
      </c>
      <c r="O31" s="115"/>
    </row>
    <row r="32" spans="1:15" x14ac:dyDescent="0.25">
      <c r="A32" s="133" t="s">
        <v>118</v>
      </c>
      <c r="B32" s="126" t="s">
        <v>119</v>
      </c>
      <c r="C32" s="127">
        <v>0.5</v>
      </c>
      <c r="D32" s="127">
        <v>0.5</v>
      </c>
      <c r="E32" s="132">
        <v>8</v>
      </c>
      <c r="F32" s="129">
        <f t="shared" si="0"/>
        <v>181.95833333333334</v>
      </c>
      <c r="G32" s="129">
        <f t="shared" si="1"/>
        <v>931</v>
      </c>
      <c r="H32" s="129">
        <v>1.3</v>
      </c>
      <c r="I32" s="129">
        <f t="shared" si="3"/>
        <v>1210.3</v>
      </c>
      <c r="J32" s="129">
        <f t="shared" si="2"/>
        <v>285.51</v>
      </c>
      <c r="K32" s="129">
        <f t="shared" si="4"/>
        <v>1495.81</v>
      </c>
      <c r="L32" s="130">
        <f t="shared" si="10"/>
        <v>1677.8</v>
      </c>
      <c r="M32" s="131">
        <f t="shared" si="7"/>
        <v>13422.4</v>
      </c>
      <c r="N32" s="131">
        <f t="shared" si="11"/>
        <v>20134</v>
      </c>
      <c r="O32" s="115"/>
    </row>
    <row r="33" spans="1:15" x14ac:dyDescent="0.25">
      <c r="A33" s="133" t="s">
        <v>118</v>
      </c>
      <c r="B33" s="126" t="s">
        <v>120</v>
      </c>
      <c r="C33" s="127">
        <v>0.5</v>
      </c>
      <c r="D33" s="127">
        <v>0.5</v>
      </c>
      <c r="E33" s="132">
        <v>9</v>
      </c>
      <c r="F33" s="129">
        <f t="shared" si="0"/>
        <v>181.95833333333334</v>
      </c>
      <c r="G33" s="129">
        <f t="shared" si="1"/>
        <v>931</v>
      </c>
      <c r="H33" s="129">
        <v>1.3</v>
      </c>
      <c r="I33" s="129">
        <f t="shared" si="3"/>
        <v>1210.3</v>
      </c>
      <c r="J33" s="129">
        <f t="shared" si="2"/>
        <v>285.51</v>
      </c>
      <c r="K33" s="129">
        <f t="shared" si="4"/>
        <v>1495.81</v>
      </c>
      <c r="L33" s="130">
        <f t="shared" si="10"/>
        <v>1677.8</v>
      </c>
      <c r="M33" s="131">
        <f t="shared" si="7"/>
        <v>15100.199999999999</v>
      </c>
      <c r="N33" s="131">
        <f t="shared" si="11"/>
        <v>20134</v>
      </c>
      <c r="O33" s="115"/>
    </row>
    <row r="34" spans="1:15" x14ac:dyDescent="0.25">
      <c r="A34" s="133" t="s">
        <v>118</v>
      </c>
      <c r="B34" s="126" t="s">
        <v>121</v>
      </c>
      <c r="C34" s="127">
        <v>0.5</v>
      </c>
      <c r="D34" s="127">
        <v>0.5</v>
      </c>
      <c r="E34" s="132">
        <v>6</v>
      </c>
      <c r="F34" s="129">
        <f t="shared" si="0"/>
        <v>181.95833333333334</v>
      </c>
      <c r="G34" s="129">
        <f t="shared" si="1"/>
        <v>931</v>
      </c>
      <c r="H34" s="129">
        <v>1.3</v>
      </c>
      <c r="I34" s="129">
        <f t="shared" si="3"/>
        <v>1210.3</v>
      </c>
      <c r="J34" s="129">
        <f t="shared" si="2"/>
        <v>285.51</v>
      </c>
      <c r="K34" s="129">
        <f t="shared" si="4"/>
        <v>1495.81</v>
      </c>
      <c r="L34" s="130">
        <f t="shared" si="10"/>
        <v>1677.8</v>
      </c>
      <c r="M34" s="131">
        <f t="shared" si="7"/>
        <v>10066.799999999999</v>
      </c>
      <c r="N34" s="131">
        <f t="shared" si="11"/>
        <v>20134</v>
      </c>
      <c r="O34" s="115"/>
    </row>
    <row r="35" spans="1:15" x14ac:dyDescent="0.25">
      <c r="A35" s="133" t="s">
        <v>122</v>
      </c>
      <c r="B35" s="126" t="s">
        <v>151</v>
      </c>
      <c r="C35" s="127">
        <v>2</v>
      </c>
      <c r="D35" s="127">
        <v>3</v>
      </c>
      <c r="E35" s="132">
        <v>6</v>
      </c>
      <c r="F35" s="129">
        <f t="shared" si="0"/>
        <v>727.83333333333337</v>
      </c>
      <c r="G35" s="129">
        <f t="shared" si="1"/>
        <v>3724</v>
      </c>
      <c r="H35" s="129">
        <v>1.3</v>
      </c>
      <c r="I35" s="129">
        <f t="shared" si="3"/>
        <v>4841.2</v>
      </c>
      <c r="J35" s="129">
        <f t="shared" si="2"/>
        <v>1142.04</v>
      </c>
      <c r="K35" s="129">
        <f t="shared" si="4"/>
        <v>5983.24</v>
      </c>
      <c r="L35" s="130">
        <f>ROUND(F35+K35,1)</f>
        <v>6711.1</v>
      </c>
      <c r="M35" s="131">
        <f t="shared" si="7"/>
        <v>40266.600000000006</v>
      </c>
      <c r="N35" s="131">
        <f>L35*12/2*3</f>
        <v>120799.80000000002</v>
      </c>
      <c r="O35" s="115"/>
    </row>
    <row r="36" spans="1:15" x14ac:dyDescent="0.25">
      <c r="A36" s="133" t="s">
        <v>122</v>
      </c>
      <c r="B36" s="126" t="s">
        <v>124</v>
      </c>
      <c r="C36" s="127">
        <v>1</v>
      </c>
      <c r="D36" s="127">
        <v>1</v>
      </c>
      <c r="E36" s="132">
        <v>7</v>
      </c>
      <c r="F36" s="129">
        <f t="shared" si="0"/>
        <v>363.91666666666669</v>
      </c>
      <c r="G36" s="129">
        <f t="shared" si="1"/>
        <v>1862</v>
      </c>
      <c r="H36" s="129">
        <v>1.3</v>
      </c>
      <c r="I36" s="129">
        <f t="shared" si="3"/>
        <v>2420.6</v>
      </c>
      <c r="J36" s="129">
        <f t="shared" si="2"/>
        <v>571.02</v>
      </c>
      <c r="K36" s="129">
        <f t="shared" si="4"/>
        <v>2991.62</v>
      </c>
      <c r="L36" s="130">
        <f t="shared" si="8"/>
        <v>3355.5366666666664</v>
      </c>
      <c r="M36" s="131">
        <f t="shared" si="7"/>
        <v>23488.756666666664</v>
      </c>
      <c r="N36" s="131">
        <f t="shared" si="6"/>
        <v>40266.439999999995</v>
      </c>
      <c r="O36" s="115"/>
    </row>
    <row r="37" spans="1:15" x14ac:dyDescent="0.25">
      <c r="A37" s="133" t="s">
        <v>122</v>
      </c>
      <c r="B37" s="126" t="s">
        <v>125</v>
      </c>
      <c r="C37" s="127">
        <v>1</v>
      </c>
      <c r="D37" s="127">
        <v>1</v>
      </c>
      <c r="E37" s="132">
        <v>9</v>
      </c>
      <c r="F37" s="129">
        <f t="shared" si="0"/>
        <v>363.91666666666669</v>
      </c>
      <c r="G37" s="129">
        <f t="shared" si="1"/>
        <v>1862</v>
      </c>
      <c r="H37" s="129">
        <v>1.3</v>
      </c>
      <c r="I37" s="129">
        <f t="shared" si="3"/>
        <v>2420.6</v>
      </c>
      <c r="J37" s="129">
        <f t="shared" si="2"/>
        <v>571.02</v>
      </c>
      <c r="K37" s="129">
        <f t="shared" si="4"/>
        <v>2991.62</v>
      </c>
      <c r="L37" s="130">
        <f t="shared" si="8"/>
        <v>3355.5366666666664</v>
      </c>
      <c r="M37" s="131">
        <f t="shared" si="7"/>
        <v>30199.829999999998</v>
      </c>
      <c r="N37" s="131">
        <f t="shared" si="6"/>
        <v>40266.439999999995</v>
      </c>
      <c r="O37" s="115"/>
    </row>
    <row r="38" spans="1:15" x14ac:dyDescent="0.25">
      <c r="A38" s="133" t="s">
        <v>122</v>
      </c>
      <c r="B38" s="126" t="s">
        <v>126</v>
      </c>
      <c r="C38" s="127">
        <v>1</v>
      </c>
      <c r="D38" s="127">
        <v>1</v>
      </c>
      <c r="E38" s="132">
        <v>7</v>
      </c>
      <c r="F38" s="129">
        <f t="shared" si="0"/>
        <v>363.91666666666669</v>
      </c>
      <c r="G38" s="129">
        <f t="shared" si="1"/>
        <v>1862</v>
      </c>
      <c r="H38" s="129">
        <v>1.3</v>
      </c>
      <c r="I38" s="129">
        <f t="shared" si="3"/>
        <v>2420.6</v>
      </c>
      <c r="J38" s="129">
        <f t="shared" si="2"/>
        <v>571.02</v>
      </c>
      <c r="K38" s="129">
        <f t="shared" si="4"/>
        <v>2991.62</v>
      </c>
      <c r="L38" s="130">
        <f t="shared" si="8"/>
        <v>3355.5366666666664</v>
      </c>
      <c r="M38" s="131">
        <f t="shared" si="7"/>
        <v>23488.756666666664</v>
      </c>
      <c r="N38" s="131">
        <f t="shared" si="6"/>
        <v>40266.439999999995</v>
      </c>
      <c r="O38" s="115"/>
    </row>
    <row r="39" spans="1:15" ht="26.4" x14ac:dyDescent="0.25">
      <c r="A39" s="133" t="s">
        <v>122</v>
      </c>
      <c r="B39" s="126" t="s">
        <v>147</v>
      </c>
      <c r="C39" s="127">
        <v>1.5</v>
      </c>
      <c r="D39" s="127">
        <v>1.5</v>
      </c>
      <c r="E39" s="132">
        <v>9</v>
      </c>
      <c r="F39" s="129">
        <f t="shared" si="0"/>
        <v>545.875</v>
      </c>
      <c r="G39" s="129">
        <f t="shared" si="1"/>
        <v>2793</v>
      </c>
      <c r="H39" s="129">
        <v>1.3</v>
      </c>
      <c r="I39" s="129">
        <f t="shared" si="3"/>
        <v>3630.9</v>
      </c>
      <c r="J39" s="129">
        <f t="shared" si="2"/>
        <v>856.53</v>
      </c>
      <c r="K39" s="129">
        <f t="shared" si="4"/>
        <v>4487.43</v>
      </c>
      <c r="L39" s="130">
        <f t="shared" si="8"/>
        <v>5033.3050000000003</v>
      </c>
      <c r="M39" s="131">
        <f t="shared" si="7"/>
        <v>45299.745000000003</v>
      </c>
      <c r="N39" s="131">
        <f t="shared" si="6"/>
        <v>60399.66</v>
      </c>
      <c r="O39" s="115"/>
    </row>
    <row r="40" spans="1:15" x14ac:dyDescent="0.25">
      <c r="A40" s="133" t="s">
        <v>122</v>
      </c>
      <c r="B40" s="126" t="s">
        <v>128</v>
      </c>
      <c r="C40" s="127">
        <v>1</v>
      </c>
      <c r="D40" s="127">
        <v>1</v>
      </c>
      <c r="E40" s="132">
        <v>9</v>
      </c>
      <c r="F40" s="129">
        <f t="shared" si="0"/>
        <v>363.91666666666669</v>
      </c>
      <c r="G40" s="129">
        <f t="shared" si="1"/>
        <v>1862</v>
      </c>
      <c r="H40" s="129">
        <v>1.3</v>
      </c>
      <c r="I40" s="129">
        <f t="shared" si="3"/>
        <v>2420.6</v>
      </c>
      <c r="J40" s="129">
        <f t="shared" si="2"/>
        <v>571.02</v>
      </c>
      <c r="K40" s="129">
        <f t="shared" si="4"/>
        <v>2991.62</v>
      </c>
      <c r="L40" s="130">
        <f t="shared" si="8"/>
        <v>3355.5366666666664</v>
      </c>
      <c r="M40" s="131">
        <f t="shared" si="7"/>
        <v>30199.829999999998</v>
      </c>
      <c r="N40" s="131">
        <f t="shared" si="6"/>
        <v>40266.439999999995</v>
      </c>
      <c r="O40" s="115"/>
    </row>
    <row r="41" spans="1:15" x14ac:dyDescent="0.25">
      <c r="A41" s="133" t="s">
        <v>122</v>
      </c>
      <c r="B41" s="126" t="s">
        <v>129</v>
      </c>
      <c r="C41" s="135">
        <v>1</v>
      </c>
      <c r="D41" s="135">
        <v>1</v>
      </c>
      <c r="E41" s="132">
        <v>6</v>
      </c>
      <c r="F41" s="129">
        <f t="shared" si="0"/>
        <v>363.91666666666669</v>
      </c>
      <c r="G41" s="129">
        <f t="shared" si="1"/>
        <v>1862</v>
      </c>
      <c r="H41" s="129">
        <v>1.3</v>
      </c>
      <c r="I41" s="129">
        <f t="shared" si="3"/>
        <v>2420.6</v>
      </c>
      <c r="J41" s="129">
        <f t="shared" si="2"/>
        <v>571.02</v>
      </c>
      <c r="K41" s="129">
        <f t="shared" si="4"/>
        <v>2991.62</v>
      </c>
      <c r="L41" s="130">
        <f t="shared" si="8"/>
        <v>3355.5366666666664</v>
      </c>
      <c r="M41" s="131">
        <f t="shared" si="7"/>
        <v>20133.219999999998</v>
      </c>
      <c r="N41" s="131">
        <f t="shared" si="6"/>
        <v>40266.439999999995</v>
      </c>
      <c r="O41" s="115"/>
    </row>
    <row r="42" spans="1:15" x14ac:dyDescent="0.25">
      <c r="A42" s="133" t="s">
        <v>122</v>
      </c>
      <c r="B42" s="136" t="s">
        <v>130</v>
      </c>
      <c r="C42" s="127">
        <v>0.5</v>
      </c>
      <c r="D42" s="127">
        <v>0.5</v>
      </c>
      <c r="E42" s="132">
        <v>6</v>
      </c>
      <c r="F42" s="129">
        <f t="shared" si="0"/>
        <v>181.95833333333334</v>
      </c>
      <c r="G42" s="129">
        <f t="shared" si="1"/>
        <v>931</v>
      </c>
      <c r="H42" s="129">
        <v>1.3</v>
      </c>
      <c r="I42" s="129">
        <f t="shared" si="3"/>
        <v>1210.3</v>
      </c>
      <c r="J42" s="129">
        <f t="shared" si="2"/>
        <v>285.51</v>
      </c>
      <c r="K42" s="129">
        <f t="shared" si="4"/>
        <v>1495.81</v>
      </c>
      <c r="L42" s="130">
        <f>ROUND(F42+K42,1)</f>
        <v>1677.8</v>
      </c>
      <c r="M42" s="131">
        <f t="shared" si="7"/>
        <v>10066.799999999999</v>
      </c>
      <c r="N42" s="131">
        <f t="shared" si="6"/>
        <v>20133.599999999999</v>
      </c>
      <c r="O42" s="115"/>
    </row>
    <row r="43" spans="1:15" x14ac:dyDescent="0.25">
      <c r="A43" s="133" t="s">
        <v>131</v>
      </c>
      <c r="B43" s="126" t="s">
        <v>132</v>
      </c>
      <c r="C43" s="127">
        <v>0.5</v>
      </c>
      <c r="D43" s="127">
        <v>0.5</v>
      </c>
      <c r="E43" s="132">
        <v>8</v>
      </c>
      <c r="F43" s="129">
        <f t="shared" si="0"/>
        <v>181.95833333333334</v>
      </c>
      <c r="G43" s="129">
        <f t="shared" si="1"/>
        <v>931</v>
      </c>
      <c r="H43" s="129">
        <v>1.3</v>
      </c>
      <c r="I43" s="129">
        <f t="shared" si="3"/>
        <v>1210.3</v>
      </c>
      <c r="J43" s="129">
        <f t="shared" si="2"/>
        <v>285.51</v>
      </c>
      <c r="K43" s="129">
        <f t="shared" si="4"/>
        <v>1495.81</v>
      </c>
      <c r="L43" s="130">
        <f t="shared" ref="L43:L44" si="12">ROUND(F43+K43,1)</f>
        <v>1677.8</v>
      </c>
      <c r="M43" s="131">
        <f t="shared" si="7"/>
        <v>13422.4</v>
      </c>
      <c r="N43" s="131">
        <f t="shared" si="6"/>
        <v>20133.599999999999</v>
      </c>
      <c r="O43" s="115"/>
    </row>
    <row r="44" spans="1:15" x14ac:dyDescent="0.25">
      <c r="A44" s="133" t="s">
        <v>131</v>
      </c>
      <c r="B44" s="126" t="s">
        <v>133</v>
      </c>
      <c r="C44" s="127">
        <v>0.5</v>
      </c>
      <c r="D44" s="127">
        <v>0.5</v>
      </c>
      <c r="E44" s="132">
        <v>6</v>
      </c>
      <c r="F44" s="129">
        <f t="shared" si="0"/>
        <v>181.95833333333334</v>
      </c>
      <c r="G44" s="129">
        <f t="shared" si="1"/>
        <v>931</v>
      </c>
      <c r="H44" s="129">
        <v>1.3</v>
      </c>
      <c r="I44" s="129">
        <f t="shared" si="3"/>
        <v>1210.3</v>
      </c>
      <c r="J44" s="129">
        <f t="shared" si="2"/>
        <v>285.51</v>
      </c>
      <c r="K44" s="129">
        <f t="shared" si="4"/>
        <v>1495.81</v>
      </c>
      <c r="L44" s="130">
        <f t="shared" si="12"/>
        <v>1677.8</v>
      </c>
      <c r="M44" s="131">
        <f t="shared" si="7"/>
        <v>10066.799999999999</v>
      </c>
      <c r="N44" s="131">
        <f t="shared" si="6"/>
        <v>20133.599999999999</v>
      </c>
      <c r="O44" s="115"/>
    </row>
    <row r="45" spans="1:15" x14ac:dyDescent="0.25">
      <c r="A45" s="137"/>
      <c r="C45" s="137"/>
      <c r="D45" s="137"/>
      <c r="E45" s="138"/>
      <c r="F45" s="137"/>
      <c r="G45" s="137"/>
      <c r="H45" s="137"/>
      <c r="I45" s="137"/>
      <c r="J45" s="137"/>
      <c r="K45" s="137"/>
      <c r="L45" s="115">
        <f>SUM(L6:L44)</f>
        <v>109055.44500000008</v>
      </c>
      <c r="M45" s="93">
        <f>SUM(M6:M44)</f>
        <v>805332.39833333332</v>
      </c>
      <c r="N45" s="93">
        <f>SUM(N6:N44)</f>
        <v>1348936.46</v>
      </c>
      <c r="O45" s="115"/>
    </row>
    <row r="46" spans="1:15" ht="63" customHeight="1" x14ac:dyDescent="0.25">
      <c r="A46" s="208" t="s">
        <v>254</v>
      </c>
      <c r="B46" s="208"/>
      <c r="C46" s="208"/>
      <c r="D46" s="208"/>
      <c r="E46" s="208"/>
      <c r="F46" s="208"/>
      <c r="G46" s="208"/>
      <c r="H46" s="208"/>
      <c r="I46" s="208"/>
      <c r="J46" s="208"/>
      <c r="K46" s="208"/>
      <c r="L46" s="208"/>
      <c r="M46" s="208"/>
      <c r="N46" s="208"/>
    </row>
    <row r="47" spans="1:15" x14ac:dyDescent="0.25">
      <c r="A47" s="143" t="s">
        <v>148</v>
      </c>
      <c r="B47" s="139"/>
      <c r="C47" s="139"/>
      <c r="D47" s="139"/>
      <c r="E47" s="139"/>
      <c r="F47" s="139"/>
      <c r="G47" s="139"/>
      <c r="H47" s="139"/>
      <c r="I47" s="139"/>
      <c r="J47" s="139"/>
      <c r="K47" s="139"/>
      <c r="L47" s="139"/>
      <c r="M47" s="140"/>
      <c r="N47" s="139"/>
    </row>
    <row r="48" spans="1:15" x14ac:dyDescent="0.25">
      <c r="A48" s="18" t="s">
        <v>217</v>
      </c>
    </row>
  </sheetData>
  <mergeCells count="3">
    <mergeCell ref="A46:N46"/>
    <mergeCell ref="N1:O1"/>
    <mergeCell ref="A1:M1"/>
  </mergeCells>
  <pageMargins left="0.7" right="0.7" top="0.75" bottom="0.75" header="0.3" footer="0.3"/>
  <pageSetup paperSize="9" scale="52"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0329-A5B6-4209-A08B-9C4FF5452AD7}">
  <dimension ref="A1:R51"/>
  <sheetViews>
    <sheetView zoomScale="90" zoomScaleNormal="90" workbookViewId="0">
      <selection activeCell="O44" sqref="O44"/>
    </sheetView>
  </sheetViews>
  <sheetFormatPr defaultColWidth="9.109375" defaultRowHeight="14.4" x14ac:dyDescent="0.3"/>
  <cols>
    <col min="1" max="1" width="4.5546875" customWidth="1"/>
    <col min="2" max="2" width="16.44140625" bestFit="1" customWidth="1"/>
    <col min="3" max="3" width="11.5546875" customWidth="1"/>
    <col min="4" max="4" width="41.6640625" customWidth="1"/>
    <col min="5" max="5" width="17.5546875" customWidth="1"/>
    <col min="6" max="6" width="14.88671875" customWidth="1"/>
    <col min="7" max="9" width="13" customWidth="1"/>
    <col min="10" max="10" width="10.109375" customWidth="1"/>
    <col min="11" max="11" width="11" customWidth="1"/>
    <col min="12" max="12" width="15.109375" style="145" customWidth="1"/>
    <col min="13" max="13" width="16.5546875" style="145" customWidth="1"/>
    <col min="14" max="14" width="13" style="145" customWidth="1"/>
    <col min="15" max="15" width="9.109375" style="145" customWidth="1"/>
    <col min="16" max="16" width="14.44140625" customWidth="1"/>
    <col min="17" max="17" width="17" style="145" customWidth="1"/>
    <col min="18" max="18" width="18" customWidth="1"/>
    <col min="19" max="19" width="15.33203125" customWidth="1"/>
  </cols>
  <sheetData>
    <row r="1" spans="1:18" ht="56.4" customHeight="1" x14ac:dyDescent="0.3">
      <c r="A1" s="210" t="s">
        <v>153</v>
      </c>
      <c r="B1" s="210"/>
      <c r="C1" s="210"/>
      <c r="D1" s="210"/>
      <c r="E1" s="210"/>
      <c r="F1" s="210"/>
      <c r="G1" s="210"/>
      <c r="H1" s="210"/>
      <c r="I1" s="210"/>
      <c r="J1" s="210"/>
      <c r="K1" s="210"/>
      <c r="L1" s="210"/>
      <c r="M1" s="210"/>
      <c r="N1" s="210"/>
      <c r="O1" s="211" t="s">
        <v>215</v>
      </c>
      <c r="P1" s="211"/>
      <c r="Q1" s="211"/>
      <c r="R1" s="211"/>
    </row>
    <row r="3" spans="1:18" x14ac:dyDescent="0.3">
      <c r="A3" s="212" t="s">
        <v>32</v>
      </c>
      <c r="B3" s="212" t="s">
        <v>165</v>
      </c>
      <c r="C3" s="213" t="s">
        <v>166</v>
      </c>
      <c r="D3" s="212" t="s">
        <v>81</v>
      </c>
      <c r="E3" s="216" t="s">
        <v>167</v>
      </c>
      <c r="F3" s="217" t="s">
        <v>168</v>
      </c>
      <c r="G3" s="217"/>
      <c r="H3" s="217" t="s">
        <v>169</v>
      </c>
      <c r="I3" s="217"/>
      <c r="J3" s="218" t="s">
        <v>170</v>
      </c>
      <c r="K3" s="218" t="s">
        <v>171</v>
      </c>
      <c r="L3" s="218" t="s">
        <v>172</v>
      </c>
      <c r="M3" s="218" t="s">
        <v>173</v>
      </c>
      <c r="N3" s="218" t="s">
        <v>174</v>
      </c>
      <c r="O3" s="218" t="s">
        <v>175</v>
      </c>
      <c r="P3" s="218" t="s">
        <v>176</v>
      </c>
      <c r="Q3" s="218" t="s">
        <v>177</v>
      </c>
      <c r="R3" s="219" t="s">
        <v>212</v>
      </c>
    </row>
    <row r="4" spans="1:18" x14ac:dyDescent="0.3">
      <c r="A4" s="212"/>
      <c r="B4" s="212"/>
      <c r="C4" s="214"/>
      <c r="D4" s="212"/>
      <c r="E4" s="216"/>
      <c r="F4" s="217"/>
      <c r="G4" s="217"/>
      <c r="H4" s="217"/>
      <c r="I4" s="217"/>
      <c r="J4" s="218"/>
      <c r="K4" s="218"/>
      <c r="L4" s="218"/>
      <c r="M4" s="218"/>
      <c r="N4" s="218"/>
      <c r="O4" s="218"/>
      <c r="P4" s="218"/>
      <c r="Q4" s="218"/>
      <c r="R4" s="219"/>
    </row>
    <row r="5" spans="1:18" ht="52.8" x14ac:dyDescent="0.3">
      <c r="A5" s="212"/>
      <c r="B5" s="212"/>
      <c r="C5" s="215"/>
      <c r="D5" s="212"/>
      <c r="E5" s="216"/>
      <c r="F5" s="153" t="s">
        <v>178</v>
      </c>
      <c r="G5" s="153" t="s">
        <v>179</v>
      </c>
      <c r="H5" s="154" t="s">
        <v>180</v>
      </c>
      <c r="I5" s="154" t="s">
        <v>181</v>
      </c>
      <c r="J5" s="218"/>
      <c r="K5" s="218"/>
      <c r="L5" s="218"/>
      <c r="M5" s="218"/>
      <c r="N5" s="218"/>
      <c r="O5" s="218"/>
      <c r="P5" s="218"/>
      <c r="Q5" s="218"/>
      <c r="R5" s="219"/>
    </row>
    <row r="6" spans="1:18" x14ac:dyDescent="0.3">
      <c r="A6" s="155">
        <v>1</v>
      </c>
      <c r="B6" s="155" t="s">
        <v>182</v>
      </c>
      <c r="C6" s="156">
        <v>620200038</v>
      </c>
      <c r="D6" s="155" t="s">
        <v>183</v>
      </c>
      <c r="E6" s="157">
        <v>47775</v>
      </c>
      <c r="F6" s="157">
        <v>2756</v>
      </c>
      <c r="G6" s="157">
        <v>549</v>
      </c>
      <c r="H6" s="157">
        <v>1343</v>
      </c>
      <c r="I6" s="157">
        <v>3896</v>
      </c>
      <c r="J6" s="158">
        <f t="shared" ref="J6:J41" si="0">F6+I6</f>
        <v>6652</v>
      </c>
      <c r="K6" s="158">
        <f t="shared" ref="K6:K41" si="1">G6+H6</f>
        <v>1892</v>
      </c>
      <c r="L6" s="158">
        <f>ROUND(J6*0.18,0)</f>
        <v>1197</v>
      </c>
      <c r="M6" s="158">
        <f t="shared" ref="M6:M36" si="2">ROUND(L6/(365/12*9),0)</f>
        <v>4</v>
      </c>
      <c r="N6" s="158">
        <f t="shared" ref="N6:N41" si="3">ROUND(M6/$K$45,0)</f>
        <v>4</v>
      </c>
      <c r="O6" s="159">
        <f t="shared" ref="O6:O11" si="4">N6*$I$45</f>
        <v>1460</v>
      </c>
      <c r="P6" s="158">
        <f>O6*$G$45</f>
        <v>124143.8</v>
      </c>
      <c r="Q6" s="158">
        <f>P6-E6</f>
        <v>76368.800000000003</v>
      </c>
      <c r="R6" s="193">
        <f>Q6/12*10</f>
        <v>63640.666666666664</v>
      </c>
    </row>
    <row r="7" spans="1:18" x14ac:dyDescent="0.3">
      <c r="A7" s="155">
        <v>2</v>
      </c>
      <c r="B7" s="155" t="s">
        <v>182</v>
      </c>
      <c r="C7" s="156">
        <v>170020401</v>
      </c>
      <c r="D7" s="155" t="s">
        <v>184</v>
      </c>
      <c r="E7" s="157">
        <v>136871</v>
      </c>
      <c r="F7" s="157">
        <v>10262</v>
      </c>
      <c r="G7" s="157">
        <v>436</v>
      </c>
      <c r="H7" s="157">
        <v>1407</v>
      </c>
      <c r="I7" s="157">
        <v>12092</v>
      </c>
      <c r="J7" s="158">
        <f t="shared" si="0"/>
        <v>22354</v>
      </c>
      <c r="K7" s="158">
        <f t="shared" si="1"/>
        <v>1843</v>
      </c>
      <c r="L7" s="158">
        <f t="shared" ref="L7:L41" si="5">ROUND(J7*0.18,0)</f>
        <v>4024</v>
      </c>
      <c r="M7" s="158">
        <f t="shared" si="2"/>
        <v>15</v>
      </c>
      <c r="N7" s="158">
        <f t="shared" si="3"/>
        <v>14</v>
      </c>
      <c r="O7" s="159">
        <f t="shared" si="4"/>
        <v>5110</v>
      </c>
      <c r="P7" s="158">
        <f>O7*$G$46</f>
        <v>578503.1</v>
      </c>
      <c r="Q7" s="158">
        <f t="shared" ref="Q7:Q41" si="6">P7-E7</f>
        <v>441632.1</v>
      </c>
      <c r="R7" s="193">
        <f t="shared" ref="R7:R41" si="7">Q7/12*10</f>
        <v>368026.74999999994</v>
      </c>
    </row>
    <row r="8" spans="1:18" x14ac:dyDescent="0.3">
      <c r="A8" s="155">
        <v>3</v>
      </c>
      <c r="B8" s="155" t="s">
        <v>182</v>
      </c>
      <c r="C8" s="156">
        <v>900200046</v>
      </c>
      <c r="D8" s="155" t="s">
        <v>185</v>
      </c>
      <c r="E8" s="157">
        <v>55360</v>
      </c>
      <c r="F8" s="157">
        <v>1838</v>
      </c>
      <c r="G8" s="157">
        <v>59</v>
      </c>
      <c r="H8" s="157">
        <v>230</v>
      </c>
      <c r="I8" s="157">
        <v>3250</v>
      </c>
      <c r="J8" s="158">
        <f t="shared" si="0"/>
        <v>5088</v>
      </c>
      <c r="K8" s="158">
        <f t="shared" si="1"/>
        <v>289</v>
      </c>
      <c r="L8" s="158">
        <f t="shared" si="5"/>
        <v>916</v>
      </c>
      <c r="M8" s="158">
        <f t="shared" si="2"/>
        <v>3</v>
      </c>
      <c r="N8" s="158">
        <f t="shared" si="3"/>
        <v>3</v>
      </c>
      <c r="O8" s="159">
        <f t="shared" si="4"/>
        <v>1095</v>
      </c>
      <c r="P8" s="158">
        <f>O8*$G$45</f>
        <v>93107.85</v>
      </c>
      <c r="Q8" s="158">
        <f t="shared" si="6"/>
        <v>37747.850000000006</v>
      </c>
      <c r="R8" s="193">
        <f t="shared" si="7"/>
        <v>31456.541666666672</v>
      </c>
    </row>
    <row r="9" spans="1:18" x14ac:dyDescent="0.3">
      <c r="A9" s="155">
        <v>4</v>
      </c>
      <c r="B9" s="155" t="s">
        <v>182</v>
      </c>
      <c r="C9" s="156">
        <v>270020302</v>
      </c>
      <c r="D9" s="155" t="s">
        <v>186</v>
      </c>
      <c r="E9" s="157">
        <v>133023</v>
      </c>
      <c r="F9" s="157">
        <v>6047</v>
      </c>
      <c r="G9" s="157">
        <v>373</v>
      </c>
      <c r="H9" s="157">
        <v>1839</v>
      </c>
      <c r="I9" s="157">
        <v>11162</v>
      </c>
      <c r="J9" s="158">
        <f t="shared" si="0"/>
        <v>17209</v>
      </c>
      <c r="K9" s="158">
        <f t="shared" si="1"/>
        <v>2212</v>
      </c>
      <c r="L9" s="158">
        <f t="shared" si="5"/>
        <v>3098</v>
      </c>
      <c r="M9" s="158">
        <f t="shared" si="2"/>
        <v>11</v>
      </c>
      <c r="N9" s="158">
        <f t="shared" si="3"/>
        <v>10</v>
      </c>
      <c r="O9" s="159">
        <f t="shared" si="4"/>
        <v>3650</v>
      </c>
      <c r="P9" s="158">
        <f>O9*$G$46</f>
        <v>413216.5</v>
      </c>
      <c r="Q9" s="158">
        <f t="shared" si="6"/>
        <v>280193.5</v>
      </c>
      <c r="R9" s="193">
        <f t="shared" si="7"/>
        <v>233494.58333333331</v>
      </c>
    </row>
    <row r="10" spans="1:18" x14ac:dyDescent="0.3">
      <c r="A10" s="155">
        <v>5</v>
      </c>
      <c r="B10" s="155" t="s">
        <v>187</v>
      </c>
      <c r="C10" s="156">
        <v>130020302</v>
      </c>
      <c r="D10" s="155" t="s">
        <v>188</v>
      </c>
      <c r="E10" s="157">
        <v>35662</v>
      </c>
      <c r="F10" s="157">
        <v>3786</v>
      </c>
      <c r="G10" s="157">
        <v>237</v>
      </c>
      <c r="H10" s="157">
        <v>592</v>
      </c>
      <c r="I10" s="157">
        <v>4589</v>
      </c>
      <c r="J10" s="158">
        <f t="shared" si="0"/>
        <v>8375</v>
      </c>
      <c r="K10" s="158">
        <f t="shared" si="1"/>
        <v>829</v>
      </c>
      <c r="L10" s="158">
        <f t="shared" si="5"/>
        <v>1508</v>
      </c>
      <c r="M10" s="158">
        <f t="shared" si="2"/>
        <v>6</v>
      </c>
      <c r="N10" s="158">
        <f t="shared" si="3"/>
        <v>6</v>
      </c>
      <c r="O10" s="159">
        <f t="shared" si="4"/>
        <v>2190</v>
      </c>
      <c r="P10" s="158">
        <f>O10*$G$45</f>
        <v>186215.7</v>
      </c>
      <c r="Q10" s="158">
        <f t="shared" si="6"/>
        <v>150553.70000000001</v>
      </c>
      <c r="R10" s="193">
        <f t="shared" si="7"/>
        <v>125461.41666666669</v>
      </c>
    </row>
    <row r="11" spans="1:18" x14ac:dyDescent="0.3">
      <c r="A11" s="155">
        <v>6</v>
      </c>
      <c r="B11" s="155" t="s">
        <v>187</v>
      </c>
      <c r="C11" s="156">
        <v>10011803</v>
      </c>
      <c r="D11" s="155" t="s">
        <v>189</v>
      </c>
      <c r="E11" s="157">
        <v>666326</v>
      </c>
      <c r="F11" s="157">
        <v>30692</v>
      </c>
      <c r="G11" s="157">
        <v>3018</v>
      </c>
      <c r="H11" s="157">
        <v>6663</v>
      </c>
      <c r="I11" s="157">
        <v>23765</v>
      </c>
      <c r="J11" s="158">
        <f t="shared" si="0"/>
        <v>54457</v>
      </c>
      <c r="K11" s="158">
        <f t="shared" si="1"/>
        <v>9681</v>
      </c>
      <c r="L11" s="158">
        <f t="shared" si="5"/>
        <v>9802</v>
      </c>
      <c r="M11" s="158">
        <f t="shared" si="2"/>
        <v>36</v>
      </c>
      <c r="N11" s="158">
        <f t="shared" si="3"/>
        <v>34</v>
      </c>
      <c r="O11" s="159">
        <f t="shared" si="4"/>
        <v>12410</v>
      </c>
      <c r="P11" s="158">
        <f>O11*$G$47</f>
        <v>1546782.4</v>
      </c>
      <c r="Q11" s="158">
        <f t="shared" si="6"/>
        <v>880456.39999999991</v>
      </c>
      <c r="R11" s="193">
        <f t="shared" si="7"/>
        <v>733713.66666666651</v>
      </c>
    </row>
    <row r="12" spans="1:18" hidden="1" x14ac:dyDescent="0.3">
      <c r="A12" s="155">
        <v>8</v>
      </c>
      <c r="B12" s="155" t="s">
        <v>187</v>
      </c>
      <c r="C12" s="156">
        <v>10021301</v>
      </c>
      <c r="D12" s="155" t="s">
        <v>220</v>
      </c>
      <c r="E12" s="157"/>
      <c r="F12" s="157">
        <v>5104</v>
      </c>
      <c r="G12" s="157">
        <v>0</v>
      </c>
      <c r="H12" s="157">
        <v>0</v>
      </c>
      <c r="I12" s="157">
        <v>1165</v>
      </c>
      <c r="J12" s="158">
        <f t="shared" si="0"/>
        <v>6269</v>
      </c>
      <c r="K12" s="158">
        <f t="shared" si="1"/>
        <v>0</v>
      </c>
      <c r="L12" s="158">
        <f t="shared" si="5"/>
        <v>1128</v>
      </c>
      <c r="M12" s="158">
        <f t="shared" si="2"/>
        <v>4</v>
      </c>
      <c r="N12" s="158">
        <f t="shared" si="3"/>
        <v>4</v>
      </c>
      <c r="O12" s="159"/>
      <c r="P12" s="158"/>
      <c r="Q12" s="158">
        <f t="shared" si="6"/>
        <v>0</v>
      </c>
      <c r="R12" s="193">
        <f t="shared" si="7"/>
        <v>0</v>
      </c>
    </row>
    <row r="13" spans="1:18" hidden="1" x14ac:dyDescent="0.3">
      <c r="A13" s="155">
        <v>9</v>
      </c>
      <c r="B13" s="155" t="s">
        <v>187</v>
      </c>
      <c r="C13" s="156">
        <v>10020302</v>
      </c>
      <c r="D13" s="155" t="s">
        <v>221</v>
      </c>
      <c r="E13" s="157"/>
      <c r="F13" s="157">
        <v>2314</v>
      </c>
      <c r="G13" s="157">
        <v>0</v>
      </c>
      <c r="H13" s="157">
        <v>0</v>
      </c>
      <c r="I13" s="157">
        <v>10064</v>
      </c>
      <c r="J13" s="158">
        <f t="shared" si="0"/>
        <v>12378</v>
      </c>
      <c r="K13" s="158">
        <f t="shared" si="1"/>
        <v>0</v>
      </c>
      <c r="L13" s="158">
        <f t="shared" si="5"/>
        <v>2228</v>
      </c>
      <c r="M13" s="158">
        <f t="shared" si="2"/>
        <v>8</v>
      </c>
      <c r="N13" s="158">
        <f t="shared" si="3"/>
        <v>7</v>
      </c>
      <c r="O13" s="159"/>
      <c r="P13" s="158"/>
      <c r="Q13" s="158">
        <f t="shared" si="6"/>
        <v>0</v>
      </c>
      <c r="R13" s="193">
        <f t="shared" si="7"/>
        <v>0</v>
      </c>
    </row>
    <row r="14" spans="1:18" x14ac:dyDescent="0.3">
      <c r="A14" s="155">
        <v>7</v>
      </c>
      <c r="B14" s="155" t="s">
        <v>187</v>
      </c>
      <c r="C14" s="156">
        <v>10000234</v>
      </c>
      <c r="D14" s="155" t="s">
        <v>190</v>
      </c>
      <c r="E14" s="157">
        <v>1776369</v>
      </c>
      <c r="F14" s="157">
        <v>42495</v>
      </c>
      <c r="G14" s="157">
        <v>3441</v>
      </c>
      <c r="H14" s="157">
        <v>4442</v>
      </c>
      <c r="I14" s="157">
        <v>32534</v>
      </c>
      <c r="J14" s="158">
        <f t="shared" si="0"/>
        <v>75029</v>
      </c>
      <c r="K14" s="158">
        <f t="shared" si="1"/>
        <v>7883</v>
      </c>
      <c r="L14" s="158">
        <f t="shared" si="5"/>
        <v>13505</v>
      </c>
      <c r="M14" s="158">
        <f t="shared" si="2"/>
        <v>49</v>
      </c>
      <c r="N14" s="158">
        <f t="shared" si="3"/>
        <v>46</v>
      </c>
      <c r="O14" s="159">
        <f>N14*$I$45</f>
        <v>16790</v>
      </c>
      <c r="P14" s="158">
        <f>O14*$G$47</f>
        <v>2092705.6</v>
      </c>
      <c r="Q14" s="158">
        <f t="shared" si="6"/>
        <v>316336.60000000009</v>
      </c>
      <c r="R14" s="193">
        <f t="shared" si="7"/>
        <v>263613.83333333343</v>
      </c>
    </row>
    <row r="15" spans="1:18" hidden="1" x14ac:dyDescent="0.3">
      <c r="A15" s="155">
        <v>11</v>
      </c>
      <c r="B15" s="155" t="s">
        <v>187</v>
      </c>
      <c r="C15" s="156">
        <v>10011401</v>
      </c>
      <c r="D15" s="155" t="s">
        <v>222</v>
      </c>
      <c r="E15" s="157"/>
      <c r="F15" s="157">
        <v>4598</v>
      </c>
      <c r="G15" s="157">
        <v>0</v>
      </c>
      <c r="H15" s="157">
        <v>0</v>
      </c>
      <c r="I15" s="157">
        <v>15067</v>
      </c>
      <c r="J15" s="158">
        <f t="shared" si="0"/>
        <v>19665</v>
      </c>
      <c r="K15" s="158">
        <f t="shared" si="1"/>
        <v>0</v>
      </c>
      <c r="L15" s="158">
        <f t="shared" si="5"/>
        <v>3540</v>
      </c>
      <c r="M15" s="158">
        <f t="shared" si="2"/>
        <v>13</v>
      </c>
      <c r="N15" s="158">
        <f t="shared" si="3"/>
        <v>12</v>
      </c>
      <c r="O15" s="159"/>
      <c r="P15" s="158"/>
      <c r="Q15" s="158">
        <f t="shared" si="6"/>
        <v>0</v>
      </c>
      <c r="R15" s="193">
        <f t="shared" si="7"/>
        <v>0</v>
      </c>
    </row>
    <row r="16" spans="1:18" hidden="1" x14ac:dyDescent="0.3">
      <c r="A16" s="155">
        <v>12</v>
      </c>
      <c r="B16" s="155" t="s">
        <v>187</v>
      </c>
      <c r="C16" s="156">
        <v>130013001</v>
      </c>
      <c r="D16" s="155" t="s">
        <v>223</v>
      </c>
      <c r="E16" s="157"/>
      <c r="F16" s="157">
        <v>3664</v>
      </c>
      <c r="G16" s="157">
        <v>0</v>
      </c>
      <c r="H16" s="157">
        <v>0</v>
      </c>
      <c r="I16" s="157">
        <v>188</v>
      </c>
      <c r="J16" s="158">
        <f t="shared" si="0"/>
        <v>3852</v>
      </c>
      <c r="K16" s="158">
        <f t="shared" si="1"/>
        <v>0</v>
      </c>
      <c r="L16" s="158">
        <f t="shared" si="5"/>
        <v>693</v>
      </c>
      <c r="M16" s="158">
        <f t="shared" si="2"/>
        <v>3</v>
      </c>
      <c r="N16" s="158">
        <f t="shared" si="3"/>
        <v>3</v>
      </c>
      <c r="O16" s="159"/>
      <c r="P16" s="158"/>
      <c r="Q16" s="158">
        <f t="shared" si="6"/>
        <v>0</v>
      </c>
      <c r="R16" s="193">
        <f t="shared" si="7"/>
        <v>0</v>
      </c>
    </row>
    <row r="17" spans="1:18" x14ac:dyDescent="0.3">
      <c r="A17" s="155">
        <v>8</v>
      </c>
      <c r="B17" s="155" t="s">
        <v>187</v>
      </c>
      <c r="C17" s="156">
        <v>10012202</v>
      </c>
      <c r="D17" s="155" t="s">
        <v>191</v>
      </c>
      <c r="E17" s="157">
        <v>41135</v>
      </c>
      <c r="F17" s="157">
        <v>4688</v>
      </c>
      <c r="G17" s="157">
        <v>359</v>
      </c>
      <c r="H17" s="157">
        <v>225</v>
      </c>
      <c r="I17" s="157">
        <v>797</v>
      </c>
      <c r="J17" s="158">
        <f t="shared" si="0"/>
        <v>5485</v>
      </c>
      <c r="K17" s="158">
        <f t="shared" si="1"/>
        <v>584</v>
      </c>
      <c r="L17" s="158">
        <f t="shared" si="5"/>
        <v>987</v>
      </c>
      <c r="M17" s="158">
        <f t="shared" si="2"/>
        <v>4</v>
      </c>
      <c r="N17" s="158">
        <f t="shared" si="3"/>
        <v>4</v>
      </c>
      <c r="O17" s="159">
        <f t="shared" ref="O17:O39" si="8">N17*$I$45</f>
        <v>1460</v>
      </c>
      <c r="P17" s="158">
        <f>O17*$G$50</f>
        <v>112259.4</v>
      </c>
      <c r="Q17" s="158">
        <f t="shared" si="6"/>
        <v>71124.399999999994</v>
      </c>
      <c r="R17" s="193">
        <f t="shared" si="7"/>
        <v>59270.333333333328</v>
      </c>
    </row>
    <row r="18" spans="1:18" x14ac:dyDescent="0.3">
      <c r="A18" s="155">
        <v>9</v>
      </c>
      <c r="B18" s="155" t="s">
        <v>192</v>
      </c>
      <c r="C18" s="156">
        <v>460200036</v>
      </c>
      <c r="D18" s="155" t="s">
        <v>193</v>
      </c>
      <c r="E18" s="157">
        <v>51058</v>
      </c>
      <c r="F18" s="157">
        <v>2147</v>
      </c>
      <c r="G18" s="157">
        <v>10</v>
      </c>
      <c r="H18" s="157">
        <v>370</v>
      </c>
      <c r="I18" s="157">
        <v>2474</v>
      </c>
      <c r="J18" s="158">
        <f t="shared" si="0"/>
        <v>4621</v>
      </c>
      <c r="K18" s="158">
        <f t="shared" si="1"/>
        <v>380</v>
      </c>
      <c r="L18" s="158">
        <f t="shared" si="5"/>
        <v>832</v>
      </c>
      <c r="M18" s="158">
        <f t="shared" si="2"/>
        <v>3</v>
      </c>
      <c r="N18" s="158">
        <f t="shared" si="3"/>
        <v>3</v>
      </c>
      <c r="O18" s="159">
        <f t="shared" si="8"/>
        <v>1095</v>
      </c>
      <c r="P18" s="158">
        <f>O18*$G$45</f>
        <v>93107.85</v>
      </c>
      <c r="Q18" s="158">
        <f t="shared" si="6"/>
        <v>42049.850000000006</v>
      </c>
      <c r="R18" s="193">
        <f t="shared" si="7"/>
        <v>35041.541666666672</v>
      </c>
    </row>
    <row r="19" spans="1:18" x14ac:dyDescent="0.3">
      <c r="A19" s="155">
        <v>10</v>
      </c>
      <c r="B19" s="155" t="s">
        <v>192</v>
      </c>
      <c r="C19" s="156">
        <v>110000048</v>
      </c>
      <c r="D19" s="155" t="s">
        <v>194</v>
      </c>
      <c r="E19" s="157">
        <v>146720</v>
      </c>
      <c r="F19" s="157">
        <v>5869</v>
      </c>
      <c r="G19" s="157">
        <v>1199</v>
      </c>
      <c r="H19" s="157">
        <v>1714</v>
      </c>
      <c r="I19" s="157">
        <v>5843</v>
      </c>
      <c r="J19" s="158">
        <f t="shared" si="0"/>
        <v>11712</v>
      </c>
      <c r="K19" s="158">
        <f t="shared" si="1"/>
        <v>2913</v>
      </c>
      <c r="L19" s="158">
        <f t="shared" si="5"/>
        <v>2108</v>
      </c>
      <c r="M19" s="158">
        <f t="shared" si="2"/>
        <v>8</v>
      </c>
      <c r="N19" s="158">
        <f t="shared" si="3"/>
        <v>7</v>
      </c>
      <c r="O19" s="159">
        <f t="shared" si="8"/>
        <v>2555</v>
      </c>
      <c r="P19" s="158">
        <f>O19*$G$46</f>
        <v>289251.55</v>
      </c>
      <c r="Q19" s="158">
        <f t="shared" si="6"/>
        <v>142531.54999999999</v>
      </c>
      <c r="R19" s="193">
        <f t="shared" si="7"/>
        <v>118776.29166666666</v>
      </c>
    </row>
    <row r="20" spans="1:18" x14ac:dyDescent="0.3">
      <c r="A20" s="155">
        <v>11</v>
      </c>
      <c r="B20" s="155" t="s">
        <v>192</v>
      </c>
      <c r="C20" s="156">
        <v>90020301</v>
      </c>
      <c r="D20" s="155" t="s">
        <v>195</v>
      </c>
      <c r="E20" s="157">
        <v>157588</v>
      </c>
      <c r="F20" s="157">
        <v>8218</v>
      </c>
      <c r="G20" s="157">
        <v>516</v>
      </c>
      <c r="H20" s="157">
        <v>1673</v>
      </c>
      <c r="I20" s="157">
        <v>11652</v>
      </c>
      <c r="J20" s="158">
        <f t="shared" si="0"/>
        <v>19870</v>
      </c>
      <c r="K20" s="158">
        <f t="shared" si="1"/>
        <v>2189</v>
      </c>
      <c r="L20" s="158">
        <f t="shared" si="5"/>
        <v>3577</v>
      </c>
      <c r="M20" s="158">
        <f t="shared" si="2"/>
        <v>13</v>
      </c>
      <c r="N20" s="158">
        <f t="shared" si="3"/>
        <v>12</v>
      </c>
      <c r="O20" s="159">
        <f t="shared" si="8"/>
        <v>4380</v>
      </c>
      <c r="P20" s="158">
        <f>O20*$G$46</f>
        <v>495859.8</v>
      </c>
      <c r="Q20" s="158">
        <f t="shared" si="6"/>
        <v>338271.8</v>
      </c>
      <c r="R20" s="193">
        <f t="shared" si="7"/>
        <v>281893.16666666663</v>
      </c>
    </row>
    <row r="21" spans="1:18" x14ac:dyDescent="0.3">
      <c r="A21" s="155">
        <v>12</v>
      </c>
      <c r="B21" s="155" t="s">
        <v>192</v>
      </c>
      <c r="C21" s="156">
        <v>740200008</v>
      </c>
      <c r="D21" s="155" t="s">
        <v>196</v>
      </c>
      <c r="E21" s="157">
        <v>60340</v>
      </c>
      <c r="F21" s="157">
        <v>3748</v>
      </c>
      <c r="G21" s="157">
        <v>427</v>
      </c>
      <c r="H21" s="157">
        <v>1066</v>
      </c>
      <c r="I21" s="157">
        <v>5018</v>
      </c>
      <c r="J21" s="158">
        <f t="shared" si="0"/>
        <v>8766</v>
      </c>
      <c r="K21" s="158">
        <f t="shared" si="1"/>
        <v>1493</v>
      </c>
      <c r="L21" s="158">
        <f t="shared" si="5"/>
        <v>1578</v>
      </c>
      <c r="M21" s="158">
        <f t="shared" si="2"/>
        <v>6</v>
      </c>
      <c r="N21" s="158">
        <f t="shared" si="3"/>
        <v>6</v>
      </c>
      <c r="O21" s="159">
        <f t="shared" si="8"/>
        <v>2190</v>
      </c>
      <c r="P21" s="158">
        <f>O21*$G$45</f>
        <v>186215.7</v>
      </c>
      <c r="Q21" s="158">
        <f t="shared" si="6"/>
        <v>125875.70000000001</v>
      </c>
      <c r="R21" s="193">
        <f t="shared" si="7"/>
        <v>104896.41666666669</v>
      </c>
    </row>
    <row r="22" spans="1:18" x14ac:dyDescent="0.3">
      <c r="A22" s="155">
        <v>13</v>
      </c>
      <c r="B22" s="155" t="s">
        <v>197</v>
      </c>
      <c r="C22" s="156">
        <v>360200027</v>
      </c>
      <c r="D22" s="155" t="s">
        <v>198</v>
      </c>
      <c r="E22" s="157">
        <v>33171</v>
      </c>
      <c r="F22" s="157">
        <v>1707</v>
      </c>
      <c r="G22" s="157">
        <v>273</v>
      </c>
      <c r="H22" s="157">
        <v>718</v>
      </c>
      <c r="I22" s="157">
        <v>2519</v>
      </c>
      <c r="J22" s="158">
        <f t="shared" si="0"/>
        <v>4226</v>
      </c>
      <c r="K22" s="158">
        <f t="shared" si="1"/>
        <v>991</v>
      </c>
      <c r="L22" s="158">
        <f t="shared" si="5"/>
        <v>761</v>
      </c>
      <c r="M22" s="158">
        <f t="shared" si="2"/>
        <v>3</v>
      </c>
      <c r="N22" s="158">
        <f t="shared" si="3"/>
        <v>3</v>
      </c>
      <c r="O22" s="159">
        <f t="shared" si="8"/>
        <v>1095</v>
      </c>
      <c r="P22" s="158">
        <f>O22*$G$45</f>
        <v>93107.85</v>
      </c>
      <c r="Q22" s="158">
        <f t="shared" si="6"/>
        <v>59936.850000000006</v>
      </c>
      <c r="R22" s="193">
        <f t="shared" si="7"/>
        <v>49947.375</v>
      </c>
    </row>
    <row r="23" spans="1:18" x14ac:dyDescent="0.3">
      <c r="A23" s="155">
        <v>14</v>
      </c>
      <c r="B23" s="155" t="s">
        <v>197</v>
      </c>
      <c r="C23" s="156">
        <v>500200052</v>
      </c>
      <c r="D23" s="155" t="s">
        <v>199</v>
      </c>
      <c r="E23" s="157">
        <v>64756</v>
      </c>
      <c r="F23" s="157">
        <v>2185</v>
      </c>
      <c r="G23" s="157">
        <v>267</v>
      </c>
      <c r="H23" s="157">
        <v>768</v>
      </c>
      <c r="I23" s="157">
        <v>2883</v>
      </c>
      <c r="J23" s="158">
        <f t="shared" si="0"/>
        <v>5068</v>
      </c>
      <c r="K23" s="158">
        <f t="shared" si="1"/>
        <v>1035</v>
      </c>
      <c r="L23" s="158">
        <f t="shared" si="5"/>
        <v>912</v>
      </c>
      <c r="M23" s="158">
        <f t="shared" si="2"/>
        <v>3</v>
      </c>
      <c r="N23" s="158">
        <f t="shared" si="3"/>
        <v>3</v>
      </c>
      <c r="O23" s="159">
        <f t="shared" si="8"/>
        <v>1095</v>
      </c>
      <c r="P23" s="158">
        <f>O23*$G$45</f>
        <v>93107.85</v>
      </c>
      <c r="Q23" s="158">
        <f t="shared" si="6"/>
        <v>28351.850000000006</v>
      </c>
      <c r="R23" s="193">
        <f t="shared" si="7"/>
        <v>23626.541666666672</v>
      </c>
    </row>
    <row r="24" spans="1:18" x14ac:dyDescent="0.3">
      <c r="A24" s="155">
        <v>15</v>
      </c>
      <c r="B24" s="155" t="s">
        <v>197</v>
      </c>
      <c r="C24" s="156">
        <v>420200052</v>
      </c>
      <c r="D24" s="155" t="s">
        <v>200</v>
      </c>
      <c r="E24" s="157">
        <v>62267</v>
      </c>
      <c r="F24" s="157">
        <v>2502</v>
      </c>
      <c r="G24" s="157">
        <v>645</v>
      </c>
      <c r="H24" s="157">
        <v>1474</v>
      </c>
      <c r="I24" s="157">
        <v>4769</v>
      </c>
      <c r="J24" s="158">
        <f t="shared" si="0"/>
        <v>7271</v>
      </c>
      <c r="K24" s="158">
        <f t="shared" si="1"/>
        <v>2119</v>
      </c>
      <c r="L24" s="158">
        <f t="shared" si="5"/>
        <v>1309</v>
      </c>
      <c r="M24" s="158">
        <f t="shared" si="2"/>
        <v>5</v>
      </c>
      <c r="N24" s="158">
        <f t="shared" si="3"/>
        <v>5</v>
      </c>
      <c r="O24" s="159">
        <f t="shared" si="8"/>
        <v>1825</v>
      </c>
      <c r="P24" s="158">
        <f>O24*$G$45</f>
        <v>155179.75</v>
      </c>
      <c r="Q24" s="158">
        <f t="shared" si="6"/>
        <v>92912.75</v>
      </c>
      <c r="R24" s="193">
        <f t="shared" si="7"/>
        <v>77427.291666666672</v>
      </c>
    </row>
    <row r="25" spans="1:18" x14ac:dyDescent="0.3">
      <c r="A25" s="155">
        <v>16</v>
      </c>
      <c r="B25" s="155" t="s">
        <v>197</v>
      </c>
      <c r="C25" s="156">
        <v>700200041</v>
      </c>
      <c r="D25" s="155" t="s">
        <v>201</v>
      </c>
      <c r="E25" s="157">
        <v>52983</v>
      </c>
      <c r="F25" s="157">
        <v>3172</v>
      </c>
      <c r="G25" s="157">
        <v>166</v>
      </c>
      <c r="H25" s="157">
        <v>1054</v>
      </c>
      <c r="I25" s="157">
        <v>3517</v>
      </c>
      <c r="J25" s="158">
        <f t="shared" si="0"/>
        <v>6689</v>
      </c>
      <c r="K25" s="158">
        <f t="shared" si="1"/>
        <v>1220</v>
      </c>
      <c r="L25" s="158">
        <f t="shared" si="5"/>
        <v>1204</v>
      </c>
      <c r="M25" s="158">
        <f t="shared" si="2"/>
        <v>4</v>
      </c>
      <c r="N25" s="158">
        <f t="shared" si="3"/>
        <v>4</v>
      </c>
      <c r="O25" s="159">
        <f t="shared" si="8"/>
        <v>1460</v>
      </c>
      <c r="P25" s="158">
        <f>O25*$G$45</f>
        <v>124143.8</v>
      </c>
      <c r="Q25" s="158">
        <f t="shared" si="6"/>
        <v>71160.800000000003</v>
      </c>
      <c r="R25" s="193">
        <f t="shared" si="7"/>
        <v>59300.666666666664</v>
      </c>
    </row>
    <row r="26" spans="1:18" x14ac:dyDescent="0.3">
      <c r="A26" s="155">
        <v>17</v>
      </c>
      <c r="B26" s="155" t="s">
        <v>197</v>
      </c>
      <c r="C26" s="156">
        <v>250000092</v>
      </c>
      <c r="D26" s="155" t="s">
        <v>202</v>
      </c>
      <c r="E26" s="157">
        <v>134380</v>
      </c>
      <c r="F26" s="157">
        <v>8719</v>
      </c>
      <c r="G26" s="157">
        <v>343</v>
      </c>
      <c r="H26" s="157">
        <v>1186</v>
      </c>
      <c r="I26" s="157">
        <v>9858</v>
      </c>
      <c r="J26" s="158">
        <f t="shared" si="0"/>
        <v>18577</v>
      </c>
      <c r="K26" s="158">
        <f t="shared" si="1"/>
        <v>1529</v>
      </c>
      <c r="L26" s="158">
        <f t="shared" si="5"/>
        <v>3344</v>
      </c>
      <c r="M26" s="158">
        <f t="shared" si="2"/>
        <v>12</v>
      </c>
      <c r="N26" s="158">
        <f t="shared" si="3"/>
        <v>11</v>
      </c>
      <c r="O26" s="159">
        <f t="shared" si="8"/>
        <v>4015</v>
      </c>
      <c r="P26" s="158">
        <f>O26*$G$46</f>
        <v>454538.14999999997</v>
      </c>
      <c r="Q26" s="158">
        <f t="shared" si="6"/>
        <v>320158.14999999997</v>
      </c>
      <c r="R26" s="193">
        <f t="shared" si="7"/>
        <v>266798.45833333331</v>
      </c>
    </row>
    <row r="27" spans="1:18" x14ac:dyDescent="0.3">
      <c r="A27" s="155">
        <v>18</v>
      </c>
      <c r="B27" s="155" t="s">
        <v>203</v>
      </c>
      <c r="C27" s="156">
        <v>50020401</v>
      </c>
      <c r="D27" s="155" t="s">
        <v>204</v>
      </c>
      <c r="E27" s="157">
        <v>341555</v>
      </c>
      <c r="F27" s="157">
        <v>11891</v>
      </c>
      <c r="G27" s="157">
        <v>920</v>
      </c>
      <c r="H27" s="157">
        <v>4420</v>
      </c>
      <c r="I27" s="157">
        <v>14109</v>
      </c>
      <c r="J27" s="158">
        <f t="shared" si="0"/>
        <v>26000</v>
      </c>
      <c r="K27" s="158">
        <f t="shared" si="1"/>
        <v>5340</v>
      </c>
      <c r="L27" s="158">
        <f t="shared" si="5"/>
        <v>4680</v>
      </c>
      <c r="M27" s="158">
        <f t="shared" si="2"/>
        <v>17</v>
      </c>
      <c r="N27" s="158">
        <f t="shared" si="3"/>
        <v>16</v>
      </c>
      <c r="O27" s="159">
        <f t="shared" si="8"/>
        <v>5840</v>
      </c>
      <c r="P27" s="158">
        <f>O27*$G$46</f>
        <v>661146.39999999991</v>
      </c>
      <c r="Q27" s="158">
        <f t="shared" si="6"/>
        <v>319591.39999999991</v>
      </c>
      <c r="R27" s="193">
        <f t="shared" si="7"/>
        <v>266326.16666666657</v>
      </c>
    </row>
    <row r="28" spans="1:18" x14ac:dyDescent="0.3">
      <c r="A28" s="155">
        <v>19</v>
      </c>
      <c r="B28" s="155" t="s">
        <v>203</v>
      </c>
      <c r="C28" s="156">
        <v>600200001</v>
      </c>
      <c r="D28" s="155" t="s">
        <v>205</v>
      </c>
      <c r="E28" s="157">
        <v>25133</v>
      </c>
      <c r="F28" s="157">
        <v>1251</v>
      </c>
      <c r="G28" s="157">
        <v>93</v>
      </c>
      <c r="H28" s="157">
        <v>65</v>
      </c>
      <c r="I28" s="157">
        <v>832</v>
      </c>
      <c r="J28" s="158">
        <f t="shared" si="0"/>
        <v>2083</v>
      </c>
      <c r="K28" s="158">
        <f t="shared" si="1"/>
        <v>158</v>
      </c>
      <c r="L28" s="158">
        <f t="shared" si="5"/>
        <v>375</v>
      </c>
      <c r="M28" s="158">
        <f t="shared" si="2"/>
        <v>1</v>
      </c>
      <c r="N28" s="158">
        <f t="shared" si="3"/>
        <v>1</v>
      </c>
      <c r="O28" s="159">
        <f t="shared" si="8"/>
        <v>365</v>
      </c>
      <c r="P28" s="158">
        <f>O28*$G$45</f>
        <v>31035.95</v>
      </c>
      <c r="Q28" s="158">
        <f t="shared" si="6"/>
        <v>5902.9500000000007</v>
      </c>
      <c r="R28" s="193">
        <f t="shared" si="7"/>
        <v>4919.1250000000009</v>
      </c>
    </row>
    <row r="29" spans="1:18" x14ac:dyDescent="0.3">
      <c r="A29" s="155">
        <v>20</v>
      </c>
      <c r="B29" s="155" t="s">
        <v>203</v>
      </c>
      <c r="C29" s="156">
        <v>760200002</v>
      </c>
      <c r="D29" s="155" t="s">
        <v>206</v>
      </c>
      <c r="E29" s="157">
        <v>15623</v>
      </c>
      <c r="F29" s="157">
        <v>1136</v>
      </c>
      <c r="G29" s="157">
        <v>65</v>
      </c>
      <c r="H29" s="157">
        <v>289</v>
      </c>
      <c r="I29" s="157">
        <v>1207</v>
      </c>
      <c r="J29" s="158">
        <f t="shared" si="0"/>
        <v>2343</v>
      </c>
      <c r="K29" s="158">
        <f t="shared" si="1"/>
        <v>354</v>
      </c>
      <c r="L29" s="158">
        <f t="shared" si="5"/>
        <v>422</v>
      </c>
      <c r="M29" s="158">
        <f t="shared" si="2"/>
        <v>2</v>
      </c>
      <c r="N29" s="158">
        <f t="shared" si="3"/>
        <v>2</v>
      </c>
      <c r="O29" s="159">
        <f t="shared" si="8"/>
        <v>730</v>
      </c>
      <c r="P29" s="158">
        <f>O29*$G$45</f>
        <v>62071.9</v>
      </c>
      <c r="Q29" s="158">
        <f t="shared" si="6"/>
        <v>46448.9</v>
      </c>
      <c r="R29" s="193">
        <f t="shared" si="7"/>
        <v>38707.416666666672</v>
      </c>
    </row>
    <row r="30" spans="1:18" x14ac:dyDescent="0.3">
      <c r="A30" s="155">
        <v>21</v>
      </c>
      <c r="B30" s="155" t="s">
        <v>197</v>
      </c>
      <c r="C30" s="156">
        <v>941800004</v>
      </c>
      <c r="D30" s="155" t="s">
        <v>207</v>
      </c>
      <c r="E30" s="157">
        <v>23067</v>
      </c>
      <c r="F30" s="157">
        <v>2619</v>
      </c>
      <c r="G30" s="157">
        <v>11</v>
      </c>
      <c r="H30" s="157">
        <v>0</v>
      </c>
      <c r="I30" s="157">
        <v>0</v>
      </c>
      <c r="J30" s="158">
        <f t="shared" si="0"/>
        <v>2619</v>
      </c>
      <c r="K30" s="158">
        <f t="shared" si="1"/>
        <v>11</v>
      </c>
      <c r="L30" s="158">
        <f t="shared" si="5"/>
        <v>471</v>
      </c>
      <c r="M30" s="158">
        <f t="shared" si="2"/>
        <v>2</v>
      </c>
      <c r="N30" s="158">
        <f t="shared" si="3"/>
        <v>2</v>
      </c>
      <c r="O30" s="159">
        <f t="shared" si="8"/>
        <v>730</v>
      </c>
      <c r="P30" s="158">
        <f>O30*$G$50</f>
        <v>56129.7</v>
      </c>
      <c r="Q30" s="158">
        <f t="shared" si="6"/>
        <v>33062.699999999997</v>
      </c>
      <c r="R30" s="193">
        <f t="shared" si="7"/>
        <v>27552.25</v>
      </c>
    </row>
    <row r="31" spans="1:18" hidden="1" x14ac:dyDescent="0.3">
      <c r="A31" s="155">
        <v>27</v>
      </c>
      <c r="B31" s="160" t="s">
        <v>187</v>
      </c>
      <c r="C31" s="161">
        <v>801600003</v>
      </c>
      <c r="D31" s="160" t="s">
        <v>224</v>
      </c>
      <c r="E31" s="157"/>
      <c r="F31" s="157">
        <v>1234</v>
      </c>
      <c r="G31" s="157">
        <v>0</v>
      </c>
      <c r="H31" s="157">
        <v>0</v>
      </c>
      <c r="I31" s="157">
        <v>3616</v>
      </c>
      <c r="J31" s="158">
        <f t="shared" si="0"/>
        <v>4850</v>
      </c>
      <c r="K31" s="158">
        <f t="shared" si="1"/>
        <v>0</v>
      </c>
      <c r="L31" s="158">
        <f t="shared" si="5"/>
        <v>873</v>
      </c>
      <c r="M31" s="158">
        <f t="shared" si="2"/>
        <v>3</v>
      </c>
      <c r="N31" s="158">
        <f t="shared" si="3"/>
        <v>3</v>
      </c>
      <c r="O31" s="159">
        <f t="shared" si="8"/>
        <v>1095</v>
      </c>
      <c r="P31" s="158"/>
      <c r="Q31" s="158">
        <f t="shared" si="6"/>
        <v>0</v>
      </c>
      <c r="R31" s="193">
        <f t="shared" si="7"/>
        <v>0</v>
      </c>
    </row>
    <row r="32" spans="1:18" hidden="1" x14ac:dyDescent="0.3">
      <c r="A32" s="155">
        <v>28</v>
      </c>
      <c r="B32" s="160" t="s">
        <v>203</v>
      </c>
      <c r="C32" s="161">
        <v>761200001</v>
      </c>
      <c r="D32" s="160" t="s">
        <v>225</v>
      </c>
      <c r="E32" s="157"/>
      <c r="F32" s="157">
        <v>592</v>
      </c>
      <c r="G32" s="157">
        <v>0</v>
      </c>
      <c r="H32" s="157">
        <v>0</v>
      </c>
      <c r="I32" s="157">
        <v>1221</v>
      </c>
      <c r="J32" s="158">
        <f t="shared" si="0"/>
        <v>1813</v>
      </c>
      <c r="K32" s="158">
        <f t="shared" si="1"/>
        <v>0</v>
      </c>
      <c r="L32" s="158">
        <f t="shared" si="5"/>
        <v>326</v>
      </c>
      <c r="M32" s="158">
        <f t="shared" si="2"/>
        <v>1</v>
      </c>
      <c r="N32" s="158">
        <f t="shared" si="3"/>
        <v>1</v>
      </c>
      <c r="O32" s="159">
        <f t="shared" si="8"/>
        <v>365</v>
      </c>
      <c r="P32" s="158"/>
      <c r="Q32" s="158">
        <f t="shared" si="6"/>
        <v>0</v>
      </c>
      <c r="R32" s="193">
        <f t="shared" si="7"/>
        <v>0</v>
      </c>
    </row>
    <row r="33" spans="1:18" hidden="1" x14ac:dyDescent="0.3">
      <c r="A33" s="155">
        <v>29</v>
      </c>
      <c r="B33" s="160" t="s">
        <v>192</v>
      </c>
      <c r="C33" s="161">
        <v>320200001</v>
      </c>
      <c r="D33" s="160" t="s">
        <v>226</v>
      </c>
      <c r="E33" s="157"/>
      <c r="F33" s="157">
        <v>978</v>
      </c>
      <c r="G33" s="157">
        <v>0</v>
      </c>
      <c r="H33" s="157">
        <v>0</v>
      </c>
      <c r="I33" s="157">
        <v>3123</v>
      </c>
      <c r="J33" s="158">
        <f t="shared" si="0"/>
        <v>4101</v>
      </c>
      <c r="K33" s="158">
        <f t="shared" si="1"/>
        <v>0</v>
      </c>
      <c r="L33" s="158">
        <f t="shared" si="5"/>
        <v>738</v>
      </c>
      <c r="M33" s="158">
        <f t="shared" si="2"/>
        <v>3</v>
      </c>
      <c r="N33" s="158">
        <f t="shared" si="3"/>
        <v>3</v>
      </c>
      <c r="O33" s="159">
        <f t="shared" si="8"/>
        <v>1095</v>
      </c>
      <c r="P33" s="158"/>
      <c r="Q33" s="158">
        <f t="shared" si="6"/>
        <v>0</v>
      </c>
      <c r="R33" s="193">
        <f t="shared" si="7"/>
        <v>0</v>
      </c>
    </row>
    <row r="34" spans="1:18" hidden="1" x14ac:dyDescent="0.3">
      <c r="A34" s="155">
        <v>30</v>
      </c>
      <c r="B34" s="160" t="s">
        <v>192</v>
      </c>
      <c r="C34" s="161">
        <v>400200024</v>
      </c>
      <c r="D34" s="160" t="s">
        <v>227</v>
      </c>
      <c r="E34" s="157"/>
      <c r="F34" s="157">
        <v>538</v>
      </c>
      <c r="G34" s="157">
        <v>0</v>
      </c>
      <c r="H34" s="157">
        <v>0</v>
      </c>
      <c r="I34" s="157">
        <v>3604</v>
      </c>
      <c r="J34" s="158">
        <f t="shared" si="0"/>
        <v>4142</v>
      </c>
      <c r="K34" s="158">
        <f t="shared" si="1"/>
        <v>0</v>
      </c>
      <c r="L34" s="158">
        <f t="shared" si="5"/>
        <v>746</v>
      </c>
      <c r="M34" s="158">
        <f t="shared" si="2"/>
        <v>3</v>
      </c>
      <c r="N34" s="158">
        <f t="shared" si="3"/>
        <v>3</v>
      </c>
      <c r="O34" s="159">
        <f t="shared" si="8"/>
        <v>1095</v>
      </c>
      <c r="P34" s="158"/>
      <c r="Q34" s="158">
        <f t="shared" si="6"/>
        <v>0</v>
      </c>
      <c r="R34" s="193">
        <f t="shared" si="7"/>
        <v>0</v>
      </c>
    </row>
    <row r="35" spans="1:18" hidden="1" x14ac:dyDescent="0.3">
      <c r="A35" s="155">
        <v>31</v>
      </c>
      <c r="B35" s="160" t="s">
        <v>197</v>
      </c>
      <c r="C35" s="161">
        <v>660200027</v>
      </c>
      <c r="D35" s="160" t="s">
        <v>228</v>
      </c>
      <c r="E35" s="157"/>
      <c r="F35" s="157">
        <v>380</v>
      </c>
      <c r="G35" s="157">
        <v>0</v>
      </c>
      <c r="H35" s="157">
        <v>0</v>
      </c>
      <c r="I35" s="157">
        <v>3528</v>
      </c>
      <c r="J35" s="158">
        <f t="shared" si="0"/>
        <v>3908</v>
      </c>
      <c r="K35" s="158">
        <f t="shared" si="1"/>
        <v>0</v>
      </c>
      <c r="L35" s="158">
        <f t="shared" si="5"/>
        <v>703</v>
      </c>
      <c r="M35" s="158">
        <f t="shared" si="2"/>
        <v>3</v>
      </c>
      <c r="N35" s="158">
        <f t="shared" si="3"/>
        <v>3</v>
      </c>
      <c r="O35" s="159">
        <f t="shared" si="8"/>
        <v>1095</v>
      </c>
      <c r="P35" s="158"/>
      <c r="Q35" s="158">
        <f t="shared" si="6"/>
        <v>0</v>
      </c>
      <c r="R35" s="193">
        <f t="shared" si="7"/>
        <v>0</v>
      </c>
    </row>
    <row r="36" spans="1:18" hidden="1" x14ac:dyDescent="0.3">
      <c r="A36" s="155">
        <v>32</v>
      </c>
      <c r="B36" s="160" t="s">
        <v>203</v>
      </c>
      <c r="C36" s="161">
        <v>680200030</v>
      </c>
      <c r="D36" s="160" t="s">
        <v>229</v>
      </c>
      <c r="E36" s="157"/>
      <c r="F36" s="157">
        <v>1236</v>
      </c>
      <c r="G36" s="157">
        <v>0</v>
      </c>
      <c r="H36" s="157">
        <v>0</v>
      </c>
      <c r="I36" s="157">
        <v>1994</v>
      </c>
      <c r="J36" s="158">
        <f t="shared" si="0"/>
        <v>3230</v>
      </c>
      <c r="K36" s="158">
        <f t="shared" si="1"/>
        <v>0</v>
      </c>
      <c r="L36" s="158">
        <f t="shared" si="5"/>
        <v>581</v>
      </c>
      <c r="M36" s="158">
        <f t="shared" si="2"/>
        <v>2</v>
      </c>
      <c r="N36" s="158">
        <f t="shared" si="3"/>
        <v>2</v>
      </c>
      <c r="O36" s="159">
        <f t="shared" si="8"/>
        <v>730</v>
      </c>
      <c r="P36" s="158"/>
      <c r="Q36" s="158">
        <f t="shared" si="6"/>
        <v>0</v>
      </c>
      <c r="R36" s="193">
        <f t="shared" si="7"/>
        <v>0</v>
      </c>
    </row>
    <row r="37" spans="1:18" x14ac:dyDescent="0.3">
      <c r="A37" s="155">
        <v>22</v>
      </c>
      <c r="B37" s="160" t="s">
        <v>182</v>
      </c>
      <c r="C37" s="161">
        <v>170010601</v>
      </c>
      <c r="D37" s="160" t="s">
        <v>208</v>
      </c>
      <c r="E37" s="157">
        <v>9151</v>
      </c>
      <c r="F37" s="157">
        <v>799</v>
      </c>
      <c r="G37" s="157">
        <v>0</v>
      </c>
      <c r="H37" s="157">
        <v>17</v>
      </c>
      <c r="I37" s="157">
        <v>25</v>
      </c>
      <c r="J37" s="158">
        <f t="shared" si="0"/>
        <v>824</v>
      </c>
      <c r="K37" s="158">
        <f t="shared" si="1"/>
        <v>17</v>
      </c>
      <c r="L37" s="158">
        <f t="shared" si="5"/>
        <v>148</v>
      </c>
      <c r="M37" s="158">
        <v>1</v>
      </c>
      <c r="N37" s="158">
        <f t="shared" si="3"/>
        <v>1</v>
      </c>
      <c r="O37" s="159">
        <f t="shared" si="8"/>
        <v>365</v>
      </c>
      <c r="P37" s="158">
        <f>O37*$G$50</f>
        <v>28064.85</v>
      </c>
      <c r="Q37" s="158">
        <f t="shared" si="6"/>
        <v>18913.849999999999</v>
      </c>
      <c r="R37" s="193">
        <f t="shared" si="7"/>
        <v>15761.541666666664</v>
      </c>
    </row>
    <row r="38" spans="1:18" x14ac:dyDescent="0.3">
      <c r="A38" s="155">
        <v>23</v>
      </c>
      <c r="B38" s="160" t="s">
        <v>203</v>
      </c>
      <c r="C38" s="161">
        <v>50012101</v>
      </c>
      <c r="D38" s="160" t="s">
        <v>209</v>
      </c>
      <c r="E38" s="157">
        <v>32524</v>
      </c>
      <c r="F38" s="157">
        <v>2759</v>
      </c>
      <c r="G38" s="157">
        <v>163</v>
      </c>
      <c r="H38" s="157">
        <v>117</v>
      </c>
      <c r="I38" s="157">
        <v>123</v>
      </c>
      <c r="J38" s="158">
        <f t="shared" si="0"/>
        <v>2882</v>
      </c>
      <c r="K38" s="158">
        <f t="shared" si="1"/>
        <v>280</v>
      </c>
      <c r="L38" s="158">
        <f t="shared" si="5"/>
        <v>519</v>
      </c>
      <c r="M38" s="158">
        <f>ROUND(L38/(365/12*9),0)</f>
        <v>2</v>
      </c>
      <c r="N38" s="158">
        <f t="shared" si="3"/>
        <v>2</v>
      </c>
      <c r="O38" s="159">
        <f t="shared" si="8"/>
        <v>730</v>
      </c>
      <c r="P38" s="158">
        <f>O38*$G$50</f>
        <v>56129.7</v>
      </c>
      <c r="Q38" s="158">
        <f t="shared" si="6"/>
        <v>23605.699999999997</v>
      </c>
      <c r="R38" s="193">
        <f t="shared" si="7"/>
        <v>19671.416666666664</v>
      </c>
    </row>
    <row r="39" spans="1:18" x14ac:dyDescent="0.3">
      <c r="A39" s="155">
        <v>24</v>
      </c>
      <c r="B39" s="160" t="s">
        <v>192</v>
      </c>
      <c r="C39" s="161">
        <v>90012101</v>
      </c>
      <c r="D39" s="160" t="s">
        <v>210</v>
      </c>
      <c r="E39" s="157">
        <v>20223</v>
      </c>
      <c r="F39" s="157">
        <v>2340</v>
      </c>
      <c r="G39" s="157">
        <v>73</v>
      </c>
      <c r="H39" s="157">
        <v>26</v>
      </c>
      <c r="I39" s="157">
        <v>223</v>
      </c>
      <c r="J39" s="158">
        <f t="shared" si="0"/>
        <v>2563</v>
      </c>
      <c r="K39" s="158">
        <f t="shared" si="1"/>
        <v>99</v>
      </c>
      <c r="L39" s="158">
        <f t="shared" si="5"/>
        <v>461</v>
      </c>
      <c r="M39" s="158">
        <f>ROUND(L39/(365/12*9),0)</f>
        <v>2</v>
      </c>
      <c r="N39" s="158">
        <f t="shared" si="3"/>
        <v>2</v>
      </c>
      <c r="O39" s="159">
        <f t="shared" si="8"/>
        <v>730</v>
      </c>
      <c r="P39" s="158">
        <f>O39*$G$50</f>
        <v>56129.7</v>
      </c>
      <c r="Q39" s="158">
        <f t="shared" si="6"/>
        <v>35906.699999999997</v>
      </c>
      <c r="R39" s="193">
        <f t="shared" si="7"/>
        <v>29922.25</v>
      </c>
    </row>
    <row r="40" spans="1:18" hidden="1" x14ac:dyDescent="0.3">
      <c r="A40" s="155">
        <v>36</v>
      </c>
      <c r="B40" s="160" t="s">
        <v>182</v>
      </c>
      <c r="C40" s="161">
        <v>840200047</v>
      </c>
      <c r="D40" s="160" t="s">
        <v>230</v>
      </c>
      <c r="E40" s="157"/>
      <c r="F40" s="157">
        <v>502</v>
      </c>
      <c r="G40" s="157">
        <v>0</v>
      </c>
      <c r="H40" s="157">
        <v>0</v>
      </c>
      <c r="I40" s="157">
        <v>0</v>
      </c>
      <c r="J40" s="158">
        <f t="shared" si="0"/>
        <v>502</v>
      </c>
      <c r="K40" s="158">
        <f t="shared" si="1"/>
        <v>0</v>
      </c>
      <c r="L40" s="158">
        <f t="shared" si="5"/>
        <v>90</v>
      </c>
      <c r="M40" s="158">
        <f>ROUND(L40/(365/12*9),0)</f>
        <v>0</v>
      </c>
      <c r="N40" s="158">
        <f t="shared" si="3"/>
        <v>0</v>
      </c>
      <c r="O40" s="159"/>
      <c r="P40" s="158"/>
      <c r="Q40" s="158">
        <f t="shared" si="6"/>
        <v>0</v>
      </c>
      <c r="R40" s="193">
        <f t="shared" si="7"/>
        <v>0</v>
      </c>
    </row>
    <row r="41" spans="1:18" x14ac:dyDescent="0.3">
      <c r="A41" s="155">
        <v>25</v>
      </c>
      <c r="B41" s="155" t="s">
        <v>203</v>
      </c>
      <c r="C41" s="156">
        <v>210020301</v>
      </c>
      <c r="D41" s="155" t="s">
        <v>211</v>
      </c>
      <c r="E41" s="157">
        <v>120229</v>
      </c>
      <c r="F41" s="157">
        <v>6917</v>
      </c>
      <c r="G41" s="157">
        <v>248</v>
      </c>
      <c r="H41" s="157">
        <v>780</v>
      </c>
      <c r="I41" s="157">
        <v>6804</v>
      </c>
      <c r="J41" s="158">
        <f t="shared" si="0"/>
        <v>13721</v>
      </c>
      <c r="K41" s="158">
        <f t="shared" si="1"/>
        <v>1028</v>
      </c>
      <c r="L41" s="158">
        <f t="shared" si="5"/>
        <v>2470</v>
      </c>
      <c r="M41" s="158">
        <f>ROUND(L41/(365/12*9),0)</f>
        <v>9</v>
      </c>
      <c r="N41" s="158">
        <f t="shared" si="3"/>
        <v>8</v>
      </c>
      <c r="O41" s="159">
        <f>N41*$I$45</f>
        <v>2920</v>
      </c>
      <c r="P41" s="158">
        <f>O41*$G$46</f>
        <v>330573.19999999995</v>
      </c>
      <c r="Q41" s="158">
        <f t="shared" si="6"/>
        <v>210344.19999999995</v>
      </c>
      <c r="R41" s="193">
        <f t="shared" si="7"/>
        <v>175286.83333333331</v>
      </c>
    </row>
    <row r="42" spans="1:18" s="173" customFormat="1" x14ac:dyDescent="0.3">
      <c r="A42" s="220" t="s">
        <v>231</v>
      </c>
      <c r="B42" s="220"/>
      <c r="C42" s="220"/>
      <c r="D42" s="220"/>
      <c r="E42" s="162">
        <f t="shared" ref="E42:R42" si="9">SUM(E6:E41)</f>
        <v>4243289</v>
      </c>
      <c r="F42" s="163">
        <f t="shared" si="9"/>
        <v>191683</v>
      </c>
      <c r="G42" s="163">
        <f t="shared" si="9"/>
        <v>13891</v>
      </c>
      <c r="H42" s="163">
        <f t="shared" si="9"/>
        <v>32478</v>
      </c>
      <c r="I42" s="171">
        <f t="shared" si="9"/>
        <v>207511</v>
      </c>
      <c r="J42" s="171">
        <f t="shared" si="9"/>
        <v>399194</v>
      </c>
      <c r="K42" s="171">
        <f t="shared" si="9"/>
        <v>46369</v>
      </c>
      <c r="L42" s="171">
        <f t="shared" si="9"/>
        <v>71854</v>
      </c>
      <c r="M42" s="171">
        <f t="shared" si="9"/>
        <v>264</v>
      </c>
      <c r="N42" s="171">
        <f t="shared" si="9"/>
        <v>250</v>
      </c>
      <c r="O42" s="171">
        <f t="shared" si="9"/>
        <v>81760</v>
      </c>
      <c r="P42" s="171">
        <f t="shared" si="9"/>
        <v>8412728.0499999989</v>
      </c>
      <c r="Q42" s="171">
        <f t="shared" si="9"/>
        <v>4169439.0500000007</v>
      </c>
      <c r="R42" s="172">
        <f t="shared" si="9"/>
        <v>3474532.5416666656</v>
      </c>
    </row>
    <row r="43" spans="1:18" ht="33" customHeight="1" x14ac:dyDescent="0.3">
      <c r="N43" s="167"/>
      <c r="O43" s="167"/>
      <c r="P43" s="167"/>
      <c r="Q43" s="168"/>
    </row>
    <row r="44" spans="1:18" ht="64.5" customHeight="1" x14ac:dyDescent="0.3">
      <c r="A44" s="146"/>
      <c r="B44" s="164"/>
      <c r="C44" s="164"/>
      <c r="D44" s="164"/>
      <c r="F44" s="147" t="s">
        <v>154</v>
      </c>
      <c r="G44" s="148" t="s">
        <v>155</v>
      </c>
      <c r="I44" s="148" t="s">
        <v>156</v>
      </c>
      <c r="K44" s="148" t="s">
        <v>157</v>
      </c>
      <c r="M44" s="149" t="s">
        <v>158</v>
      </c>
    </row>
    <row r="45" spans="1:18" ht="21" x14ac:dyDescent="0.3">
      <c r="A45" s="146"/>
      <c r="B45" s="164"/>
      <c r="C45" s="164"/>
      <c r="D45" s="164"/>
      <c r="F45" s="148" t="s">
        <v>159</v>
      </c>
      <c r="G45" s="150">
        <v>85.03</v>
      </c>
      <c r="I45" s="150">
        <v>365</v>
      </c>
      <c r="K45" s="151">
        <v>1.07</v>
      </c>
      <c r="M45" s="152">
        <v>0.1</v>
      </c>
    </row>
    <row r="46" spans="1:18" ht="20.399999999999999" x14ac:dyDescent="0.3">
      <c r="A46" s="146"/>
      <c r="F46" s="148" t="s">
        <v>160</v>
      </c>
      <c r="G46" s="150">
        <v>113.21</v>
      </c>
    </row>
    <row r="47" spans="1:18" ht="20.399999999999999" x14ac:dyDescent="0.3">
      <c r="A47" s="146"/>
      <c r="F47" s="148" t="s">
        <v>161</v>
      </c>
      <c r="G47" s="150">
        <v>124.64</v>
      </c>
    </row>
    <row r="48" spans="1:18" ht="20.399999999999999" x14ac:dyDescent="0.3">
      <c r="A48" s="146"/>
      <c r="F48" s="148" t="s">
        <v>162</v>
      </c>
      <c r="G48" s="150">
        <v>225.3</v>
      </c>
    </row>
    <row r="49" spans="1:7" ht="15.6" x14ac:dyDescent="0.3">
      <c r="A49" s="146"/>
      <c r="F49" s="150" t="s">
        <v>163</v>
      </c>
      <c r="G49" s="150">
        <v>109.2</v>
      </c>
    </row>
    <row r="50" spans="1:7" ht="15.6" x14ac:dyDescent="0.3">
      <c r="A50" s="146"/>
      <c r="F50" s="148" t="s">
        <v>164</v>
      </c>
      <c r="G50" s="150">
        <v>76.89</v>
      </c>
    </row>
    <row r="51" spans="1:7" ht="15.6" x14ac:dyDescent="0.3">
      <c r="A51" s="146"/>
      <c r="F51" s="148"/>
      <c r="G51" s="150"/>
    </row>
  </sheetData>
  <autoFilter ref="A5:O42" xr:uid="{A39ED66C-A427-43D3-8B8E-6F14D49653C0}"/>
  <mergeCells count="19">
    <mergeCell ref="A42:D42"/>
    <mergeCell ref="K3:K5"/>
    <mergeCell ref="L3:L5"/>
    <mergeCell ref="M3:M5"/>
    <mergeCell ref="N3:N5"/>
    <mergeCell ref="A1:N1"/>
    <mergeCell ref="O1:R1"/>
    <mergeCell ref="A3:A5"/>
    <mergeCell ref="B3:B5"/>
    <mergeCell ref="C3:C5"/>
    <mergeCell ref="D3:D5"/>
    <mergeCell ref="E3:E5"/>
    <mergeCell ref="F3:G4"/>
    <mergeCell ref="H3:I4"/>
    <mergeCell ref="J3:J5"/>
    <mergeCell ref="Q3:Q5"/>
    <mergeCell ref="R3:R5"/>
    <mergeCell ref="O3:O5"/>
    <mergeCell ref="P3:P5"/>
  </mergeCells>
  <pageMargins left="0.7" right="0.7" top="0.75" bottom="0.75" header="0.3" footer="0.3"/>
  <pageSetup paperSize="9" scale="3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E083-596C-4B09-B709-62EB109B58B2}">
  <dimension ref="A1:R8"/>
  <sheetViews>
    <sheetView zoomScale="90" zoomScaleNormal="90" workbookViewId="0">
      <selection activeCell="A39" sqref="A39"/>
    </sheetView>
  </sheetViews>
  <sheetFormatPr defaultColWidth="8.6640625" defaultRowHeight="13.2" x14ac:dyDescent="0.25"/>
  <cols>
    <col min="1" max="1" width="33" style="185" customWidth="1"/>
    <col min="2" max="2" width="44.88671875" style="185" customWidth="1"/>
    <col min="3" max="3" width="40.88671875" style="185" customWidth="1"/>
    <col min="4" max="4" width="16.5546875" style="185" customWidth="1"/>
    <col min="5" max="5" width="11.44140625" style="185" customWidth="1"/>
    <col min="6" max="6" width="13.44140625" style="185" customWidth="1"/>
    <col min="7" max="7" width="11" style="185" customWidth="1"/>
    <col min="8" max="16384" width="8.6640625" style="185"/>
  </cols>
  <sheetData>
    <row r="1" spans="1:18" customFormat="1" ht="68.400000000000006" customHeight="1" x14ac:dyDescent="0.3">
      <c r="A1" s="227" t="s">
        <v>244</v>
      </c>
      <c r="B1" s="227"/>
      <c r="C1" s="227"/>
      <c r="D1" s="221" t="s">
        <v>218</v>
      </c>
      <c r="E1" s="221"/>
      <c r="F1" s="221"/>
      <c r="G1" s="185"/>
      <c r="H1" s="187"/>
      <c r="I1" s="187"/>
      <c r="J1" s="187"/>
      <c r="K1" s="187"/>
      <c r="L1" s="187"/>
      <c r="M1" s="187"/>
      <c r="N1" s="187"/>
      <c r="O1" s="187"/>
      <c r="P1" s="185"/>
      <c r="Q1" s="185"/>
      <c r="R1" s="185"/>
    </row>
    <row r="2" spans="1:18" s="186" customFormat="1" ht="40.5" customHeight="1" x14ac:dyDescent="0.3">
      <c r="A2" s="188"/>
      <c r="B2" s="189" t="s">
        <v>245</v>
      </c>
      <c r="C2" s="189" t="s">
        <v>246</v>
      </c>
      <c r="D2" s="189" t="s">
        <v>247</v>
      </c>
    </row>
    <row r="3" spans="1:18" x14ac:dyDescent="0.25">
      <c r="A3" s="182" t="s">
        <v>248</v>
      </c>
      <c r="B3" s="183">
        <f>('[10]Kabineta izmaksas 2021.gadam'!F19+'[10]Kabineta izmaksas 2021.gadam'!F30+'[10]Kabineta izmaksas 2021.gadam'!F41+'[10]Kabineta izmaksas 2021.gadam'!F52+'[10]Kabineta izmaksas 2021.gadam'!F63)</f>
        <v>15.5</v>
      </c>
      <c r="C3" s="184">
        <f>B3*D3*6</f>
        <v>50220</v>
      </c>
      <c r="D3" s="182">
        <v>540</v>
      </c>
    </row>
    <row r="4" spans="1:18" x14ac:dyDescent="0.25">
      <c r="A4" s="182" t="s">
        <v>249</v>
      </c>
      <c r="B4" s="183">
        <f>('[10]Kabineta izmaksas 2021.gadam'!F21+'[10]Kabineta izmaksas 2021.gadam'!F32+'[10]Kabineta izmaksas 2021.gadam'!F43+'[10]Kabineta izmaksas 2021.gadam'!F54+'[10]Kabineta izmaksas 2021.gadam'!F65)</f>
        <v>2.5</v>
      </c>
      <c r="C4" s="184">
        <f>B4*D3*6</f>
        <v>8100</v>
      </c>
    </row>
    <row r="5" spans="1:18" x14ac:dyDescent="0.25">
      <c r="A5" s="223" t="s">
        <v>250</v>
      </c>
      <c r="B5" s="224"/>
      <c r="C5" s="190">
        <f>C3+C4</f>
        <v>58320</v>
      </c>
    </row>
    <row r="6" spans="1:18" ht="39.6" customHeight="1" x14ac:dyDescent="0.25">
      <c r="A6" s="225" t="s">
        <v>251</v>
      </c>
      <c r="B6" s="225"/>
      <c r="C6" s="184">
        <v>7193</v>
      </c>
    </row>
    <row r="7" spans="1:18" ht="38.1" customHeight="1" x14ac:dyDescent="0.25">
      <c r="A7" s="226" t="s">
        <v>252</v>
      </c>
      <c r="B7" s="226"/>
      <c r="C7" s="190">
        <f>C5-C6</f>
        <v>51127</v>
      </c>
    </row>
    <row r="8" spans="1:18" ht="29.1" customHeight="1" x14ac:dyDescent="0.25">
      <c r="A8" s="222" t="s">
        <v>253</v>
      </c>
      <c r="B8" s="222"/>
      <c r="C8" s="222"/>
      <c r="D8" s="191"/>
    </row>
  </sheetData>
  <mergeCells count="6">
    <mergeCell ref="D1:F1"/>
    <mergeCell ref="A8:C8"/>
    <mergeCell ref="A5:B5"/>
    <mergeCell ref="A6:B6"/>
    <mergeCell ref="A7:B7"/>
    <mergeCell ref="A1:C1"/>
  </mergeCells>
  <pageMargins left="0.7" right="0.7" top="0.75" bottom="0.75" header="0.3" footer="0.3"/>
  <pageSetup paperSize="9" scale="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1.piel.</vt:lpstr>
      <vt:lpstr>2.piel.</vt:lpstr>
      <vt:lpstr>3.piel.</vt:lpstr>
      <vt:lpstr>4.piel.</vt:lpstr>
      <vt:lpstr>5.piel.</vt:lpstr>
      <vt:lpstr>6.piel.</vt:lpstr>
      <vt:lpstr>7.piel.</vt:lpstr>
      <vt:lpstr>'3.piel.'!Print_Area</vt:lpstr>
      <vt:lpstr>'4.piel.'!Print_Area</vt:lpstr>
      <vt:lpstr>'5.piel.'!Print_Area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Batare</dc:creator>
  <cp:lastModifiedBy>37129</cp:lastModifiedBy>
  <dcterms:created xsi:type="dcterms:W3CDTF">2021-03-17T08:01:20Z</dcterms:created>
  <dcterms:modified xsi:type="dcterms:W3CDTF">2021-04-21T12:47:18Z</dcterms:modified>
</cp:coreProperties>
</file>